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Kim, Jee Young" algorithmName="SHA-512" hashValue="OEsIKC25cftYS6mmOLflBqZyooOka7RxDgL7WaciIjWE39UHlzfn6/XlgzxM5Mhd8+KLGM8sH45ipqZgSt0ECg==" saltValue="/wy52pl5bJhj7qHBT5RZvg==" spinCount="100000"/>
  <workbookPr defaultThemeVersion="124226"/>
  <mc:AlternateContent xmlns:mc="http://schemas.openxmlformats.org/markup-compatibility/2006">
    <mc:Choice Requires="x15">
      <x15ac:absPath xmlns:x15ac="http://schemas.microsoft.com/office/spreadsheetml/2010/11/ac" url="S:\FERC-REG\FERC\FERC Contract &amp; Cost Analysis\2017 FERC Rate Case (Formula 5th True Up) TO11\6-June 15-Draft Informational Filing\"/>
    </mc:Choice>
  </mc:AlternateContent>
  <bookViews>
    <workbookView xWindow="-30" yWindow="120" windowWidth="13470" windowHeight="12255"/>
  </bookViews>
  <sheets>
    <sheet name="Heading" sheetId="76" r:id="rId1"/>
    <sheet name="Contents" sheetId="68" r:id="rId2"/>
    <sheet name="Overview" sheetId="9" r:id="rId3"/>
    <sheet name="1-BaseTRR" sheetId="1" r:id="rId4"/>
    <sheet name="2-IFPTRR" sheetId="7" r:id="rId5"/>
    <sheet name="3-TrueUpAdjust" sheetId="65" r:id="rId6"/>
    <sheet name="4-TUTRR" sheetId="8" r:id="rId7"/>
    <sheet name="5-ROR-1" sheetId="28" r:id="rId8"/>
    <sheet name="5-ROR-2" sheetId="72" r:id="rId9"/>
    <sheet name="6-PlantInService" sheetId="4" r:id="rId10"/>
    <sheet name="7-PlantStudy" sheetId="56" r:id="rId11"/>
    <sheet name="8-AccDep" sheetId="21" r:id="rId12"/>
    <sheet name="9-ADIT" sheetId="15" r:id="rId13"/>
    <sheet name="10-CWIP" sheetId="49" r:id="rId14"/>
    <sheet name="11-PHFU" sheetId="54" r:id="rId15"/>
    <sheet name="12-AbandonedPlant" sheetId="45" r:id="rId16"/>
    <sheet name="13-WorkCap" sheetId="22" r:id="rId17"/>
    <sheet name="14-IncentivePlant" sheetId="11" r:id="rId18"/>
    <sheet name="15-IncentiveAdder" sheetId="12" r:id="rId19"/>
    <sheet name="16-PlantAdditions" sheetId="48" r:id="rId20"/>
    <sheet name="17-Depreciation" sheetId="64" r:id="rId21"/>
    <sheet name="18-DepRates" sheetId="63" r:id="rId22"/>
    <sheet name="19-OandM" sheetId="46" r:id="rId23"/>
    <sheet name="20-AandG" sheetId="26" r:id="rId24"/>
    <sheet name="21-RevenueCredits" sheetId="61" r:id="rId25"/>
    <sheet name="22-NUCs" sheetId="66" r:id="rId26"/>
    <sheet name="23-RegAssets" sheetId="55" r:id="rId27"/>
    <sheet name="24-CWIPTRR" sheetId="71" r:id="rId28"/>
    <sheet name="25-WholesaleDifference" sheetId="44" r:id="rId29"/>
    <sheet name="26-TaxRates" sheetId="17" r:id="rId30"/>
    <sheet name="27-Allocators" sheetId="2" r:id="rId31"/>
    <sheet name="28-FFU" sheetId="30" r:id="rId32"/>
    <sheet name="29-WholesaleTRRs" sheetId="31" r:id="rId33"/>
    <sheet name="30-WholesaleRates" sheetId="32" r:id="rId34"/>
    <sheet name="31-HVLV" sheetId="57" r:id="rId35"/>
    <sheet name="32-GrossLoad" sheetId="42" r:id="rId36"/>
    <sheet name="33-RetailRates" sheetId="81" r:id="rId37"/>
    <sheet name="34-UnfundedReserves" sheetId="79" r:id="rId38"/>
    <sheet name="35-PBOPs" sheetId="80" r:id="rId39"/>
  </sheets>
  <definedNames>
    <definedName name="_xlnm._FilterDatabase" localSheetId="24" hidden="1">'21-RevenueCredits'!$A$1:$O$250</definedName>
    <definedName name="_xlnm.Print_Area" localSheetId="13">'10-CWIP'!$A$1:$K$412</definedName>
    <definedName name="_xlnm.Print_Area" localSheetId="14">'11-PHFU'!$A$1:$F$61</definedName>
    <definedName name="_xlnm.Print_Area" localSheetId="15">'12-AbandonedPlant'!$A$1:$J$69</definedName>
    <definedName name="_xlnm.Print_Area" localSheetId="16">'13-WorkCap'!$A$1:$G$69</definedName>
    <definedName name="_xlnm.Print_Area" localSheetId="17">'14-IncentivePlant'!$A$1:$J$372</definedName>
    <definedName name="_xlnm.Print_Area" localSheetId="18">'15-IncentiveAdder'!$A$1:$J$112</definedName>
    <definedName name="_xlnm.Print_Area" localSheetId="19">'16-PlantAdditions'!$A$1:$P$137</definedName>
    <definedName name="_xlnm.Print_Area" localSheetId="20">'17-Depreciation'!$A$1:$M$107</definedName>
    <definedName name="_xlnm.Print_Area" localSheetId="21">'18-DepRates'!$A$1:$G$66</definedName>
    <definedName name="_xlnm.Print_Area" localSheetId="22">'19-OandM'!$A$1:$L$217</definedName>
    <definedName name="_xlnm.Print_Area" localSheetId="3">'1-BaseTRR'!$A$1:$K$167</definedName>
    <definedName name="_xlnm.Print_Area" localSheetId="23">'20-AandG'!$A$1:$J$112</definedName>
    <definedName name="_xlnm.Print_Area" localSheetId="24">'21-RevenueCredits'!$A$1:$O$254</definedName>
    <definedName name="_xlnm.Print_Area" localSheetId="25">'22-NUCs'!$A$1:$F$30</definedName>
    <definedName name="_xlnm.Print_Area" localSheetId="26">'23-RegAssets'!$A$1:$I$37</definedName>
    <definedName name="_xlnm.Print_Area" localSheetId="27">'24-CWIPTRR'!$A$1:$J$195</definedName>
    <definedName name="_xlnm.Print_Area" localSheetId="28">'25-WholesaleDifference'!$A$1:$J$101</definedName>
    <definedName name="_xlnm.Print_Area" localSheetId="29">'26-TaxRates'!$A$1:$F$79</definedName>
    <definedName name="_xlnm.Print_Area" localSheetId="30">'27-Allocators'!$A$1:$K$126</definedName>
    <definedName name="_xlnm.Print_Area" localSheetId="31">'28-FFU'!$A$1:$J$46</definedName>
    <definedName name="_xlnm.Print_Area" localSheetId="32">'29-WholesaleTRRs'!$A$1:$I$41</definedName>
    <definedName name="_xlnm.Print_Area" localSheetId="4">'2-IFPTRR'!$A$1:$G$91</definedName>
    <definedName name="_xlnm.Print_Area" localSheetId="33">'30-WholesaleRates'!$A$1:$J$47</definedName>
    <definedName name="_xlnm.Print_Area" localSheetId="34">'31-HVLV'!$A$1:$L$51</definedName>
    <definedName name="_xlnm.Print_Area" localSheetId="35">'32-GrossLoad'!$A$1:$I$19</definedName>
    <definedName name="_xlnm.Print_Area" localSheetId="36">'33-RetailRates'!$A$1:$P$128</definedName>
    <definedName name="_xlnm.Print_Area" localSheetId="37">'34-UnfundedReserves'!$A$1:$K$39</definedName>
    <definedName name="_xlnm.Print_Area" localSheetId="38">'35-PBOPs'!$A$1:$M$114</definedName>
    <definedName name="_xlnm.Print_Area" localSheetId="5">'3-TrueUpAdjust'!$A$1:$L$179</definedName>
    <definedName name="_xlnm.Print_Area" localSheetId="6">'4-TUTRR'!$A$1:$J$109</definedName>
    <definedName name="_xlnm.Print_Area" localSheetId="7">'5-ROR-1'!$A$1:$L$57</definedName>
    <definedName name="_xlnm.Print_Area" localSheetId="8">'5-ROR-2'!$A$1:$P$78</definedName>
    <definedName name="_xlnm.Print_Area" localSheetId="9">'6-PlantInService'!$A$1:$M$181</definedName>
    <definedName name="_xlnm.Print_Area" localSheetId="10">'7-PlantStudy'!$A$1:$G$54</definedName>
    <definedName name="_xlnm.Print_Area" localSheetId="11">'8-AccDep'!$A$1:$N$179</definedName>
    <definedName name="_xlnm.Print_Area" localSheetId="12">'9-ADIT'!$A$1:$J$199</definedName>
    <definedName name="_xlnm.Print_Area" localSheetId="1">Contents!$A$1:$D$39</definedName>
    <definedName name="_xlnm.Print_Area" localSheetId="0">Heading!$A$1:$K$28</definedName>
    <definedName name="_xlnm.Print_Area" localSheetId="2">Overview!$A$1:$I$24</definedName>
    <definedName name="_xlnm.Print_Titles" localSheetId="3">'1-BaseTRR'!$1:$6</definedName>
    <definedName name="_xlnm.Print_Titles" localSheetId="24">'21-RevenueCredits'!$1:$3</definedName>
  </definedNames>
  <calcPr calcId="152511"/>
</workbook>
</file>

<file path=xl/calcChain.xml><?xml version="1.0" encoding="utf-8"?>
<calcChain xmlns="http://schemas.openxmlformats.org/spreadsheetml/2006/main">
  <c r="E209" i="61" l="1"/>
  <c r="E164" i="61" l="1"/>
  <c r="N161" i="61"/>
  <c r="N160" i="61"/>
  <c r="N159" i="61"/>
  <c r="N158" i="61"/>
  <c r="M161" i="61"/>
  <c r="M160" i="61"/>
  <c r="M159" i="61"/>
  <c r="M158" i="61"/>
  <c r="J161" i="61"/>
  <c r="J160" i="61"/>
  <c r="J159" i="61"/>
  <c r="J158" i="61"/>
  <c r="I160" i="61"/>
  <c r="I159" i="61"/>
  <c r="I158" i="61"/>
  <c r="G158" i="61"/>
  <c r="G159" i="61"/>
  <c r="G160" i="61"/>
  <c r="G161" i="61"/>
  <c r="F161" i="61"/>
  <c r="F160" i="61"/>
  <c r="F159" i="61"/>
  <c r="F158" i="61"/>
  <c r="F156" i="61"/>
  <c r="G156" i="61"/>
  <c r="F157" i="61"/>
  <c r="G157" i="61" s="1"/>
  <c r="L136" i="61"/>
  <c r="H82" i="61"/>
  <c r="G82" i="61" s="1"/>
  <c r="N131" i="61"/>
  <c r="N132" i="61"/>
  <c r="N133" i="61"/>
  <c r="M131" i="61"/>
  <c r="M132" i="61"/>
  <c r="M133" i="61"/>
  <c r="F128" i="61"/>
  <c r="F127" i="61"/>
  <c r="F25" i="61"/>
  <c r="F24" i="61"/>
  <c r="F23" i="61"/>
  <c r="F22" i="61"/>
  <c r="F20" i="61"/>
  <c r="F202" i="61"/>
  <c r="F65" i="61"/>
  <c r="F19" i="61"/>
  <c r="F67" i="61"/>
  <c r="F66" i="61"/>
  <c r="F28" i="61"/>
  <c r="F27" i="61"/>
  <c r="F26" i="61"/>
  <c r="F21" i="61"/>
  <c r="F18" i="61"/>
  <c r="F133" i="61"/>
  <c r="J133" i="61" s="1"/>
  <c r="F132" i="61"/>
  <c r="F129" i="61"/>
  <c r="F131" i="61"/>
  <c r="F130" i="61"/>
  <c r="J129" i="61"/>
  <c r="J130" i="61"/>
  <c r="M130" i="61" s="1"/>
  <c r="J131" i="61"/>
  <c r="J132" i="61"/>
  <c r="G131" i="61"/>
  <c r="I131" i="61" s="1"/>
  <c r="G132" i="61"/>
  <c r="I132" i="61" s="1"/>
  <c r="G133" i="61"/>
  <c r="I133" i="61" s="1"/>
  <c r="E136" i="61"/>
  <c r="H148" i="15" l="1"/>
  <c r="G148" i="15"/>
  <c r="F148" i="15"/>
  <c r="E148" i="15"/>
  <c r="D148" i="15"/>
  <c r="H146" i="15"/>
  <c r="G146" i="15"/>
  <c r="F146" i="15"/>
  <c r="E146" i="15"/>
  <c r="D146" i="15"/>
  <c r="H135" i="15"/>
  <c r="G135" i="15"/>
  <c r="F135" i="15"/>
  <c r="E135" i="15"/>
  <c r="D135" i="15"/>
  <c r="F103" i="15"/>
  <c r="H101" i="15"/>
  <c r="G101" i="15"/>
  <c r="F101" i="15"/>
  <c r="E101" i="15"/>
  <c r="D101" i="15"/>
  <c r="H74" i="15"/>
  <c r="G74" i="15"/>
  <c r="F74" i="15"/>
  <c r="E74" i="15"/>
  <c r="D74" i="15"/>
  <c r="H72" i="15"/>
  <c r="G72" i="15"/>
  <c r="F72" i="15"/>
  <c r="E72" i="15"/>
  <c r="D72" i="15"/>
  <c r="H62" i="15"/>
  <c r="G62" i="15"/>
  <c r="F62" i="15"/>
  <c r="E62" i="15"/>
  <c r="D62" i="15"/>
  <c r="H48" i="15"/>
  <c r="H38" i="15"/>
  <c r="G39" i="15"/>
  <c r="G34" i="15" l="1"/>
  <c r="H32" i="15"/>
  <c r="G31" i="15"/>
  <c r="G186" i="15"/>
  <c r="G194" i="15"/>
  <c r="L43" i="28" l="1"/>
  <c r="E142" i="15" l="1"/>
  <c r="D141" i="15"/>
  <c r="E141" i="15" s="1"/>
  <c r="E140" i="15"/>
  <c r="E139" i="15"/>
  <c r="E126" i="15"/>
  <c r="E125" i="15"/>
  <c r="E124" i="15"/>
  <c r="E123" i="15"/>
  <c r="E122" i="15"/>
  <c r="E121" i="15"/>
  <c r="E120" i="15"/>
  <c r="H119" i="15"/>
  <c r="E119" i="15"/>
  <c r="E118" i="15"/>
  <c r="G118" i="15" s="1"/>
  <c r="G117" i="15"/>
  <c r="G116" i="15"/>
  <c r="E115" i="15"/>
  <c r="H115" i="15" s="1"/>
  <c r="F114" i="15"/>
  <c r="E97" i="15"/>
  <c r="E96" i="15"/>
  <c r="D95" i="15"/>
  <c r="E95" i="15" s="1"/>
  <c r="E94" i="15"/>
  <c r="E93" i="15"/>
  <c r="E92" i="15"/>
  <c r="E91" i="15"/>
  <c r="F90" i="15"/>
  <c r="E89" i="15"/>
  <c r="F87" i="15"/>
  <c r="G86" i="15"/>
  <c r="F85" i="15"/>
  <c r="E53" i="15"/>
  <c r="G52" i="15"/>
  <c r="E51" i="15"/>
  <c r="E50" i="15"/>
  <c r="E49" i="15"/>
  <c r="E47" i="15"/>
  <c r="E46" i="15"/>
  <c r="E45" i="15"/>
  <c r="F44" i="15"/>
  <c r="E33" i="15"/>
  <c r="I64" i="72" l="1"/>
  <c r="K45" i="1" l="1"/>
  <c r="P34" i="72" l="1"/>
  <c r="D34" i="72"/>
  <c r="P10" i="72"/>
  <c r="D10" i="72"/>
  <c r="P32" i="72"/>
  <c r="D32" i="72"/>
  <c r="H128" i="81" l="1"/>
  <c r="E128" i="81"/>
  <c r="D128" i="81"/>
  <c r="C128" i="81"/>
  <c r="J126" i="81"/>
  <c r="I126" i="81"/>
  <c r="F126" i="81"/>
  <c r="B126" i="81"/>
  <c r="J125" i="81"/>
  <c r="I125" i="81"/>
  <c r="F125" i="81"/>
  <c r="B125" i="81"/>
  <c r="K124" i="81"/>
  <c r="J124" i="81"/>
  <c r="I124" i="81"/>
  <c r="F124" i="81"/>
  <c r="B124" i="81"/>
  <c r="J123" i="81"/>
  <c r="I123" i="81"/>
  <c r="F123" i="81"/>
  <c r="B123" i="81"/>
  <c r="J122" i="81"/>
  <c r="I122" i="81"/>
  <c r="F122" i="81"/>
  <c r="B122" i="81"/>
  <c r="J121" i="81"/>
  <c r="I121" i="81"/>
  <c r="F121" i="81"/>
  <c r="B121" i="81"/>
  <c r="J120" i="81"/>
  <c r="I120" i="81"/>
  <c r="F120" i="81"/>
  <c r="B120" i="81"/>
  <c r="J119" i="81"/>
  <c r="I119" i="81"/>
  <c r="F119" i="81"/>
  <c r="B119" i="81"/>
  <c r="J118" i="81"/>
  <c r="I118" i="81"/>
  <c r="F118" i="81"/>
  <c r="B118" i="81"/>
  <c r="J117" i="81"/>
  <c r="I117" i="81"/>
  <c r="F117" i="81"/>
  <c r="B117" i="81"/>
  <c r="J116" i="81"/>
  <c r="I116" i="81"/>
  <c r="K116" i="81" s="1"/>
  <c r="F116" i="81"/>
  <c r="B116" i="81"/>
  <c r="J115" i="81"/>
  <c r="I115" i="81"/>
  <c r="K115" i="81" s="1"/>
  <c r="F115" i="81"/>
  <c r="B115" i="81"/>
  <c r="J114" i="81"/>
  <c r="I114" i="81"/>
  <c r="F114" i="81"/>
  <c r="B114" i="81"/>
  <c r="J113" i="81"/>
  <c r="I113" i="81"/>
  <c r="I128" i="81" s="1"/>
  <c r="F113" i="81"/>
  <c r="B113" i="81"/>
  <c r="B112" i="81"/>
  <c r="A106" i="81"/>
  <c r="A107" i="81" s="1"/>
  <c r="A108" i="81" s="1"/>
  <c r="A109" i="81" s="1"/>
  <c r="A110" i="81" s="1"/>
  <c r="A111" i="81" s="1"/>
  <c r="A112" i="81" s="1"/>
  <c r="B88" i="81"/>
  <c r="B59" i="81"/>
  <c r="B58" i="81"/>
  <c r="B57" i="81"/>
  <c r="B56" i="81"/>
  <c r="B55" i="81"/>
  <c r="B54" i="81"/>
  <c r="B53" i="81"/>
  <c r="B52" i="81"/>
  <c r="B51" i="81"/>
  <c r="B50" i="81"/>
  <c r="B49" i="81"/>
  <c r="B48" i="81"/>
  <c r="B47" i="81"/>
  <c r="B46" i="81"/>
  <c r="B45" i="81"/>
  <c r="I38" i="81"/>
  <c r="D38" i="81"/>
  <c r="I37" i="81"/>
  <c r="D37" i="81"/>
  <c r="I36" i="81"/>
  <c r="D36" i="81"/>
  <c r="A29" i="81"/>
  <c r="A30" i="81" s="1"/>
  <c r="A31" i="81" s="1"/>
  <c r="A32" i="81" s="1"/>
  <c r="A33" i="81" s="1"/>
  <c r="A34" i="81" s="1"/>
  <c r="I28" i="81"/>
  <c r="H28" i="81"/>
  <c r="G28" i="81"/>
  <c r="F28" i="81"/>
  <c r="E28" i="81"/>
  <c r="J27" i="81"/>
  <c r="J26" i="81"/>
  <c r="J25" i="81"/>
  <c r="J24" i="81"/>
  <c r="J23" i="81"/>
  <c r="J22" i="81"/>
  <c r="J21" i="81"/>
  <c r="J20" i="81"/>
  <c r="J19" i="81"/>
  <c r="J18" i="81"/>
  <c r="J17" i="81"/>
  <c r="J16" i="81"/>
  <c r="J15" i="81"/>
  <c r="J14" i="81"/>
  <c r="J13" i="81"/>
  <c r="J12" i="81"/>
  <c r="K117" i="81" l="1"/>
  <c r="K118" i="81"/>
  <c r="K121" i="81"/>
  <c r="K123" i="81"/>
  <c r="K125" i="81"/>
  <c r="L125" i="81" s="1"/>
  <c r="K126" i="81"/>
  <c r="L126" i="81" s="1"/>
  <c r="K113" i="81"/>
  <c r="L117" i="81"/>
  <c r="F128" i="81"/>
  <c r="J128" i="81"/>
  <c r="L118" i="81"/>
  <c r="L121" i="81"/>
  <c r="K114" i="81"/>
  <c r="L114" i="81" s="1"/>
  <c r="L115" i="81"/>
  <c r="K120" i="81"/>
  <c r="K122" i="81"/>
  <c r="L122" i="81" s="1"/>
  <c r="L123" i="81"/>
  <c r="L113" i="81"/>
  <c r="J28" i="81"/>
  <c r="L116" i="81"/>
  <c r="L124" i="81"/>
  <c r="K119" i="81"/>
  <c r="L120" i="81"/>
  <c r="E53" i="63"/>
  <c r="E52" i="63"/>
  <c r="E51" i="63"/>
  <c r="E50" i="63"/>
  <c r="E45" i="63"/>
  <c r="E42" i="63"/>
  <c r="E41" i="63"/>
  <c r="E40" i="63"/>
  <c r="E39" i="63"/>
  <c r="E38" i="63"/>
  <c r="E37" i="63"/>
  <c r="E36" i="63"/>
  <c r="E35" i="63"/>
  <c r="E34" i="63"/>
  <c r="E33" i="63"/>
  <c r="E32" i="63"/>
  <c r="E31" i="63"/>
  <c r="E30" i="63"/>
  <c r="E29" i="63"/>
  <c r="K128" i="81" l="1"/>
  <c r="L119" i="81"/>
  <c r="L128" i="81"/>
  <c r="M124" i="81" s="1"/>
  <c r="C24" i="81" s="1"/>
  <c r="M113" i="81" l="1"/>
  <c r="M116" i="81"/>
  <c r="C16" i="81" s="1"/>
  <c r="C12" i="81"/>
  <c r="M118" i="81"/>
  <c r="C18" i="81" s="1"/>
  <c r="M115" i="81"/>
  <c r="C15" i="81" s="1"/>
  <c r="M117" i="81"/>
  <c r="C17" i="81" s="1"/>
  <c r="M121" i="81"/>
  <c r="C21" i="81" s="1"/>
  <c r="M123" i="81"/>
  <c r="C23" i="81" s="1"/>
  <c r="M125" i="81"/>
  <c r="C25" i="81" s="1"/>
  <c r="M122" i="81"/>
  <c r="C22" i="81" s="1"/>
  <c r="M114" i="81"/>
  <c r="C13" i="81" s="1"/>
  <c r="M126" i="81"/>
  <c r="C26" i="81" s="1"/>
  <c r="M120" i="81"/>
  <c r="C20" i="81" s="1"/>
  <c r="M119" i="81"/>
  <c r="C19" i="81" s="1"/>
  <c r="M11" i="4"/>
  <c r="M128" i="81" l="1"/>
  <c r="C28" i="81"/>
  <c r="N130" i="61"/>
  <c r="M129" i="61"/>
  <c r="G129" i="61" l="1"/>
  <c r="I129" i="61" s="1"/>
  <c r="N129" i="61"/>
  <c r="G130" i="61"/>
  <c r="I130" i="61" s="1"/>
  <c r="D47" i="17" l="1"/>
  <c r="G35" i="80" l="1"/>
  <c r="H50" i="8" l="1"/>
  <c r="G87" i="80"/>
  <c r="H15" i="80" s="1"/>
  <c r="G74" i="80"/>
  <c r="G73" i="80"/>
  <c r="J63" i="80"/>
  <c r="K63" i="80" s="1"/>
  <c r="J62" i="80"/>
  <c r="K62" i="80" s="1"/>
  <c r="I38" i="80"/>
  <c r="I37" i="80"/>
  <c r="I36" i="80"/>
  <c r="G36" i="80"/>
  <c r="G30" i="80"/>
  <c r="G29" i="80"/>
  <c r="G28" i="80"/>
  <c r="I28" i="80" s="1"/>
  <c r="G27" i="80"/>
  <c r="G26" i="80"/>
  <c r="G75" i="80" l="1"/>
  <c r="H13" i="80" s="1"/>
  <c r="I29" i="80"/>
  <c r="I30" i="80"/>
  <c r="K65" i="80"/>
  <c r="H12" i="80" s="1"/>
  <c r="H26" i="80" l="1"/>
  <c r="I26" i="80" s="1"/>
  <c r="H14" i="80"/>
  <c r="D18" i="80" s="1"/>
  <c r="H27" i="80"/>
  <c r="I27" i="80" s="1"/>
  <c r="E31" i="61"/>
  <c r="L31" i="61"/>
  <c r="H31" i="61"/>
  <c r="G28" i="61" l="1"/>
  <c r="I28" i="61" s="1"/>
  <c r="J28" i="61"/>
  <c r="M28" i="61" s="1"/>
  <c r="N28" i="61"/>
  <c r="G27" i="61"/>
  <c r="I27" i="61" s="1"/>
  <c r="J27" i="61"/>
  <c r="M27" i="61" s="1"/>
  <c r="N27" i="61"/>
  <c r="G26" i="61"/>
  <c r="I26" i="61" s="1"/>
  <c r="J26" i="61"/>
  <c r="M26" i="61" s="1"/>
  <c r="N26" i="61"/>
  <c r="E29" i="55" l="1"/>
  <c r="D29" i="55"/>
  <c r="C29" i="55"/>
  <c r="E32" i="57"/>
  <c r="H42" i="8" l="1"/>
  <c r="H33" i="8"/>
  <c r="G21" i="45" l="1"/>
  <c r="F25" i="65" l="1"/>
  <c r="F26" i="65"/>
  <c r="F27" i="65"/>
  <c r="F28" i="65"/>
  <c r="F29" i="65"/>
  <c r="F30" i="65"/>
  <c r="F31" i="65"/>
  <c r="F32" i="65"/>
  <c r="F33" i="65"/>
  <c r="F34" i="65"/>
  <c r="F35" i="65"/>
  <c r="F24" i="65"/>
  <c r="E218" i="49" l="1"/>
  <c r="E56" i="65" l="1"/>
  <c r="D78" i="49"/>
  <c r="H76" i="49"/>
  <c r="H77" i="49"/>
  <c r="H78" i="49"/>
  <c r="G76" i="49"/>
  <c r="G77" i="49"/>
  <c r="G78" i="49"/>
  <c r="D77" i="49"/>
  <c r="D75" i="49"/>
  <c r="D76" i="49"/>
  <c r="E57" i="65" l="1"/>
  <c r="E58" i="65"/>
  <c r="E59" i="65"/>
  <c r="E60" i="65"/>
  <c r="E61" i="65"/>
  <c r="E62" i="65"/>
  <c r="E63" i="65"/>
  <c r="E64" i="65"/>
  <c r="E65" i="65"/>
  <c r="E66" i="65"/>
  <c r="E67" i="65"/>
  <c r="O34" i="48" l="1"/>
  <c r="O35" i="48"/>
  <c r="O36" i="48"/>
  <c r="H45" i="65"/>
  <c r="H46" i="65"/>
  <c r="H47" i="65"/>
  <c r="N127" i="61" l="1"/>
  <c r="N128" i="61"/>
  <c r="J127" i="61"/>
  <c r="M127" i="61" s="1"/>
  <c r="J128" i="61"/>
  <c r="M128" i="61" s="1"/>
  <c r="G127" i="61"/>
  <c r="I127" i="61" s="1"/>
  <c r="G128" i="61"/>
  <c r="I128" i="61" s="1"/>
  <c r="N65" i="61"/>
  <c r="N66" i="61"/>
  <c r="N67" i="61"/>
  <c r="J67" i="61"/>
  <c r="M67" i="61" s="1"/>
  <c r="J66" i="61"/>
  <c r="M66" i="61" s="1"/>
  <c r="J65" i="61"/>
  <c r="M65" i="61" s="1"/>
  <c r="G65" i="61"/>
  <c r="I65" i="61" s="1"/>
  <c r="G66" i="61"/>
  <c r="I66" i="61" s="1"/>
  <c r="G67" i="61"/>
  <c r="I67" i="61" s="1"/>
  <c r="J21" i="61"/>
  <c r="M21" i="61" s="1"/>
  <c r="J22" i="61"/>
  <c r="M22" i="61" s="1"/>
  <c r="J23" i="61"/>
  <c r="M23" i="61" s="1"/>
  <c r="J24" i="61"/>
  <c r="M24" i="61" s="1"/>
  <c r="J25" i="61"/>
  <c r="M25" i="61" s="1"/>
  <c r="G21" i="61"/>
  <c r="I21" i="61" s="1"/>
  <c r="G22" i="61"/>
  <c r="I22" i="61" s="1"/>
  <c r="G23" i="61"/>
  <c r="I23" i="61" s="1"/>
  <c r="G24" i="61"/>
  <c r="I24" i="61" s="1"/>
  <c r="G25" i="61"/>
  <c r="I25" i="61" s="1"/>
  <c r="N21" i="61"/>
  <c r="N22" i="61"/>
  <c r="N23" i="61"/>
  <c r="N24" i="61"/>
  <c r="N25" i="61"/>
  <c r="P97" i="48" l="1"/>
  <c r="P98" i="48"/>
  <c r="P99" i="48"/>
  <c r="G97" i="48"/>
  <c r="H97" i="48" s="1"/>
  <c r="H34" i="48" s="1"/>
  <c r="G98" i="48"/>
  <c r="H98" i="48" s="1"/>
  <c r="H35" i="48" s="1"/>
  <c r="G99" i="48"/>
  <c r="H99" i="48" s="1"/>
  <c r="H36" i="48" s="1"/>
  <c r="C34" i="48"/>
  <c r="C35" i="48"/>
  <c r="C36" i="48"/>
  <c r="C97" i="48"/>
  <c r="C98" i="48"/>
  <c r="C99" i="48"/>
  <c r="P66" i="48"/>
  <c r="P67" i="48"/>
  <c r="P68" i="48"/>
  <c r="P36" i="48" l="1"/>
  <c r="P35" i="48"/>
  <c r="P34" i="48"/>
  <c r="I99" i="48"/>
  <c r="I98" i="48"/>
  <c r="I97" i="48"/>
  <c r="J97" i="48" l="1"/>
  <c r="I34" i="48"/>
  <c r="J98" i="48"/>
  <c r="J35" i="48" s="1"/>
  <c r="I35" i="48"/>
  <c r="J99" i="48"/>
  <c r="J36" i="48" s="1"/>
  <c r="I36" i="48"/>
  <c r="J34" i="48" l="1"/>
  <c r="I399" i="49" l="1"/>
  <c r="I400" i="49"/>
  <c r="I401" i="49"/>
  <c r="E399" i="49"/>
  <c r="F399" i="49" s="1"/>
  <c r="E400" i="49"/>
  <c r="F400" i="49" s="1"/>
  <c r="E401" i="49"/>
  <c r="F401" i="49" s="1"/>
  <c r="I366" i="49"/>
  <c r="I367" i="49"/>
  <c r="I368" i="49"/>
  <c r="E366" i="49"/>
  <c r="F366" i="49" s="1"/>
  <c r="E367" i="49"/>
  <c r="F367" i="49" s="1"/>
  <c r="E368" i="49"/>
  <c r="F368" i="49" s="1"/>
  <c r="I335" i="49"/>
  <c r="I336" i="49"/>
  <c r="I337" i="49"/>
  <c r="E335" i="49"/>
  <c r="F335" i="49" s="1"/>
  <c r="E336" i="49"/>
  <c r="F336" i="49" s="1"/>
  <c r="E337" i="49"/>
  <c r="F337" i="49" s="1"/>
  <c r="I302" i="49"/>
  <c r="I303" i="49"/>
  <c r="I304" i="49"/>
  <c r="E302" i="49"/>
  <c r="F302" i="49" s="1"/>
  <c r="E303" i="49"/>
  <c r="F303" i="49" s="1"/>
  <c r="E304" i="49"/>
  <c r="F304" i="49" s="1"/>
  <c r="I271" i="49"/>
  <c r="I272" i="49"/>
  <c r="I273" i="49"/>
  <c r="E271" i="49"/>
  <c r="F271" i="49" s="1"/>
  <c r="E272" i="49"/>
  <c r="F272" i="49" s="1"/>
  <c r="E273" i="49"/>
  <c r="F273" i="49" s="1"/>
  <c r="I238" i="49"/>
  <c r="I239" i="49"/>
  <c r="I240" i="49"/>
  <c r="E238" i="49"/>
  <c r="F238" i="49" s="1"/>
  <c r="E239" i="49"/>
  <c r="F239" i="49" s="1"/>
  <c r="E240" i="49"/>
  <c r="F240" i="49" s="1"/>
  <c r="I207" i="49"/>
  <c r="I208" i="49"/>
  <c r="I209" i="49"/>
  <c r="E207" i="49"/>
  <c r="F207" i="49" s="1"/>
  <c r="E208" i="49"/>
  <c r="F208" i="49" s="1"/>
  <c r="E209" i="49"/>
  <c r="F209" i="49" s="1"/>
  <c r="I174" i="49"/>
  <c r="I175" i="49"/>
  <c r="I176" i="49"/>
  <c r="E174" i="49"/>
  <c r="F174" i="49" s="1"/>
  <c r="E175" i="49"/>
  <c r="F175" i="49" s="1"/>
  <c r="E176" i="49"/>
  <c r="F176" i="49" s="1"/>
  <c r="I145" i="49"/>
  <c r="E145" i="49"/>
  <c r="F145" i="49" s="1"/>
  <c r="I143" i="49"/>
  <c r="I144" i="49"/>
  <c r="E143" i="49"/>
  <c r="F143" i="49" s="1"/>
  <c r="E144" i="49"/>
  <c r="F144" i="49" s="1"/>
  <c r="I110" i="49"/>
  <c r="I111" i="49"/>
  <c r="I112" i="49"/>
  <c r="E110" i="49"/>
  <c r="E111" i="49"/>
  <c r="E112" i="49"/>
  <c r="F66" i="48"/>
  <c r="F34" i="48" s="1"/>
  <c r="F67" i="48"/>
  <c r="F35" i="48" s="1"/>
  <c r="F68" i="48"/>
  <c r="F36" i="48" s="1"/>
  <c r="E66" i="48"/>
  <c r="E34" i="48" s="1"/>
  <c r="E67" i="48"/>
  <c r="E35" i="48" s="1"/>
  <c r="E68" i="48"/>
  <c r="E36" i="48" s="1"/>
  <c r="I76" i="49" l="1"/>
  <c r="G66" i="48" s="1"/>
  <c r="G34" i="48" s="1"/>
  <c r="I78" i="49"/>
  <c r="G68" i="48" s="1"/>
  <c r="G36" i="48" s="1"/>
  <c r="I77" i="49"/>
  <c r="G67" i="48" s="1"/>
  <c r="G35" i="48" s="1"/>
  <c r="F111" i="49"/>
  <c r="F77" i="49" s="1"/>
  <c r="E77" i="49"/>
  <c r="F112" i="49"/>
  <c r="F78" i="49" s="1"/>
  <c r="E78" i="49"/>
  <c r="F110" i="49"/>
  <c r="F76" i="49" s="1"/>
  <c r="E76" i="49"/>
  <c r="D128" i="48" l="1"/>
  <c r="D127" i="48"/>
  <c r="D126" i="48"/>
  <c r="D125" i="48"/>
  <c r="D124" i="48"/>
  <c r="D123" i="48"/>
  <c r="D122" i="48"/>
  <c r="D121" i="48"/>
  <c r="D120" i="48"/>
  <c r="D119" i="48"/>
  <c r="F224" i="61" l="1"/>
  <c r="F73" i="64"/>
  <c r="E73" i="64"/>
  <c r="D73" i="64"/>
  <c r="F68" i="64"/>
  <c r="F67" i="64"/>
  <c r="E68" i="64"/>
  <c r="E67" i="64"/>
  <c r="D68" i="64"/>
  <c r="D67" i="64"/>
  <c r="L27" i="28" l="1"/>
  <c r="D24" i="64" l="1"/>
  <c r="L12" i="64"/>
  <c r="L49" i="64" s="1"/>
  <c r="M91" i="21" s="1"/>
  <c r="K12" i="64"/>
  <c r="K49" i="64" s="1"/>
  <c r="L91" i="21" s="1"/>
  <c r="J12" i="64"/>
  <c r="J49" i="64" s="1"/>
  <c r="K91" i="21" s="1"/>
  <c r="I12" i="64"/>
  <c r="I49" i="64" s="1"/>
  <c r="J91" i="21" s="1"/>
  <c r="H12" i="64"/>
  <c r="H49" i="64" s="1"/>
  <c r="I91" i="21" s="1"/>
  <c r="G12" i="64"/>
  <c r="G49" i="64" s="1"/>
  <c r="H91" i="21" s="1"/>
  <c r="F12" i="64"/>
  <c r="F49" i="64" s="1"/>
  <c r="G91" i="21" s="1"/>
  <c r="E12" i="64"/>
  <c r="E49" i="64" s="1"/>
  <c r="F91" i="21" s="1"/>
  <c r="D12" i="64"/>
  <c r="D49" i="64" s="1"/>
  <c r="E91" i="21" s="1"/>
  <c r="C24" i="64"/>
  <c r="C12" i="64"/>
  <c r="C49" i="64" s="1"/>
  <c r="D91" i="21" s="1"/>
  <c r="B98" i="64"/>
  <c r="H85" i="64"/>
  <c r="F69" i="64"/>
  <c r="D69" i="64"/>
  <c r="A44" i="64"/>
  <c r="A45" i="64" s="1"/>
  <c r="A46" i="64" s="1"/>
  <c r="A47" i="64" s="1"/>
  <c r="A48" i="64" s="1"/>
  <c r="A49" i="64" s="1"/>
  <c r="A13" i="64"/>
  <c r="A14" i="64" s="1"/>
  <c r="A15" i="64" s="1"/>
  <c r="A16" i="64" s="1"/>
  <c r="A17" i="64" s="1"/>
  <c r="A18" i="64" s="1"/>
  <c r="A19" i="64" s="1"/>
  <c r="A20" i="64" s="1"/>
  <c r="A21" i="64" s="1"/>
  <c r="A22" i="64" s="1"/>
  <c r="A23" i="64" s="1"/>
  <c r="A24" i="64" s="1"/>
  <c r="A25" i="64" s="1"/>
  <c r="A26" i="64" s="1"/>
  <c r="A29" i="64" s="1"/>
  <c r="A50" i="64" l="1"/>
  <c r="A51" i="64" s="1"/>
  <c r="A52" i="64" s="1"/>
  <c r="A53" i="64" s="1"/>
  <c r="A54" i="64" s="1"/>
  <c r="A55" i="64" s="1"/>
  <c r="A56" i="64" s="1"/>
  <c r="A57" i="64" s="1"/>
  <c r="A58" i="64" s="1"/>
  <c r="A59" i="64" s="1"/>
  <c r="A60" i="64" s="1"/>
  <c r="A61" i="64" s="1"/>
  <c r="A62" i="64" s="1"/>
  <c r="B172" i="21"/>
  <c r="E69" i="64"/>
  <c r="E78" i="64" s="1"/>
  <c r="D78" i="64"/>
  <c r="F78" i="64"/>
  <c r="M49" i="64"/>
  <c r="A63" i="64"/>
  <c r="A64" i="64" s="1"/>
  <c r="A65" i="64" s="1"/>
  <c r="A66" i="64" s="1"/>
  <c r="A67" i="64" s="1"/>
  <c r="A68" i="64" s="1"/>
  <c r="A69" i="64" s="1"/>
  <c r="G92" i="64"/>
  <c r="G78" i="64" l="1"/>
  <c r="F93" i="64" s="1"/>
  <c r="B99" i="64"/>
  <c r="A70" i="64"/>
  <c r="A71" i="64" s="1"/>
  <c r="A72" i="64" s="1"/>
  <c r="A73" i="64" s="1"/>
  <c r="B100" i="64" l="1"/>
  <c r="A74" i="64"/>
  <c r="A75" i="64" s="1"/>
  <c r="A76" i="64" s="1"/>
  <c r="A77" i="64" s="1"/>
  <c r="A78" i="64" s="1"/>
  <c r="B107" i="64" l="1"/>
  <c r="G93" i="64"/>
  <c r="A79" i="64"/>
  <c r="A80" i="64" s="1"/>
  <c r="A81" i="64" s="1"/>
  <c r="A82" i="64" s="1"/>
  <c r="A83" i="64" s="1"/>
  <c r="A84" i="64" l="1"/>
  <c r="A85" i="64" s="1"/>
  <c r="A86" i="64" l="1"/>
  <c r="A87" i="64" s="1"/>
  <c r="I85" i="64"/>
  <c r="I87" i="64" l="1"/>
  <c r="G94" i="64"/>
  <c r="A88" i="64"/>
  <c r="A89" i="64" s="1"/>
  <c r="A90" i="64" s="1"/>
  <c r="A91" i="64" s="1"/>
  <c r="A92" i="64" s="1"/>
  <c r="A93" i="64" l="1"/>
  <c r="A94" i="64" s="1"/>
  <c r="A95" i="64" s="1"/>
  <c r="I127" i="1" s="1"/>
  <c r="G95" i="64" l="1"/>
  <c r="O19" i="48" l="1"/>
  <c r="J86" i="8"/>
  <c r="C117" i="48" l="1"/>
  <c r="H72" i="44" l="1"/>
  <c r="H26" i="8" l="1"/>
  <c r="I31" i="1"/>
  <c r="I37" i="79" l="1"/>
  <c r="G37" i="79"/>
  <c r="A33" i="79"/>
  <c r="A34" i="79" s="1"/>
  <c r="A35" i="79" s="1"/>
  <c r="A36" i="79" s="1"/>
  <c r="A37" i="79" s="1"/>
  <c r="A38" i="79" s="1"/>
  <c r="A39" i="79" s="1"/>
  <c r="E19" i="71" l="1"/>
  <c r="E18" i="71"/>
  <c r="D17" i="71"/>
  <c r="D16" i="71"/>
  <c r="D15" i="71"/>
  <c r="D14" i="71"/>
  <c r="D13" i="71"/>
  <c r="D12" i="71"/>
  <c r="D11" i="71"/>
  <c r="D10" i="71"/>
  <c r="D9" i="71"/>
  <c r="D57" i="7" l="1"/>
  <c r="D53" i="7"/>
  <c r="E34" i="11"/>
  <c r="E33" i="11"/>
  <c r="E32" i="11"/>
  <c r="E31" i="11"/>
  <c r="E30" i="11"/>
  <c r="E29" i="11"/>
  <c r="E28" i="11"/>
  <c r="E27" i="11"/>
  <c r="E26" i="11"/>
  <c r="I398" i="49"/>
  <c r="I397" i="49"/>
  <c r="I396" i="49"/>
  <c r="I395" i="49"/>
  <c r="I394" i="49"/>
  <c r="I393" i="49"/>
  <c r="I392" i="49"/>
  <c r="I391" i="49"/>
  <c r="I390" i="49"/>
  <c r="I389" i="49"/>
  <c r="I388" i="49"/>
  <c r="I387" i="49"/>
  <c r="I386" i="49"/>
  <c r="I385" i="49"/>
  <c r="I384" i="49"/>
  <c r="I383" i="49"/>
  <c r="I382" i="49"/>
  <c r="I381" i="49"/>
  <c r="I380" i="49"/>
  <c r="I379" i="49"/>
  <c r="I378" i="49"/>
  <c r="E398" i="49"/>
  <c r="E397" i="49"/>
  <c r="E396" i="49"/>
  <c r="E395" i="49"/>
  <c r="E394" i="49"/>
  <c r="E393" i="49"/>
  <c r="E392" i="49"/>
  <c r="E391" i="49"/>
  <c r="E390" i="49"/>
  <c r="E389" i="49"/>
  <c r="E388" i="49"/>
  <c r="E387" i="49"/>
  <c r="E386" i="49"/>
  <c r="E385" i="49"/>
  <c r="E384" i="49"/>
  <c r="E383" i="49"/>
  <c r="E382" i="49"/>
  <c r="E381" i="49"/>
  <c r="E380" i="49"/>
  <c r="E379" i="49"/>
  <c r="E378" i="49"/>
  <c r="I365" i="49"/>
  <c r="I364" i="49"/>
  <c r="I363" i="49"/>
  <c r="I362" i="49"/>
  <c r="I361" i="49"/>
  <c r="I360" i="49"/>
  <c r="I359" i="49"/>
  <c r="I358" i="49"/>
  <c r="I357" i="49"/>
  <c r="I356" i="49"/>
  <c r="I355" i="49"/>
  <c r="I354" i="49"/>
  <c r="I353" i="49"/>
  <c r="I352" i="49"/>
  <c r="I351" i="49"/>
  <c r="I350" i="49"/>
  <c r="I349" i="49"/>
  <c r="I348" i="49"/>
  <c r="I347" i="49"/>
  <c r="I346" i="49"/>
  <c r="I345" i="49"/>
  <c r="E365" i="49"/>
  <c r="E364" i="49"/>
  <c r="E363" i="49"/>
  <c r="E362" i="49"/>
  <c r="E361" i="49"/>
  <c r="E360" i="49"/>
  <c r="E359" i="49"/>
  <c r="E358" i="49"/>
  <c r="E357" i="49"/>
  <c r="E356" i="49"/>
  <c r="E355" i="49"/>
  <c r="E354" i="49"/>
  <c r="E353" i="49"/>
  <c r="E352" i="49"/>
  <c r="E351" i="49"/>
  <c r="E350" i="49"/>
  <c r="E349" i="49"/>
  <c r="E348" i="49"/>
  <c r="E347" i="49"/>
  <c r="E346" i="49"/>
  <c r="E345" i="49"/>
  <c r="I334" i="49"/>
  <c r="I333" i="49"/>
  <c r="I332" i="49"/>
  <c r="I331" i="49"/>
  <c r="I330" i="49"/>
  <c r="I329" i="49"/>
  <c r="I328" i="49"/>
  <c r="I327" i="49"/>
  <c r="I326" i="49"/>
  <c r="I325" i="49"/>
  <c r="I324" i="49"/>
  <c r="I323" i="49"/>
  <c r="I322" i="49"/>
  <c r="I321" i="49"/>
  <c r="I320" i="49"/>
  <c r="I319" i="49"/>
  <c r="I318" i="49"/>
  <c r="I317" i="49"/>
  <c r="I316" i="49"/>
  <c r="I315" i="49"/>
  <c r="I314" i="49"/>
  <c r="E334" i="49"/>
  <c r="E333" i="49"/>
  <c r="E332" i="49"/>
  <c r="E331" i="49"/>
  <c r="E330" i="49"/>
  <c r="E329" i="49"/>
  <c r="E328" i="49"/>
  <c r="E327" i="49"/>
  <c r="E326" i="49"/>
  <c r="E325" i="49"/>
  <c r="E324" i="49"/>
  <c r="E323" i="49"/>
  <c r="E322" i="49"/>
  <c r="E321" i="49"/>
  <c r="E320" i="49"/>
  <c r="E319" i="49"/>
  <c r="E318" i="49"/>
  <c r="E317" i="49"/>
  <c r="E316" i="49"/>
  <c r="E315" i="49"/>
  <c r="E314" i="49"/>
  <c r="I301" i="49"/>
  <c r="I300" i="49"/>
  <c r="I299" i="49"/>
  <c r="I298" i="49"/>
  <c r="I297" i="49"/>
  <c r="I296" i="49"/>
  <c r="I295" i="49"/>
  <c r="I294" i="49"/>
  <c r="I293" i="49"/>
  <c r="I292" i="49"/>
  <c r="I291" i="49"/>
  <c r="I290" i="49"/>
  <c r="I289" i="49"/>
  <c r="I288" i="49"/>
  <c r="I287" i="49"/>
  <c r="I286" i="49"/>
  <c r="I285" i="49"/>
  <c r="I284" i="49"/>
  <c r="I283" i="49"/>
  <c r="I282" i="49"/>
  <c r="I281" i="49"/>
  <c r="E301" i="49"/>
  <c r="E300" i="49"/>
  <c r="E299" i="49"/>
  <c r="E298" i="49"/>
  <c r="E297" i="49"/>
  <c r="E296" i="49"/>
  <c r="E295" i="49"/>
  <c r="E294" i="49"/>
  <c r="E293" i="49"/>
  <c r="E292" i="49"/>
  <c r="E291" i="49"/>
  <c r="E290" i="49"/>
  <c r="E289" i="49"/>
  <c r="E288" i="49"/>
  <c r="E287" i="49"/>
  <c r="E286" i="49"/>
  <c r="E285" i="49"/>
  <c r="E284" i="49"/>
  <c r="E283" i="49"/>
  <c r="E282" i="49"/>
  <c r="E281" i="49"/>
  <c r="I270" i="49"/>
  <c r="I269" i="49"/>
  <c r="I268" i="49"/>
  <c r="I267" i="49"/>
  <c r="I266" i="49"/>
  <c r="I265" i="49"/>
  <c r="I264" i="49"/>
  <c r="I263" i="49"/>
  <c r="I262" i="49"/>
  <c r="I261" i="49"/>
  <c r="I260" i="49"/>
  <c r="I259" i="49"/>
  <c r="I258" i="49"/>
  <c r="I257" i="49"/>
  <c r="I256" i="49"/>
  <c r="I255" i="49"/>
  <c r="I254" i="49"/>
  <c r="I253" i="49"/>
  <c r="I252" i="49"/>
  <c r="I251" i="49"/>
  <c r="I250" i="49"/>
  <c r="E270" i="49"/>
  <c r="E269" i="49"/>
  <c r="E268" i="49"/>
  <c r="E267" i="49"/>
  <c r="E266" i="49"/>
  <c r="E265" i="49"/>
  <c r="E264" i="49"/>
  <c r="E263" i="49"/>
  <c r="E262" i="49"/>
  <c r="E261" i="49"/>
  <c r="E260" i="49"/>
  <c r="E259" i="49"/>
  <c r="E258" i="49"/>
  <c r="E257" i="49"/>
  <c r="E256" i="49"/>
  <c r="E255" i="49"/>
  <c r="E254" i="49"/>
  <c r="E253" i="49"/>
  <c r="E252" i="49"/>
  <c r="E251" i="49"/>
  <c r="E250" i="49"/>
  <c r="I237" i="49"/>
  <c r="I236" i="49"/>
  <c r="I235" i="49"/>
  <c r="I234" i="49"/>
  <c r="I233" i="49"/>
  <c r="I232" i="49"/>
  <c r="I231" i="49"/>
  <c r="I230" i="49"/>
  <c r="I229" i="49"/>
  <c r="I228" i="49"/>
  <c r="I227" i="49"/>
  <c r="I226" i="49"/>
  <c r="I225" i="49"/>
  <c r="I224" i="49"/>
  <c r="I223" i="49"/>
  <c r="I222" i="49"/>
  <c r="I221" i="49"/>
  <c r="I220" i="49"/>
  <c r="I219" i="49"/>
  <c r="I218" i="49"/>
  <c r="I217" i="49"/>
  <c r="E237" i="49"/>
  <c r="E236" i="49"/>
  <c r="E235" i="49"/>
  <c r="E234" i="49"/>
  <c r="E233" i="49"/>
  <c r="E232" i="49"/>
  <c r="E231" i="49"/>
  <c r="E230" i="49"/>
  <c r="E229" i="49"/>
  <c r="E228" i="49"/>
  <c r="E227" i="49"/>
  <c r="E226" i="49"/>
  <c r="E225" i="49"/>
  <c r="E224" i="49"/>
  <c r="E223" i="49"/>
  <c r="E222" i="49"/>
  <c r="E221" i="49"/>
  <c r="E220" i="49"/>
  <c r="E219" i="49"/>
  <c r="E217" i="49"/>
  <c r="I187" i="49"/>
  <c r="I188" i="49"/>
  <c r="I189" i="49"/>
  <c r="I190" i="49"/>
  <c r="I191" i="49"/>
  <c r="I192" i="49"/>
  <c r="I193" i="49"/>
  <c r="I194" i="49"/>
  <c r="I195" i="49"/>
  <c r="I196" i="49"/>
  <c r="I197" i="49"/>
  <c r="I198" i="49"/>
  <c r="I199" i="49"/>
  <c r="I200" i="49"/>
  <c r="I201" i="49"/>
  <c r="I202" i="49"/>
  <c r="I203" i="49"/>
  <c r="I204" i="49"/>
  <c r="I205" i="49"/>
  <c r="I206" i="49"/>
  <c r="I186" i="49"/>
  <c r="E187" i="49"/>
  <c r="E188" i="49"/>
  <c r="E189" i="49"/>
  <c r="E190" i="49"/>
  <c r="E191" i="49"/>
  <c r="E192" i="49"/>
  <c r="E193" i="49"/>
  <c r="E194" i="49"/>
  <c r="E195" i="49"/>
  <c r="E196" i="49"/>
  <c r="E197" i="49"/>
  <c r="E198" i="49"/>
  <c r="E199" i="49"/>
  <c r="E200" i="49"/>
  <c r="E201" i="49"/>
  <c r="E202" i="49"/>
  <c r="E203" i="49"/>
  <c r="E204" i="49"/>
  <c r="E205" i="49"/>
  <c r="E206" i="49"/>
  <c r="E186" i="49"/>
  <c r="I173" i="49"/>
  <c r="I172" i="49"/>
  <c r="I171" i="49"/>
  <c r="I170" i="49"/>
  <c r="I169" i="49"/>
  <c r="I168" i="49"/>
  <c r="I167" i="49"/>
  <c r="I166" i="49"/>
  <c r="I165" i="49"/>
  <c r="I164" i="49"/>
  <c r="I163" i="49"/>
  <c r="I162" i="49"/>
  <c r="I161" i="49"/>
  <c r="I160" i="49"/>
  <c r="I159" i="49"/>
  <c r="I158" i="49"/>
  <c r="I157" i="49"/>
  <c r="I156" i="49"/>
  <c r="I155" i="49"/>
  <c r="I154" i="49"/>
  <c r="I153" i="49"/>
  <c r="E173" i="49"/>
  <c r="E172" i="49"/>
  <c r="E171" i="49"/>
  <c r="E170" i="49"/>
  <c r="E169" i="49"/>
  <c r="E168" i="49"/>
  <c r="E167" i="49"/>
  <c r="E166" i="49"/>
  <c r="E165" i="49"/>
  <c r="E164" i="49"/>
  <c r="E163" i="49"/>
  <c r="E162" i="49"/>
  <c r="E161" i="49"/>
  <c r="E160" i="49"/>
  <c r="E159" i="49"/>
  <c r="E158" i="49"/>
  <c r="E157" i="49"/>
  <c r="E156" i="49"/>
  <c r="E155" i="49"/>
  <c r="E154" i="49"/>
  <c r="E153" i="49"/>
  <c r="I142" i="49"/>
  <c r="I141" i="49"/>
  <c r="I140" i="49"/>
  <c r="I139" i="49"/>
  <c r="I138" i="49"/>
  <c r="I137" i="49"/>
  <c r="I136" i="49"/>
  <c r="I135" i="49"/>
  <c r="I134" i="49"/>
  <c r="I133" i="49"/>
  <c r="I132" i="49"/>
  <c r="I131" i="49"/>
  <c r="I130" i="49"/>
  <c r="I129" i="49"/>
  <c r="I128" i="49"/>
  <c r="I127" i="49"/>
  <c r="I126" i="49"/>
  <c r="I125" i="49"/>
  <c r="I124" i="49"/>
  <c r="I123" i="49"/>
  <c r="I122" i="49"/>
  <c r="E142" i="49"/>
  <c r="E141" i="49"/>
  <c r="E140" i="49"/>
  <c r="E139" i="49"/>
  <c r="E138" i="49"/>
  <c r="E137" i="49"/>
  <c r="E136" i="49"/>
  <c r="E135" i="49"/>
  <c r="E134" i="49"/>
  <c r="E133" i="49"/>
  <c r="E132" i="49"/>
  <c r="E131" i="49"/>
  <c r="E130" i="49"/>
  <c r="E129" i="49"/>
  <c r="E128" i="49"/>
  <c r="E127" i="49"/>
  <c r="E126" i="49"/>
  <c r="E125" i="49"/>
  <c r="E124" i="49"/>
  <c r="E123" i="49"/>
  <c r="E122" i="49"/>
  <c r="I109" i="49"/>
  <c r="I108" i="49"/>
  <c r="I107" i="49"/>
  <c r="I106" i="49"/>
  <c r="I105" i="49"/>
  <c r="I104" i="49"/>
  <c r="I103" i="49"/>
  <c r="I102" i="49"/>
  <c r="I101" i="49"/>
  <c r="I100" i="49"/>
  <c r="I99" i="49"/>
  <c r="I98" i="49"/>
  <c r="I97" i="49"/>
  <c r="I96" i="49"/>
  <c r="I95" i="49"/>
  <c r="I94" i="49"/>
  <c r="I93" i="49"/>
  <c r="I92" i="49"/>
  <c r="I91" i="49"/>
  <c r="I90" i="49"/>
  <c r="I89" i="49"/>
  <c r="E109" i="49"/>
  <c r="E108" i="49"/>
  <c r="E107" i="49"/>
  <c r="E106" i="49"/>
  <c r="E105" i="49"/>
  <c r="E104" i="49"/>
  <c r="E103" i="49"/>
  <c r="E102" i="49"/>
  <c r="E101" i="49"/>
  <c r="E100" i="49"/>
  <c r="E99" i="49"/>
  <c r="E98" i="49"/>
  <c r="E97" i="49"/>
  <c r="E96" i="49"/>
  <c r="E95" i="49"/>
  <c r="E94" i="49"/>
  <c r="E93" i="49"/>
  <c r="E92" i="49"/>
  <c r="E91" i="49"/>
  <c r="E90" i="49"/>
  <c r="E89" i="49"/>
  <c r="E75" i="49" l="1"/>
  <c r="C120" i="48"/>
  <c r="C119" i="48"/>
  <c r="C131" i="48"/>
  <c r="P52" i="48"/>
  <c r="G76" i="48"/>
  <c r="H76" i="48" s="1"/>
  <c r="H13" i="48" s="1"/>
  <c r="C96" i="48"/>
  <c r="C95" i="48"/>
  <c r="C94" i="48"/>
  <c r="C93" i="48"/>
  <c r="O29" i="48"/>
  <c r="C92" i="48"/>
  <c r="C91" i="48"/>
  <c r="O27" i="48"/>
  <c r="C90" i="48"/>
  <c r="O26" i="48"/>
  <c r="C89" i="48"/>
  <c r="O25" i="48"/>
  <c r="C88" i="48"/>
  <c r="O24" i="48"/>
  <c r="C87" i="48"/>
  <c r="O23" i="48"/>
  <c r="C86" i="48"/>
  <c r="C85" i="48"/>
  <c r="O21" i="48"/>
  <c r="C84" i="48"/>
  <c r="C83" i="48"/>
  <c r="C82" i="48"/>
  <c r="O18" i="48"/>
  <c r="C81" i="48"/>
  <c r="O17" i="48"/>
  <c r="C80" i="48"/>
  <c r="C79" i="48"/>
  <c r="C78" i="48"/>
  <c r="C77" i="48"/>
  <c r="O13" i="48"/>
  <c r="M76" i="48"/>
  <c r="C76" i="48"/>
  <c r="P75" i="48"/>
  <c r="O75" i="48"/>
  <c r="N75" i="48"/>
  <c r="M75" i="48"/>
  <c r="L75" i="48"/>
  <c r="K75" i="48"/>
  <c r="J75" i="48"/>
  <c r="I75" i="48"/>
  <c r="H75" i="48"/>
  <c r="D75" i="48"/>
  <c r="C75" i="48"/>
  <c r="P74" i="48"/>
  <c r="O74" i="48"/>
  <c r="M74" i="48"/>
  <c r="L74" i="48"/>
  <c r="K74" i="48"/>
  <c r="I74" i="48"/>
  <c r="H74" i="48"/>
  <c r="C74" i="48"/>
  <c r="P73" i="48"/>
  <c r="O73" i="48"/>
  <c r="I73" i="48"/>
  <c r="C73" i="48"/>
  <c r="N72" i="48"/>
  <c r="I72" i="48"/>
  <c r="M45" i="48"/>
  <c r="P44" i="48"/>
  <c r="O44" i="48"/>
  <c r="N44" i="48"/>
  <c r="M44" i="48"/>
  <c r="L44" i="48"/>
  <c r="K44" i="48"/>
  <c r="J44" i="48"/>
  <c r="I44" i="48"/>
  <c r="H44" i="48"/>
  <c r="D44" i="48"/>
  <c r="C44" i="48"/>
  <c r="P43" i="48"/>
  <c r="O43" i="48"/>
  <c r="L43" i="48"/>
  <c r="K43" i="48"/>
  <c r="I43" i="48"/>
  <c r="H43" i="48"/>
  <c r="C43" i="48"/>
  <c r="P42" i="48"/>
  <c r="O42" i="48"/>
  <c r="I42" i="48"/>
  <c r="C42" i="48"/>
  <c r="O33" i="48"/>
  <c r="C33" i="48"/>
  <c r="C32" i="48"/>
  <c r="O31" i="48"/>
  <c r="C31" i="48"/>
  <c r="C30" i="48"/>
  <c r="C29" i="48"/>
  <c r="C28" i="48"/>
  <c r="C27" i="48"/>
  <c r="C26" i="48"/>
  <c r="C25" i="48"/>
  <c r="C24" i="48"/>
  <c r="C23" i="48"/>
  <c r="C22" i="48"/>
  <c r="C21" i="48"/>
  <c r="C20" i="48"/>
  <c r="C19" i="48"/>
  <c r="C18" i="48"/>
  <c r="C17" i="48"/>
  <c r="C16" i="48"/>
  <c r="C15" i="48"/>
  <c r="C14" i="48"/>
  <c r="A14" i="48"/>
  <c r="A15" i="48" s="1"/>
  <c r="A16" i="48" s="1"/>
  <c r="A17" i="48" s="1"/>
  <c r="A18" i="48" s="1"/>
  <c r="A19" i="48" s="1"/>
  <c r="A20" i="48" s="1"/>
  <c r="A21" i="48" s="1"/>
  <c r="A22" i="48" s="1"/>
  <c r="A23" i="48" s="1"/>
  <c r="A24" i="48" s="1"/>
  <c r="A25" i="48" s="1"/>
  <c r="A26" i="48" s="1"/>
  <c r="A27" i="48" s="1"/>
  <c r="A28" i="48" s="1"/>
  <c r="A29" i="48" s="1"/>
  <c r="A30" i="48" s="1"/>
  <c r="A31" i="48" s="1"/>
  <c r="A32" i="48" s="1"/>
  <c r="A33" i="48" s="1"/>
  <c r="A34" i="48" s="1"/>
  <c r="A35" i="48" s="1"/>
  <c r="A36" i="48" s="1"/>
  <c r="A37" i="48" s="1"/>
  <c r="L13" i="48"/>
  <c r="C13" i="48"/>
  <c r="G75" i="48"/>
  <c r="E75" i="48"/>
  <c r="G74" i="48"/>
  <c r="F43" i="48"/>
  <c r="E73" i="48"/>
  <c r="F398" i="49"/>
  <c r="F397" i="49"/>
  <c r="F396" i="49"/>
  <c r="F395" i="49"/>
  <c r="F394" i="49"/>
  <c r="F393" i="49"/>
  <c r="F392" i="49"/>
  <c r="F391" i="49"/>
  <c r="F390" i="49"/>
  <c r="F389" i="49"/>
  <c r="F388" i="49"/>
  <c r="F387" i="49"/>
  <c r="F386" i="49"/>
  <c r="F385" i="49"/>
  <c r="F384" i="49"/>
  <c r="F383" i="49"/>
  <c r="F382" i="49"/>
  <c r="F381" i="49"/>
  <c r="F380" i="49"/>
  <c r="F379" i="49"/>
  <c r="F378" i="49"/>
  <c r="J378" i="49" s="1"/>
  <c r="K378" i="49" s="1"/>
  <c r="K376" i="49"/>
  <c r="J376" i="49"/>
  <c r="I376" i="49"/>
  <c r="H376" i="49"/>
  <c r="G376" i="49"/>
  <c r="F376" i="49"/>
  <c r="E376" i="49"/>
  <c r="D376" i="49"/>
  <c r="K375" i="49"/>
  <c r="J375" i="49"/>
  <c r="I375" i="49"/>
  <c r="H375" i="49"/>
  <c r="G375" i="49"/>
  <c r="F375" i="49"/>
  <c r="E375" i="49"/>
  <c r="D375" i="49"/>
  <c r="G374" i="49"/>
  <c r="F365" i="49"/>
  <c r="F364" i="49"/>
  <c r="F363" i="49"/>
  <c r="F362" i="49"/>
  <c r="F361" i="49"/>
  <c r="F360" i="49"/>
  <c r="F359" i="49"/>
  <c r="F358" i="49"/>
  <c r="F357" i="49"/>
  <c r="F356" i="49"/>
  <c r="F355" i="49"/>
  <c r="F354" i="49"/>
  <c r="F353" i="49"/>
  <c r="F352" i="49"/>
  <c r="F351" i="49"/>
  <c r="F350" i="49"/>
  <c r="F349" i="49"/>
  <c r="F348" i="49"/>
  <c r="F347" i="49"/>
  <c r="F346" i="49"/>
  <c r="F345" i="49"/>
  <c r="J344" i="49"/>
  <c r="K343" i="49"/>
  <c r="J343" i="49"/>
  <c r="I343" i="49"/>
  <c r="H343" i="49"/>
  <c r="G343" i="49"/>
  <c r="F343" i="49"/>
  <c r="E343" i="49"/>
  <c r="D343" i="49"/>
  <c r="K342" i="49"/>
  <c r="J342" i="49"/>
  <c r="I342" i="49"/>
  <c r="H342" i="49"/>
  <c r="G342" i="49"/>
  <c r="F342" i="49"/>
  <c r="E342" i="49"/>
  <c r="D342" i="49"/>
  <c r="G341" i="49"/>
  <c r="F334" i="49"/>
  <c r="F333" i="49"/>
  <c r="F332" i="49"/>
  <c r="F331" i="49"/>
  <c r="F330" i="49"/>
  <c r="F329" i="49"/>
  <c r="F328" i="49"/>
  <c r="F327" i="49"/>
  <c r="F326" i="49"/>
  <c r="F325" i="49"/>
  <c r="F324" i="49"/>
  <c r="F323" i="49"/>
  <c r="F322" i="49"/>
  <c r="F321" i="49"/>
  <c r="F320" i="49"/>
  <c r="F319" i="49"/>
  <c r="F318" i="49"/>
  <c r="F317" i="49"/>
  <c r="F316" i="49"/>
  <c r="F315" i="49"/>
  <c r="F314" i="49"/>
  <c r="J313" i="49"/>
  <c r="K312" i="49"/>
  <c r="J312" i="49"/>
  <c r="I312" i="49"/>
  <c r="H312" i="49"/>
  <c r="G312" i="49"/>
  <c r="F312" i="49"/>
  <c r="E312" i="49"/>
  <c r="D312" i="49"/>
  <c r="K311" i="49"/>
  <c r="J311" i="49"/>
  <c r="I311" i="49"/>
  <c r="H311" i="49"/>
  <c r="G311" i="49"/>
  <c r="F311" i="49"/>
  <c r="E311" i="49"/>
  <c r="D311" i="49"/>
  <c r="G310" i="49"/>
  <c r="F301" i="49"/>
  <c r="F300" i="49"/>
  <c r="F299" i="49"/>
  <c r="F298" i="49"/>
  <c r="F297" i="49"/>
  <c r="I70" i="49"/>
  <c r="G60" i="48" s="1"/>
  <c r="F296" i="49"/>
  <c r="F295" i="49"/>
  <c r="F294" i="49"/>
  <c r="F293" i="49"/>
  <c r="F292" i="49"/>
  <c r="F291" i="49"/>
  <c r="F290" i="49"/>
  <c r="F289" i="49"/>
  <c r="F288" i="49"/>
  <c r="F287" i="49"/>
  <c r="F286" i="49"/>
  <c r="F285" i="49"/>
  <c r="F284" i="49"/>
  <c r="F283" i="49"/>
  <c r="F282" i="49"/>
  <c r="F281" i="49"/>
  <c r="J280" i="49"/>
  <c r="K279" i="49"/>
  <c r="J279" i="49"/>
  <c r="I279" i="49"/>
  <c r="H279" i="49"/>
  <c r="G279" i="49"/>
  <c r="F279" i="49"/>
  <c r="E279" i="49"/>
  <c r="D279" i="49"/>
  <c r="K278" i="49"/>
  <c r="J278" i="49"/>
  <c r="I278" i="49"/>
  <c r="H278" i="49"/>
  <c r="G278" i="49"/>
  <c r="F278" i="49"/>
  <c r="E278" i="49"/>
  <c r="D278" i="49"/>
  <c r="G277" i="49"/>
  <c r="F269" i="49"/>
  <c r="F268" i="49"/>
  <c r="F267" i="49"/>
  <c r="F266" i="49"/>
  <c r="F265" i="49"/>
  <c r="F264" i="49"/>
  <c r="F263" i="49"/>
  <c r="F262" i="49"/>
  <c r="F261" i="49"/>
  <c r="F260" i="49"/>
  <c r="F259" i="49"/>
  <c r="F258" i="49"/>
  <c r="F257" i="49"/>
  <c r="F256" i="49"/>
  <c r="F255" i="49"/>
  <c r="F254" i="49"/>
  <c r="E58" i="49"/>
  <c r="F252" i="49"/>
  <c r="F251" i="49"/>
  <c r="F250" i="49"/>
  <c r="J249" i="49"/>
  <c r="K248" i="49"/>
  <c r="J248" i="49"/>
  <c r="I248" i="49"/>
  <c r="H248" i="49"/>
  <c r="F248" i="49"/>
  <c r="E248" i="49"/>
  <c r="D248" i="49"/>
  <c r="K247" i="49"/>
  <c r="J247" i="49"/>
  <c r="I247" i="49"/>
  <c r="H247" i="49"/>
  <c r="F247" i="49"/>
  <c r="E247" i="49"/>
  <c r="D247" i="49"/>
  <c r="F237" i="49"/>
  <c r="F236" i="49"/>
  <c r="F235" i="49"/>
  <c r="F234" i="49"/>
  <c r="F233" i="49"/>
  <c r="F232" i="49"/>
  <c r="F231" i="49"/>
  <c r="F230" i="49"/>
  <c r="F229" i="49"/>
  <c r="F228" i="49"/>
  <c r="F227" i="49"/>
  <c r="F226" i="49"/>
  <c r="F225" i="49"/>
  <c r="F224" i="49"/>
  <c r="F223" i="49"/>
  <c r="F222" i="49"/>
  <c r="F221" i="49"/>
  <c r="F220" i="49"/>
  <c r="F219" i="49"/>
  <c r="F218" i="49"/>
  <c r="F217" i="49"/>
  <c r="J216" i="49"/>
  <c r="K215" i="49"/>
  <c r="J215" i="49"/>
  <c r="I215" i="49"/>
  <c r="H215" i="49"/>
  <c r="G215" i="49"/>
  <c r="F215" i="49"/>
  <c r="E215" i="49"/>
  <c r="D215" i="49"/>
  <c r="K214" i="49"/>
  <c r="J214" i="49"/>
  <c r="I214" i="49"/>
  <c r="H214" i="49"/>
  <c r="G214" i="49"/>
  <c r="F214" i="49"/>
  <c r="E214" i="49"/>
  <c r="D214" i="49"/>
  <c r="G213" i="49"/>
  <c r="F206" i="49"/>
  <c r="F205" i="49"/>
  <c r="F204" i="49"/>
  <c r="F203" i="49"/>
  <c r="F202" i="49"/>
  <c r="F201" i="49"/>
  <c r="F200" i="49"/>
  <c r="F199" i="49"/>
  <c r="F198" i="49"/>
  <c r="E66" i="49"/>
  <c r="F196" i="49"/>
  <c r="F195" i="49"/>
  <c r="F194" i="49"/>
  <c r="I62" i="49"/>
  <c r="G52" i="48" s="1"/>
  <c r="F193" i="49"/>
  <c r="F192" i="49"/>
  <c r="F191" i="49"/>
  <c r="F190" i="49"/>
  <c r="F189" i="49"/>
  <c r="F188" i="49"/>
  <c r="F187" i="49"/>
  <c r="F186" i="49"/>
  <c r="J185" i="49"/>
  <c r="K184" i="49"/>
  <c r="J184" i="49"/>
  <c r="I184" i="49"/>
  <c r="H184" i="49"/>
  <c r="G184" i="49"/>
  <c r="F184" i="49"/>
  <c r="E184" i="49"/>
  <c r="D184" i="49"/>
  <c r="K183" i="49"/>
  <c r="J183" i="49"/>
  <c r="I183" i="49"/>
  <c r="H183" i="49"/>
  <c r="G183" i="49"/>
  <c r="F183" i="49"/>
  <c r="E183" i="49"/>
  <c r="D183" i="49"/>
  <c r="G182" i="49"/>
  <c r="F173" i="49"/>
  <c r="F172" i="49"/>
  <c r="F171" i="49"/>
  <c r="F170" i="49"/>
  <c r="F169" i="49"/>
  <c r="F168" i="49"/>
  <c r="F167" i="49"/>
  <c r="F166" i="49"/>
  <c r="F165" i="49"/>
  <c r="F164" i="49"/>
  <c r="F163" i="49"/>
  <c r="F162" i="49"/>
  <c r="F161" i="49"/>
  <c r="F160" i="49"/>
  <c r="F159" i="49"/>
  <c r="F158" i="49"/>
  <c r="F157" i="49"/>
  <c r="F156" i="49"/>
  <c r="F155" i="49"/>
  <c r="F154" i="49"/>
  <c r="F153" i="49"/>
  <c r="J152" i="49"/>
  <c r="K151" i="49"/>
  <c r="J151" i="49"/>
  <c r="I151" i="49"/>
  <c r="H151" i="49"/>
  <c r="G151" i="49"/>
  <c r="F151" i="49"/>
  <c r="E151" i="49"/>
  <c r="D151" i="49"/>
  <c r="K150" i="49"/>
  <c r="J150" i="49"/>
  <c r="I150" i="49"/>
  <c r="H150" i="49"/>
  <c r="G150" i="49"/>
  <c r="F150" i="49"/>
  <c r="E150" i="49"/>
  <c r="D150" i="49"/>
  <c r="G149" i="49"/>
  <c r="F142" i="49"/>
  <c r="F141" i="49"/>
  <c r="F140" i="49"/>
  <c r="F139" i="49"/>
  <c r="F138" i="49"/>
  <c r="F137" i="49"/>
  <c r="F136" i="49"/>
  <c r="I68" i="49"/>
  <c r="G58" i="48" s="1"/>
  <c r="F135" i="49"/>
  <c r="F134" i="49"/>
  <c r="F133" i="49"/>
  <c r="F132" i="49"/>
  <c r="I64" i="49"/>
  <c r="G54" i="48" s="1"/>
  <c r="F131" i="49"/>
  <c r="F130" i="49"/>
  <c r="F129" i="49"/>
  <c r="F128" i="49"/>
  <c r="F127" i="49"/>
  <c r="F126" i="49"/>
  <c r="F125" i="49"/>
  <c r="F124" i="49"/>
  <c r="F123" i="49"/>
  <c r="F122" i="49"/>
  <c r="J121" i="49"/>
  <c r="K120" i="49"/>
  <c r="J120" i="49"/>
  <c r="I120" i="49"/>
  <c r="H120" i="49"/>
  <c r="G120" i="49"/>
  <c r="F120" i="49"/>
  <c r="E120" i="49"/>
  <c r="D120" i="49"/>
  <c r="K119" i="49"/>
  <c r="J119" i="49"/>
  <c r="I119" i="49"/>
  <c r="H119" i="49"/>
  <c r="G119" i="49"/>
  <c r="F119" i="49"/>
  <c r="E119" i="49"/>
  <c r="D119" i="49"/>
  <c r="G118" i="49"/>
  <c r="F109" i="49"/>
  <c r="F108" i="49"/>
  <c r="I73" i="49"/>
  <c r="G63" i="48" s="1"/>
  <c r="F106" i="49"/>
  <c r="F105" i="49"/>
  <c r="F104" i="49"/>
  <c r="F103" i="49"/>
  <c r="F102" i="49"/>
  <c r="F101" i="49"/>
  <c r="F100" i="49"/>
  <c r="I65" i="49"/>
  <c r="G55" i="48" s="1"/>
  <c r="E65" i="49"/>
  <c r="F98" i="49"/>
  <c r="I63" i="49"/>
  <c r="G53" i="48" s="1"/>
  <c r="F97" i="49"/>
  <c r="F96" i="49"/>
  <c r="F95" i="49"/>
  <c r="F94" i="49"/>
  <c r="F93" i="49"/>
  <c r="F92" i="49"/>
  <c r="I57" i="49"/>
  <c r="G47" i="48" s="1"/>
  <c r="F91" i="49"/>
  <c r="F90" i="49"/>
  <c r="F89" i="49"/>
  <c r="J88" i="49"/>
  <c r="K87" i="49"/>
  <c r="J87" i="49"/>
  <c r="I87" i="49"/>
  <c r="H87" i="49"/>
  <c r="G87" i="49"/>
  <c r="F87" i="49"/>
  <c r="E87" i="49"/>
  <c r="D87" i="49"/>
  <c r="K86" i="49"/>
  <c r="J86" i="49"/>
  <c r="I86" i="49"/>
  <c r="H86" i="49"/>
  <c r="G86" i="49"/>
  <c r="F86" i="49"/>
  <c r="E86" i="49"/>
  <c r="D86" i="49"/>
  <c r="G85" i="49"/>
  <c r="H75" i="49"/>
  <c r="F65" i="48" s="1"/>
  <c r="F33" i="48" s="1"/>
  <c r="G75" i="49"/>
  <c r="E65" i="48" s="1"/>
  <c r="E33" i="48" s="1"/>
  <c r="I74" i="49"/>
  <c r="G64" i="48" s="1"/>
  <c r="H74" i="49"/>
  <c r="F64" i="48" s="1"/>
  <c r="F32" i="48" s="1"/>
  <c r="G74" i="49"/>
  <c r="E64" i="48" s="1"/>
  <c r="E32" i="48" s="1"/>
  <c r="E74" i="49"/>
  <c r="D74" i="49"/>
  <c r="H73" i="49"/>
  <c r="F63" i="48" s="1"/>
  <c r="F31" i="48" s="1"/>
  <c r="G73" i="49"/>
  <c r="E63" i="48" s="1"/>
  <c r="E31" i="48" s="1"/>
  <c r="D73" i="49"/>
  <c r="I72" i="49"/>
  <c r="G62" i="48" s="1"/>
  <c r="H72" i="49"/>
  <c r="F62" i="48" s="1"/>
  <c r="F30" i="48" s="1"/>
  <c r="G72" i="49"/>
  <c r="E62" i="48" s="1"/>
  <c r="E30" i="48" s="1"/>
  <c r="D72" i="49"/>
  <c r="H71" i="49"/>
  <c r="F61" i="48" s="1"/>
  <c r="F29" i="48" s="1"/>
  <c r="G71" i="49"/>
  <c r="E61" i="48" s="1"/>
  <c r="E29" i="48" s="1"/>
  <c r="E71" i="49"/>
  <c r="D71" i="49"/>
  <c r="H70" i="49"/>
  <c r="F60" i="48" s="1"/>
  <c r="F28" i="48" s="1"/>
  <c r="G70" i="49"/>
  <c r="E60" i="48" s="1"/>
  <c r="E28" i="48" s="1"/>
  <c r="E70" i="49"/>
  <c r="D70" i="49"/>
  <c r="I69" i="49"/>
  <c r="G59" i="48" s="1"/>
  <c r="H69" i="49"/>
  <c r="F59" i="48" s="1"/>
  <c r="F27" i="48" s="1"/>
  <c r="G69" i="49"/>
  <c r="E59" i="48" s="1"/>
  <c r="E27" i="48" s="1"/>
  <c r="D69" i="49"/>
  <c r="H68" i="49"/>
  <c r="F58" i="48" s="1"/>
  <c r="F26" i="48" s="1"/>
  <c r="G68" i="49"/>
  <c r="E58" i="48" s="1"/>
  <c r="E26" i="48" s="1"/>
  <c r="E68" i="49"/>
  <c r="D68" i="49"/>
  <c r="H67" i="49"/>
  <c r="F57" i="48" s="1"/>
  <c r="F25" i="48" s="1"/>
  <c r="G67" i="49"/>
  <c r="E57" i="48" s="1"/>
  <c r="E25" i="48" s="1"/>
  <c r="D67" i="49"/>
  <c r="I66" i="49"/>
  <c r="G56" i="48" s="1"/>
  <c r="H66" i="49"/>
  <c r="F56" i="48" s="1"/>
  <c r="F24" i="48" s="1"/>
  <c r="G66" i="49"/>
  <c r="E56" i="48" s="1"/>
  <c r="E24" i="48" s="1"/>
  <c r="D66" i="49"/>
  <c r="H65" i="49"/>
  <c r="F55" i="48" s="1"/>
  <c r="F23" i="48" s="1"/>
  <c r="G65" i="49"/>
  <c r="E55" i="48" s="1"/>
  <c r="E23" i="48" s="1"/>
  <c r="D65" i="49"/>
  <c r="H64" i="49"/>
  <c r="F54" i="48" s="1"/>
  <c r="F22" i="48" s="1"/>
  <c r="G64" i="49"/>
  <c r="E54" i="48" s="1"/>
  <c r="E22" i="48" s="1"/>
  <c r="E64" i="49"/>
  <c r="D64" i="49"/>
  <c r="H63" i="49"/>
  <c r="F53" i="48" s="1"/>
  <c r="F21" i="48" s="1"/>
  <c r="G63" i="49"/>
  <c r="E53" i="48" s="1"/>
  <c r="E21" i="48" s="1"/>
  <c r="E63" i="49"/>
  <c r="D63" i="49"/>
  <c r="H62" i="49"/>
  <c r="F52" i="48" s="1"/>
  <c r="F20" i="48" s="1"/>
  <c r="G62" i="49"/>
  <c r="E52" i="48" s="1"/>
  <c r="E20" i="48" s="1"/>
  <c r="E62" i="49"/>
  <c r="D62" i="49"/>
  <c r="I61" i="49"/>
  <c r="G51" i="48" s="1"/>
  <c r="H61" i="49"/>
  <c r="F51" i="48" s="1"/>
  <c r="F19" i="48" s="1"/>
  <c r="G61" i="49"/>
  <c r="E51" i="48" s="1"/>
  <c r="E19" i="48" s="1"/>
  <c r="D61" i="49"/>
  <c r="I60" i="49"/>
  <c r="G50" i="48" s="1"/>
  <c r="H60" i="49"/>
  <c r="F50" i="48" s="1"/>
  <c r="F18" i="48" s="1"/>
  <c r="G60" i="49"/>
  <c r="E50" i="48" s="1"/>
  <c r="E18" i="48" s="1"/>
  <c r="D60" i="49"/>
  <c r="H59" i="49"/>
  <c r="F49" i="48" s="1"/>
  <c r="F17" i="48" s="1"/>
  <c r="G59" i="49"/>
  <c r="E49" i="48" s="1"/>
  <c r="E17" i="48" s="1"/>
  <c r="D59" i="49"/>
  <c r="I58" i="49"/>
  <c r="G48" i="48" s="1"/>
  <c r="H58" i="49"/>
  <c r="F48" i="48" s="1"/>
  <c r="F16" i="48" s="1"/>
  <c r="G58" i="49"/>
  <c r="E48" i="48" s="1"/>
  <c r="E16" i="48" s="1"/>
  <c r="D58" i="49"/>
  <c r="H57" i="49"/>
  <c r="F47" i="48" s="1"/>
  <c r="F15" i="48" s="1"/>
  <c r="G57" i="49"/>
  <c r="E47" i="48" s="1"/>
  <c r="E15" i="48" s="1"/>
  <c r="D57" i="49"/>
  <c r="I56" i="49"/>
  <c r="G46" i="48" s="1"/>
  <c r="H56" i="49"/>
  <c r="F46" i="48" s="1"/>
  <c r="F14" i="48" s="1"/>
  <c r="G56" i="49"/>
  <c r="E46" i="48" s="1"/>
  <c r="E14" i="48" s="1"/>
  <c r="E56" i="49"/>
  <c r="D56" i="49"/>
  <c r="H55" i="49"/>
  <c r="F45" i="48" s="1"/>
  <c r="F13" i="48" s="1"/>
  <c r="G55" i="49"/>
  <c r="E45" i="48" s="1"/>
  <c r="D55" i="49"/>
  <c r="G46" i="49"/>
  <c r="F46" i="49"/>
  <c r="E46" i="49"/>
  <c r="D46" i="49"/>
  <c r="I26" i="49"/>
  <c r="H26" i="49"/>
  <c r="G26" i="49"/>
  <c r="F26" i="49"/>
  <c r="E26" i="49"/>
  <c r="D25" i="49"/>
  <c r="D24" i="49"/>
  <c r="D23" i="49"/>
  <c r="D22" i="49"/>
  <c r="D21" i="49"/>
  <c r="D20" i="49"/>
  <c r="D19" i="49"/>
  <c r="D18" i="49"/>
  <c r="D17" i="49"/>
  <c r="D16" i="49"/>
  <c r="D15" i="49"/>
  <c r="D14" i="49"/>
  <c r="A14" i="49"/>
  <c r="A15" i="49" s="1"/>
  <c r="A16" i="49" s="1"/>
  <c r="A17" i="49" s="1"/>
  <c r="A18" i="49" s="1"/>
  <c r="A19" i="49" s="1"/>
  <c r="A20" i="49" s="1"/>
  <c r="A21" i="49" s="1"/>
  <c r="A22" i="49" s="1"/>
  <c r="A23" i="49" s="1"/>
  <c r="A24" i="49" s="1"/>
  <c r="A25" i="49" s="1"/>
  <c r="D13" i="49"/>
  <c r="A45" i="48" l="1"/>
  <c r="A46" i="48" s="1"/>
  <c r="A47" i="48" s="1"/>
  <c r="A48" i="48" s="1"/>
  <c r="A49" i="48" s="1"/>
  <c r="A50" i="48" s="1"/>
  <c r="A51" i="48" s="1"/>
  <c r="A52" i="48" s="1"/>
  <c r="A53" i="48" s="1"/>
  <c r="A54" i="48" s="1"/>
  <c r="A55" i="48" s="1"/>
  <c r="A56" i="48" s="1"/>
  <c r="A57" i="48" s="1"/>
  <c r="A58" i="48" s="1"/>
  <c r="A59" i="48" s="1"/>
  <c r="A60" i="48" s="1"/>
  <c r="A61" i="48" s="1"/>
  <c r="A62" i="48" s="1"/>
  <c r="A63" i="48" s="1"/>
  <c r="A64" i="48" s="1"/>
  <c r="A65" i="48" s="1"/>
  <c r="G41" i="57"/>
  <c r="E78" i="7"/>
  <c r="J281" i="49"/>
  <c r="K281" i="49" s="1"/>
  <c r="J89" i="49"/>
  <c r="K89" i="49" s="1"/>
  <c r="J122" i="49"/>
  <c r="K122" i="49" s="1"/>
  <c r="A26" i="49"/>
  <c r="A33" i="49" s="1"/>
  <c r="A34" i="49" s="1"/>
  <c r="A35" i="49" s="1"/>
  <c r="A36" i="49" s="1"/>
  <c r="A37" i="49" s="1"/>
  <c r="A38" i="49" s="1"/>
  <c r="A39" i="49" s="1"/>
  <c r="A40" i="49" s="1"/>
  <c r="A41" i="49" s="1"/>
  <c r="A42" i="49" s="1"/>
  <c r="A43" i="49" s="1"/>
  <c r="A44" i="49" s="1"/>
  <c r="A45" i="49" s="1"/>
  <c r="E57" i="7"/>
  <c r="E46" i="7"/>
  <c r="E53" i="7"/>
  <c r="J314" i="49"/>
  <c r="J345" i="49"/>
  <c r="K345" i="49" s="1"/>
  <c r="J217" i="49"/>
  <c r="K217" i="49" s="1"/>
  <c r="J186" i="49"/>
  <c r="K186" i="49" s="1"/>
  <c r="E16" i="71"/>
  <c r="F33" i="11"/>
  <c r="E15" i="71"/>
  <c r="F32" i="11"/>
  <c r="E17" i="71"/>
  <c r="F34" i="11"/>
  <c r="E14" i="71"/>
  <c r="F31" i="11"/>
  <c r="J54" i="49"/>
  <c r="D46" i="7"/>
  <c r="E12" i="71"/>
  <c r="F29" i="11"/>
  <c r="D26" i="49"/>
  <c r="E9" i="71"/>
  <c r="F26" i="11"/>
  <c r="E13" i="71"/>
  <c r="F30" i="11"/>
  <c r="E10" i="71"/>
  <c r="F27" i="11"/>
  <c r="E11" i="71"/>
  <c r="F28" i="11"/>
  <c r="J379" i="49"/>
  <c r="F62" i="49"/>
  <c r="J250" i="49"/>
  <c r="F63" i="49"/>
  <c r="F67" i="49"/>
  <c r="F60" i="49"/>
  <c r="F69" i="49"/>
  <c r="F61" i="49"/>
  <c r="F68" i="49"/>
  <c r="F64" i="49"/>
  <c r="F59" i="49"/>
  <c r="F71" i="49"/>
  <c r="F70" i="49"/>
  <c r="F57" i="49"/>
  <c r="F55" i="49"/>
  <c r="M13" i="48"/>
  <c r="P95" i="48"/>
  <c r="P78" i="48"/>
  <c r="F74" i="48"/>
  <c r="E44" i="48"/>
  <c r="E13" i="48"/>
  <c r="G79" i="48"/>
  <c r="H79" i="48" s="1"/>
  <c r="H16" i="48" s="1"/>
  <c r="P92" i="48"/>
  <c r="P79" i="48"/>
  <c r="P87" i="48"/>
  <c r="P94" i="48"/>
  <c r="G86" i="48"/>
  <c r="H86" i="48" s="1"/>
  <c r="H23" i="48" s="1"/>
  <c r="P54" i="48"/>
  <c r="G44" i="48"/>
  <c r="P50" i="48"/>
  <c r="P57" i="48"/>
  <c r="G78" i="48"/>
  <c r="H78" i="48" s="1"/>
  <c r="H15" i="48" s="1"/>
  <c r="P84" i="48"/>
  <c r="G83" i="48"/>
  <c r="H83" i="48" s="1"/>
  <c r="H20" i="48" s="1"/>
  <c r="G85" i="48"/>
  <c r="H85" i="48" s="1"/>
  <c r="H22" i="48" s="1"/>
  <c r="G91" i="48"/>
  <c r="G28" i="48" s="1"/>
  <c r="P93" i="48"/>
  <c r="P49" i="48"/>
  <c r="P56" i="48"/>
  <c r="P58" i="48"/>
  <c r="G77" i="48"/>
  <c r="H77" i="48" s="1"/>
  <c r="H14" i="48" s="1"/>
  <c r="G81" i="48"/>
  <c r="H81" i="48" s="1"/>
  <c r="I81" i="48" s="1"/>
  <c r="P85" i="48"/>
  <c r="G87" i="48"/>
  <c r="G24" i="48" s="1"/>
  <c r="G89" i="48"/>
  <c r="P91" i="48"/>
  <c r="F75" i="48"/>
  <c r="F44" i="48"/>
  <c r="O15" i="48"/>
  <c r="I76" i="48"/>
  <c r="P89" i="48"/>
  <c r="P60" i="48"/>
  <c r="P65" i="48"/>
  <c r="P76" i="48"/>
  <c r="P82" i="48"/>
  <c r="P83" i="48"/>
  <c r="P20" i="48" s="1"/>
  <c r="O28" i="48"/>
  <c r="E42" i="48"/>
  <c r="P46" i="48"/>
  <c r="P64" i="48"/>
  <c r="P77" i="48"/>
  <c r="O14" i="48"/>
  <c r="O20" i="48"/>
  <c r="P48" i="48"/>
  <c r="P62" i="48"/>
  <c r="P80" i="48"/>
  <c r="G90" i="48"/>
  <c r="G82" i="48"/>
  <c r="G19" i="48" s="1"/>
  <c r="P61" i="48"/>
  <c r="P53" i="48"/>
  <c r="P45" i="48"/>
  <c r="P96" i="48"/>
  <c r="G93" i="48"/>
  <c r="P88" i="48"/>
  <c r="G96" i="48"/>
  <c r="G88" i="48"/>
  <c r="G80" i="48"/>
  <c r="P59" i="48"/>
  <c r="P51" i="48"/>
  <c r="G92" i="48"/>
  <c r="G84" i="48"/>
  <c r="P63" i="48"/>
  <c r="P55" i="48"/>
  <c r="P47" i="48"/>
  <c r="P86" i="48"/>
  <c r="P90" i="48"/>
  <c r="E74" i="48"/>
  <c r="E43" i="48"/>
  <c r="P81" i="48"/>
  <c r="O16" i="48"/>
  <c r="O32" i="48"/>
  <c r="G43" i="48"/>
  <c r="G94" i="48"/>
  <c r="G95" i="48"/>
  <c r="O22" i="48"/>
  <c r="O30" i="48"/>
  <c r="F56" i="49"/>
  <c r="J90" i="49"/>
  <c r="K90" i="49" s="1"/>
  <c r="F72" i="49"/>
  <c r="F74" i="49"/>
  <c r="F253" i="49"/>
  <c r="F58" i="49" s="1"/>
  <c r="F270" i="49"/>
  <c r="F75" i="49" s="1"/>
  <c r="E72" i="49"/>
  <c r="I67" i="49"/>
  <c r="G57" i="48" s="1"/>
  <c r="E60" i="49"/>
  <c r="E73" i="49"/>
  <c r="I71" i="49"/>
  <c r="G61" i="48" s="1"/>
  <c r="F107" i="49"/>
  <c r="F73" i="49" s="1"/>
  <c r="I75" i="49"/>
  <c r="G65" i="48" s="1"/>
  <c r="I55" i="49"/>
  <c r="G45" i="48" s="1"/>
  <c r="K45" i="48" s="1"/>
  <c r="N45" i="48" s="1"/>
  <c r="E57" i="49"/>
  <c r="F197" i="49"/>
  <c r="F66" i="49" s="1"/>
  <c r="E55" i="49"/>
  <c r="F99" i="49"/>
  <c r="F65" i="49" s="1"/>
  <c r="E59" i="49"/>
  <c r="E67" i="49"/>
  <c r="I59" i="49"/>
  <c r="G49" i="48" s="1"/>
  <c r="E61" i="49"/>
  <c r="E69" i="49"/>
  <c r="J153" i="49"/>
  <c r="K153" i="49" s="1"/>
  <c r="J380" i="49" l="1"/>
  <c r="K380" i="49" s="1"/>
  <c r="K379" i="49"/>
  <c r="J315" i="49"/>
  <c r="K315" i="49" s="1"/>
  <c r="K314" i="49"/>
  <c r="J251" i="49"/>
  <c r="K251" i="49" s="1"/>
  <c r="K250" i="49"/>
  <c r="P24" i="48"/>
  <c r="J282" i="49"/>
  <c r="K282" i="49" s="1"/>
  <c r="A66" i="48"/>
  <c r="A67" i="48" s="1"/>
  <c r="A68" i="48" s="1"/>
  <c r="A76" i="48" s="1"/>
  <c r="A77" i="48" s="1"/>
  <c r="A78" i="48" s="1"/>
  <c r="A79" i="48" s="1"/>
  <c r="A80" i="48" s="1"/>
  <c r="A81" i="48" s="1"/>
  <c r="A82" i="48" s="1"/>
  <c r="A83" i="48" s="1"/>
  <c r="A84" i="48" s="1"/>
  <c r="A85" i="48" s="1"/>
  <c r="A86" i="48" s="1"/>
  <c r="A87" i="48" s="1"/>
  <c r="A88" i="48" s="1"/>
  <c r="A89" i="48" s="1"/>
  <c r="A90" i="48" s="1"/>
  <c r="A91" i="48" s="1"/>
  <c r="A92" i="48" s="1"/>
  <c r="A93" i="48" s="1"/>
  <c r="A94" i="48" s="1"/>
  <c r="A95" i="48" s="1"/>
  <c r="A96" i="48" s="1"/>
  <c r="A97" i="48" s="1"/>
  <c r="A98" i="48" s="1"/>
  <c r="A99" i="48" s="1"/>
  <c r="A103" i="48" s="1"/>
  <c r="J187" i="49"/>
  <c r="K187" i="49" s="1"/>
  <c r="J123" i="49"/>
  <c r="A46" i="49"/>
  <c r="A54" i="49" s="1"/>
  <c r="A55" i="49" s="1"/>
  <c r="A56" i="49" s="1"/>
  <c r="A57" i="49" s="1"/>
  <c r="A58" i="49" s="1"/>
  <c r="A59" i="49" s="1"/>
  <c r="A60" i="49" s="1"/>
  <c r="A61" i="49" s="1"/>
  <c r="A62" i="49" s="1"/>
  <c r="A63" i="49" s="1"/>
  <c r="A64" i="49" s="1"/>
  <c r="A65" i="49" s="1"/>
  <c r="A66" i="49" s="1"/>
  <c r="A67" i="49" s="1"/>
  <c r="A68" i="49" s="1"/>
  <c r="A69" i="49" s="1"/>
  <c r="A70" i="49" s="1"/>
  <c r="A71" i="49" s="1"/>
  <c r="A72" i="49" s="1"/>
  <c r="A73" i="49" s="1"/>
  <c r="A74" i="49" s="1"/>
  <c r="A75" i="49" s="1"/>
  <c r="A76" i="49" s="1"/>
  <c r="A77" i="49" s="1"/>
  <c r="A78" i="49" s="1"/>
  <c r="A79" i="49" s="1"/>
  <c r="P28" i="48"/>
  <c r="J346" i="49"/>
  <c r="K346" i="49" s="1"/>
  <c r="J218" i="49"/>
  <c r="K218" i="49" s="1"/>
  <c r="J55" i="49"/>
  <c r="G29" i="48"/>
  <c r="G25" i="48"/>
  <c r="G13" i="48"/>
  <c r="P32" i="48"/>
  <c r="P30" i="48"/>
  <c r="H18" i="48"/>
  <c r="P13" i="48"/>
  <c r="P15" i="48"/>
  <c r="G14" i="48"/>
  <c r="I78" i="48"/>
  <c r="J78" i="48" s="1"/>
  <c r="J15" i="48" s="1"/>
  <c r="K46" i="48"/>
  <c r="K47" i="48" s="1"/>
  <c r="P29" i="48"/>
  <c r="I86" i="48"/>
  <c r="I23" i="48" s="1"/>
  <c r="I79" i="48"/>
  <c r="J79" i="48" s="1"/>
  <c r="J16" i="48" s="1"/>
  <c r="P19" i="48"/>
  <c r="G16" i="48"/>
  <c r="E120" i="48"/>
  <c r="G18" i="48"/>
  <c r="G15" i="48"/>
  <c r="G20" i="48"/>
  <c r="P31" i="48"/>
  <c r="P25" i="48"/>
  <c r="P17" i="48"/>
  <c r="P26" i="48"/>
  <c r="P22" i="48"/>
  <c r="I77" i="48"/>
  <c r="J77" i="48" s="1"/>
  <c r="J14" i="48" s="1"/>
  <c r="I83" i="48"/>
  <c r="I20" i="48" s="1"/>
  <c r="H89" i="48"/>
  <c r="G26" i="48"/>
  <c r="P21" i="48"/>
  <c r="P16" i="48"/>
  <c r="H87" i="48"/>
  <c r="H24" i="48" s="1"/>
  <c r="I85" i="48"/>
  <c r="J85" i="48" s="1"/>
  <c r="J22" i="48" s="1"/>
  <c r="P18" i="48"/>
  <c r="G23" i="48"/>
  <c r="G22" i="48"/>
  <c r="H91" i="48"/>
  <c r="H28" i="48" s="1"/>
  <c r="H93" i="48"/>
  <c r="H30" i="48" s="1"/>
  <c r="H95" i="48"/>
  <c r="H32" i="48" s="1"/>
  <c r="G32" i="48"/>
  <c r="E119" i="48"/>
  <c r="H80" i="48"/>
  <c r="H17" i="48" s="1"/>
  <c r="G17" i="48"/>
  <c r="J81" i="48"/>
  <c r="J18" i="48" s="1"/>
  <c r="I18" i="48"/>
  <c r="G31" i="48"/>
  <c r="H94" i="48"/>
  <c r="H31" i="48" s="1"/>
  <c r="H88" i="48"/>
  <c r="H25" i="48" s="1"/>
  <c r="H82" i="48"/>
  <c r="H19" i="48" s="1"/>
  <c r="P23" i="48"/>
  <c r="H96" i="48"/>
  <c r="H33" i="48" s="1"/>
  <c r="G33" i="48"/>
  <c r="H90" i="48"/>
  <c r="H27" i="48" s="1"/>
  <c r="G27" i="48"/>
  <c r="P33" i="48"/>
  <c r="G30" i="48"/>
  <c r="P14" i="48"/>
  <c r="P27" i="48"/>
  <c r="H92" i="48"/>
  <c r="H29" i="48" s="1"/>
  <c r="G21" i="48"/>
  <c r="H84" i="48"/>
  <c r="H21" i="48" s="1"/>
  <c r="J76" i="48"/>
  <c r="J13" i="48" s="1"/>
  <c r="I13" i="48"/>
  <c r="J91" i="49"/>
  <c r="K91" i="49" s="1"/>
  <c r="J154" i="49"/>
  <c r="K154" i="49" s="1"/>
  <c r="J283" i="49" l="1"/>
  <c r="K283" i="49" s="1"/>
  <c r="J381" i="49"/>
  <c r="K381" i="49" s="1"/>
  <c r="J252" i="49"/>
  <c r="K252" i="49" s="1"/>
  <c r="J316" i="49"/>
  <c r="K316" i="49" s="1"/>
  <c r="J124" i="49"/>
  <c r="K124" i="49" s="1"/>
  <c r="K123" i="49"/>
  <c r="P37" i="48"/>
  <c r="D41" i="57" s="1"/>
  <c r="J219" i="49"/>
  <c r="A107" i="48"/>
  <c r="A111" i="48" s="1"/>
  <c r="G72" i="48"/>
  <c r="I87" i="48"/>
  <c r="I24" i="48" s="1"/>
  <c r="J188" i="49"/>
  <c r="K188" i="49" s="1"/>
  <c r="G19" i="71"/>
  <c r="A88" i="49"/>
  <c r="A89" i="49" s="1"/>
  <c r="A90" i="49" s="1"/>
  <c r="A91" i="49" s="1"/>
  <c r="A92" i="49" s="1"/>
  <c r="A93" i="49" s="1"/>
  <c r="A94" i="49" s="1"/>
  <c r="A95" i="49" s="1"/>
  <c r="A96" i="49" s="1"/>
  <c r="A97" i="49" s="1"/>
  <c r="A98" i="49" s="1"/>
  <c r="A99" i="49" s="1"/>
  <c r="A100" i="49" s="1"/>
  <c r="A101" i="49" s="1"/>
  <c r="A102" i="49" s="1"/>
  <c r="A103" i="49" s="1"/>
  <c r="A104" i="49" s="1"/>
  <c r="A105" i="49" s="1"/>
  <c r="A106" i="49" s="1"/>
  <c r="A107" i="49" s="1"/>
  <c r="A108" i="49" s="1"/>
  <c r="A109" i="49" s="1"/>
  <c r="A110" i="49" s="1"/>
  <c r="A111" i="49" s="1"/>
  <c r="A112" i="49" s="1"/>
  <c r="A113" i="49" s="1"/>
  <c r="G42" i="57"/>
  <c r="E82" i="7"/>
  <c r="J347" i="49"/>
  <c r="K347" i="49" s="1"/>
  <c r="K55" i="49"/>
  <c r="J56" i="49"/>
  <c r="I14" i="48"/>
  <c r="I15" i="48"/>
  <c r="I16" i="48"/>
  <c r="J83" i="48"/>
  <c r="J20" i="48" s="1"/>
  <c r="J86" i="48"/>
  <c r="J23" i="48" s="1"/>
  <c r="K76" i="48"/>
  <c r="N76" i="48" s="1"/>
  <c r="N13" i="48" s="1"/>
  <c r="I95" i="48"/>
  <c r="I32" i="48" s="1"/>
  <c r="H26" i="48"/>
  <c r="I89" i="48"/>
  <c r="I22" i="48"/>
  <c r="I91" i="48"/>
  <c r="J91" i="48" s="1"/>
  <c r="J28" i="48" s="1"/>
  <c r="I88" i="48"/>
  <c r="I80" i="48"/>
  <c r="K48" i="48"/>
  <c r="I84" i="48"/>
  <c r="I94" i="48"/>
  <c r="I92" i="48"/>
  <c r="I90" i="48"/>
  <c r="I82" i="48"/>
  <c r="I93" i="48"/>
  <c r="I96" i="48"/>
  <c r="J284" i="49"/>
  <c r="K284" i="49" s="1"/>
  <c r="J382" i="49"/>
  <c r="K382" i="49" s="1"/>
  <c r="J92" i="49"/>
  <c r="K92" i="49" s="1"/>
  <c r="J155" i="49"/>
  <c r="K155" i="49" s="1"/>
  <c r="J253" i="49" l="1"/>
  <c r="K253" i="49" s="1"/>
  <c r="J317" i="49"/>
  <c r="K317" i="49" s="1"/>
  <c r="J125" i="49"/>
  <c r="K125" i="49" s="1"/>
  <c r="J220" i="49"/>
  <c r="K220" i="49" s="1"/>
  <c r="K219" i="49"/>
  <c r="J87" i="48"/>
  <c r="J24" i="48" s="1"/>
  <c r="J348" i="49"/>
  <c r="K348" i="49" s="1"/>
  <c r="J189" i="49"/>
  <c r="A121" i="49"/>
  <c r="A122" i="49" s="1"/>
  <c r="A123" i="49" s="1"/>
  <c r="A124" i="49" s="1"/>
  <c r="A125" i="49" s="1"/>
  <c r="A126" i="49" s="1"/>
  <c r="A127" i="49" s="1"/>
  <c r="A128" i="49" s="1"/>
  <c r="A129" i="49" s="1"/>
  <c r="A130" i="49" s="1"/>
  <c r="A131" i="49" s="1"/>
  <c r="A132" i="49" s="1"/>
  <c r="A133" i="49" s="1"/>
  <c r="A134" i="49" s="1"/>
  <c r="A135" i="49" s="1"/>
  <c r="A136" i="49" s="1"/>
  <c r="A137" i="49" s="1"/>
  <c r="A138" i="49" s="1"/>
  <c r="A139" i="49" s="1"/>
  <c r="A140" i="49" s="1"/>
  <c r="A141" i="49" s="1"/>
  <c r="A142" i="49" s="1"/>
  <c r="A143" i="49" s="1"/>
  <c r="A144" i="49" s="1"/>
  <c r="A145" i="49" s="1"/>
  <c r="A146" i="49" s="1"/>
  <c r="G9" i="71"/>
  <c r="H26" i="11"/>
  <c r="K56" i="49"/>
  <c r="K77" i="48"/>
  <c r="K78" i="48" s="1"/>
  <c r="J95" i="48"/>
  <c r="J32" i="48" s="1"/>
  <c r="K13" i="48"/>
  <c r="I28" i="48"/>
  <c r="J89" i="48"/>
  <c r="J26" i="48" s="1"/>
  <c r="I26" i="48"/>
  <c r="H72" i="48"/>
  <c r="J93" i="48"/>
  <c r="J30" i="48" s="1"/>
  <c r="I30" i="48"/>
  <c r="J94" i="48"/>
  <c r="J31" i="48" s="1"/>
  <c r="I31" i="48"/>
  <c r="J82" i="48"/>
  <c r="J19" i="48" s="1"/>
  <c r="I19" i="48"/>
  <c r="J84" i="48"/>
  <c r="J21" i="48" s="1"/>
  <c r="I21" i="48"/>
  <c r="I17" i="48"/>
  <c r="J80" i="48"/>
  <c r="J17" i="48" s="1"/>
  <c r="I27" i="48"/>
  <c r="J90" i="48"/>
  <c r="J27" i="48" s="1"/>
  <c r="J88" i="48"/>
  <c r="J25" i="48" s="1"/>
  <c r="I25" i="48"/>
  <c r="J96" i="48"/>
  <c r="J33" i="48" s="1"/>
  <c r="I33" i="48"/>
  <c r="J92" i="48"/>
  <c r="J29" i="48" s="1"/>
  <c r="I29" i="48"/>
  <c r="K49" i="48"/>
  <c r="J156" i="49"/>
  <c r="K156" i="49" s="1"/>
  <c r="J221" i="49"/>
  <c r="K221" i="49" s="1"/>
  <c r="J254" i="49"/>
  <c r="K254" i="49" s="1"/>
  <c r="J57" i="49"/>
  <c r="J383" i="49"/>
  <c r="K383" i="49" s="1"/>
  <c r="J285" i="49"/>
  <c r="K285" i="49" s="1"/>
  <c r="J93" i="49"/>
  <c r="K93" i="49" s="1"/>
  <c r="J318" i="49" l="1"/>
  <c r="K318" i="49" s="1"/>
  <c r="J126" i="49"/>
  <c r="K126" i="49" s="1"/>
  <c r="J190" i="49"/>
  <c r="K190" i="49" s="1"/>
  <c r="K189" i="49"/>
  <c r="K57" i="49"/>
  <c r="J349" i="49"/>
  <c r="K349" i="49" s="1"/>
  <c r="A152" i="49"/>
  <c r="A153" i="49" s="1"/>
  <c r="A154" i="49" s="1"/>
  <c r="A155" i="49" s="1"/>
  <c r="A156" i="49" s="1"/>
  <c r="A157" i="49" s="1"/>
  <c r="A158" i="49" s="1"/>
  <c r="A159" i="49" s="1"/>
  <c r="A160" i="49" s="1"/>
  <c r="A161" i="49" s="1"/>
  <c r="A162" i="49" s="1"/>
  <c r="A163" i="49" s="1"/>
  <c r="A164" i="49" s="1"/>
  <c r="A165" i="49" s="1"/>
  <c r="A166" i="49" s="1"/>
  <c r="A167" i="49" s="1"/>
  <c r="A168" i="49" s="1"/>
  <c r="A169" i="49" s="1"/>
  <c r="A170" i="49" s="1"/>
  <c r="A171" i="49" s="1"/>
  <c r="A172" i="49" s="1"/>
  <c r="A173" i="49" s="1"/>
  <c r="A174" i="49" s="1"/>
  <c r="A175" i="49" s="1"/>
  <c r="A176" i="49" s="1"/>
  <c r="A177" i="49" s="1"/>
  <c r="H27" i="11"/>
  <c r="G10" i="71"/>
  <c r="K14" i="48"/>
  <c r="K50" i="48"/>
  <c r="K79" i="48"/>
  <c r="K15" i="48"/>
  <c r="J255" i="49"/>
  <c r="K255" i="49" s="1"/>
  <c r="J286" i="49"/>
  <c r="K286" i="49" s="1"/>
  <c r="J157" i="49"/>
  <c r="K157" i="49" s="1"/>
  <c r="J222" i="49"/>
  <c r="K222" i="49" s="1"/>
  <c r="J58" i="49"/>
  <c r="J384" i="49"/>
  <c r="K384" i="49" s="1"/>
  <c r="J94" i="49"/>
  <c r="K94" i="49" s="1"/>
  <c r="J319" i="49"/>
  <c r="K319" i="49" s="1"/>
  <c r="J191" i="49" l="1"/>
  <c r="K191" i="49" s="1"/>
  <c r="J127" i="49"/>
  <c r="K127" i="49" s="1"/>
  <c r="J350" i="49"/>
  <c r="K350" i="49" s="1"/>
  <c r="J59" i="49"/>
  <c r="K58" i="49"/>
  <c r="A185" i="49"/>
  <c r="A186" i="49" s="1"/>
  <c r="A187" i="49" s="1"/>
  <c r="A188" i="49" s="1"/>
  <c r="A189" i="49" s="1"/>
  <c r="A190" i="49" s="1"/>
  <c r="A191" i="49" s="1"/>
  <c r="A192" i="49" s="1"/>
  <c r="A193" i="49" s="1"/>
  <c r="A194" i="49" s="1"/>
  <c r="A195" i="49" s="1"/>
  <c r="A196" i="49" s="1"/>
  <c r="A197" i="49" s="1"/>
  <c r="A198" i="49" s="1"/>
  <c r="A199" i="49" s="1"/>
  <c r="A200" i="49" s="1"/>
  <c r="A201" i="49" s="1"/>
  <c r="A202" i="49" s="1"/>
  <c r="A203" i="49" s="1"/>
  <c r="A204" i="49" s="1"/>
  <c r="A205" i="49" s="1"/>
  <c r="A206" i="49" s="1"/>
  <c r="A207" i="49" s="1"/>
  <c r="A208" i="49" s="1"/>
  <c r="A209" i="49" s="1"/>
  <c r="A210" i="49" s="1"/>
  <c r="G11" i="71"/>
  <c r="H28" i="11"/>
  <c r="K51" i="48"/>
  <c r="K80" i="48"/>
  <c r="K16" i="48"/>
  <c r="A119" i="48"/>
  <c r="J72" i="48"/>
  <c r="J287" i="49"/>
  <c r="K287" i="49" s="1"/>
  <c r="J223" i="49"/>
  <c r="K223" i="49" s="1"/>
  <c r="J95" i="49"/>
  <c r="K95" i="49" s="1"/>
  <c r="J320" i="49"/>
  <c r="K320" i="49" s="1"/>
  <c r="K59" i="49"/>
  <c r="J158" i="49"/>
  <c r="K158" i="49" s="1"/>
  <c r="J256" i="49"/>
  <c r="K256" i="49" s="1"/>
  <c r="J385" i="49"/>
  <c r="K385" i="49" s="1"/>
  <c r="J192" i="49" l="1"/>
  <c r="K192" i="49" s="1"/>
  <c r="J128" i="49"/>
  <c r="K128" i="49" s="1"/>
  <c r="J351" i="49"/>
  <c r="J60" i="49"/>
  <c r="A216" i="49"/>
  <c r="A217" i="49" s="1"/>
  <c r="A218" i="49" s="1"/>
  <c r="A219" i="49" s="1"/>
  <c r="A220" i="49" s="1"/>
  <c r="A221" i="49" s="1"/>
  <c r="A222" i="49" s="1"/>
  <c r="A223" i="49" s="1"/>
  <c r="A224" i="49" s="1"/>
  <c r="A225" i="49" s="1"/>
  <c r="A226" i="49" s="1"/>
  <c r="A227" i="49" s="1"/>
  <c r="A228" i="49" s="1"/>
  <c r="A229" i="49" s="1"/>
  <c r="A230" i="49" s="1"/>
  <c r="A231" i="49" s="1"/>
  <c r="A232" i="49" s="1"/>
  <c r="A233" i="49" s="1"/>
  <c r="A234" i="49" s="1"/>
  <c r="A235" i="49" s="1"/>
  <c r="A236" i="49" s="1"/>
  <c r="A237" i="49" s="1"/>
  <c r="G12" i="71"/>
  <c r="H29" i="11"/>
  <c r="K52" i="48"/>
  <c r="K81" i="48"/>
  <c r="K17" i="48"/>
  <c r="A120" i="48"/>
  <c r="A121" i="48" s="1"/>
  <c r="A122" i="48" s="1"/>
  <c r="A123" i="48" s="1"/>
  <c r="A124" i="48" s="1"/>
  <c r="A125" i="48" s="1"/>
  <c r="A126" i="48" s="1"/>
  <c r="A127" i="48" s="1"/>
  <c r="A128" i="48" s="1"/>
  <c r="A129" i="48" s="1"/>
  <c r="A130" i="48" s="1"/>
  <c r="J224" i="49"/>
  <c r="K224" i="49" s="1"/>
  <c r="J386" i="49"/>
  <c r="K386" i="49" s="1"/>
  <c r="J321" i="49"/>
  <c r="K321" i="49" s="1"/>
  <c r="J288" i="49"/>
  <c r="K288" i="49" s="1"/>
  <c r="J257" i="49"/>
  <c r="K257" i="49" s="1"/>
  <c r="J96" i="49"/>
  <c r="K96" i="49" s="1"/>
  <c r="K60" i="49"/>
  <c r="J159" i="49"/>
  <c r="K159" i="49" s="1"/>
  <c r="J193" i="49" l="1"/>
  <c r="K193" i="49" s="1"/>
  <c r="J352" i="49"/>
  <c r="K352" i="49" s="1"/>
  <c r="K351" i="49"/>
  <c r="J129" i="49"/>
  <c r="K129" i="49" s="1"/>
  <c r="J61" i="49"/>
  <c r="A238" i="49"/>
  <c r="A239" i="49" s="1"/>
  <c r="A240" i="49" s="1"/>
  <c r="A241" i="49" s="1"/>
  <c r="A249" i="49" s="1"/>
  <c r="A250" i="49" s="1"/>
  <c r="A251" i="49" s="1"/>
  <c r="A252" i="49" s="1"/>
  <c r="A253" i="49" s="1"/>
  <c r="A254" i="49" s="1"/>
  <c r="A255" i="49" s="1"/>
  <c r="A256" i="49" s="1"/>
  <c r="A257" i="49" s="1"/>
  <c r="A258" i="49" s="1"/>
  <c r="A259" i="49" s="1"/>
  <c r="A260" i="49" s="1"/>
  <c r="A261" i="49" s="1"/>
  <c r="A262" i="49" s="1"/>
  <c r="A263" i="49" s="1"/>
  <c r="A264" i="49" s="1"/>
  <c r="A265" i="49" s="1"/>
  <c r="A266" i="49" s="1"/>
  <c r="A267" i="49" s="1"/>
  <c r="A268" i="49" s="1"/>
  <c r="A269" i="49" s="1"/>
  <c r="A270" i="49" s="1"/>
  <c r="A271" i="49" s="1"/>
  <c r="F130" i="48"/>
  <c r="A131" i="48"/>
  <c r="A132" i="48" s="1"/>
  <c r="A133" i="48" s="1"/>
  <c r="F131" i="48"/>
  <c r="K82" i="48"/>
  <c r="K18" i="48"/>
  <c r="K53" i="48"/>
  <c r="J160" i="49"/>
  <c r="K160" i="49" s="1"/>
  <c r="J289" i="49"/>
  <c r="K289" i="49" s="1"/>
  <c r="J97" i="49"/>
  <c r="K97" i="49" s="1"/>
  <c r="J258" i="49"/>
  <c r="K258" i="49" s="1"/>
  <c r="J387" i="49"/>
  <c r="K387" i="49" s="1"/>
  <c r="J322" i="49"/>
  <c r="K322" i="49" s="1"/>
  <c r="J225" i="49"/>
  <c r="K225" i="49" s="1"/>
  <c r="J194" i="49" l="1"/>
  <c r="K194" i="49" s="1"/>
  <c r="J353" i="49"/>
  <c r="K353" i="49" s="1"/>
  <c r="J130" i="49"/>
  <c r="K130" i="49" s="1"/>
  <c r="K61" i="49"/>
  <c r="F133" i="48"/>
  <c r="H30" i="11"/>
  <c r="A272" i="49"/>
  <c r="A273" i="49" s="1"/>
  <c r="A274" i="49" s="1"/>
  <c r="A280" i="49" s="1"/>
  <c r="A281" i="49" s="1"/>
  <c r="A282" i="49" s="1"/>
  <c r="A283" i="49" s="1"/>
  <c r="A284" i="49" s="1"/>
  <c r="A285" i="49" s="1"/>
  <c r="A286" i="49" s="1"/>
  <c r="A287" i="49" s="1"/>
  <c r="A288" i="49" s="1"/>
  <c r="A289" i="49" s="1"/>
  <c r="A290" i="49" s="1"/>
  <c r="A291" i="49" s="1"/>
  <c r="A292" i="49" s="1"/>
  <c r="A293" i="49" s="1"/>
  <c r="A294" i="49" s="1"/>
  <c r="A295" i="49" s="1"/>
  <c r="A296" i="49" s="1"/>
  <c r="A297" i="49" s="1"/>
  <c r="A298" i="49" s="1"/>
  <c r="A299" i="49" s="1"/>
  <c r="A300" i="49" s="1"/>
  <c r="A301" i="49" s="1"/>
  <c r="A302" i="49" s="1"/>
  <c r="A303" i="49" s="1"/>
  <c r="A304" i="49" s="1"/>
  <c r="A305" i="49" s="1"/>
  <c r="G13" i="71"/>
  <c r="K54" i="48"/>
  <c r="K83" i="48"/>
  <c r="K19" i="48"/>
  <c r="J226" i="49"/>
  <c r="K226" i="49" s="1"/>
  <c r="J290" i="49"/>
  <c r="K290" i="49" s="1"/>
  <c r="J259" i="49"/>
  <c r="K259" i="49" s="1"/>
  <c r="J161" i="49"/>
  <c r="K62" i="49"/>
  <c r="J323" i="49"/>
  <c r="K323" i="49" s="1"/>
  <c r="J62" i="49"/>
  <c r="J388" i="49"/>
  <c r="K388" i="49" s="1"/>
  <c r="J98" i="49"/>
  <c r="K98" i="49" s="1"/>
  <c r="J195" i="49" l="1"/>
  <c r="K195" i="49" s="1"/>
  <c r="J354" i="49"/>
  <c r="K354" i="49" s="1"/>
  <c r="J131" i="49"/>
  <c r="K131" i="49" s="1"/>
  <c r="J63" i="49"/>
  <c r="K161" i="49"/>
  <c r="K63" i="49" s="1"/>
  <c r="H31" i="11"/>
  <c r="G14" i="71"/>
  <c r="A313" i="49"/>
  <c r="A314" i="49" s="1"/>
  <c r="A315" i="49" s="1"/>
  <c r="A316" i="49" s="1"/>
  <c r="A317" i="49" s="1"/>
  <c r="A318" i="49" s="1"/>
  <c r="A319" i="49" s="1"/>
  <c r="A320" i="49" s="1"/>
  <c r="A321" i="49" s="1"/>
  <c r="A322" i="49" s="1"/>
  <c r="A323" i="49" s="1"/>
  <c r="A324" i="49" s="1"/>
  <c r="A325" i="49" s="1"/>
  <c r="A326" i="49" s="1"/>
  <c r="A327" i="49" s="1"/>
  <c r="A328" i="49" s="1"/>
  <c r="A329" i="49" s="1"/>
  <c r="A330" i="49" s="1"/>
  <c r="A331" i="49" s="1"/>
  <c r="A332" i="49" s="1"/>
  <c r="A333" i="49" s="1"/>
  <c r="A334" i="49" s="1"/>
  <c r="G15" i="71"/>
  <c r="H32" i="11"/>
  <c r="K84" i="48"/>
  <c r="K20" i="48"/>
  <c r="K55" i="48"/>
  <c r="J324" i="49"/>
  <c r="K324" i="49" s="1"/>
  <c r="J99" i="49"/>
  <c r="K99" i="49" s="1"/>
  <c r="J389" i="49"/>
  <c r="K389" i="49" s="1"/>
  <c r="J162" i="49"/>
  <c r="J291" i="49"/>
  <c r="K291" i="49" s="1"/>
  <c r="J260" i="49"/>
  <c r="K260" i="49" s="1"/>
  <c r="J227" i="49"/>
  <c r="K227" i="49" s="1"/>
  <c r="J132" i="49" l="1"/>
  <c r="K132" i="49" s="1"/>
  <c r="J196" i="49"/>
  <c r="K196" i="49" s="1"/>
  <c r="J355" i="49"/>
  <c r="K355" i="49" s="1"/>
  <c r="J64" i="49"/>
  <c r="K162" i="49"/>
  <c r="K64" i="49" s="1"/>
  <c r="A335" i="49"/>
  <c r="A336" i="49" s="1"/>
  <c r="A337" i="49" s="1"/>
  <c r="A338" i="49" s="1"/>
  <c r="A344" i="49" s="1"/>
  <c r="A345" i="49" s="1"/>
  <c r="A346" i="49" s="1"/>
  <c r="A347" i="49" s="1"/>
  <c r="A348" i="49" s="1"/>
  <c r="A349" i="49" s="1"/>
  <c r="A350" i="49" s="1"/>
  <c r="A351" i="49" s="1"/>
  <c r="A352" i="49" s="1"/>
  <c r="A353" i="49" s="1"/>
  <c r="A354" i="49" s="1"/>
  <c r="A355" i="49" s="1"/>
  <c r="A356" i="49" s="1"/>
  <c r="A357" i="49" s="1"/>
  <c r="A358" i="49" s="1"/>
  <c r="A359" i="49" s="1"/>
  <c r="A360" i="49" s="1"/>
  <c r="A361" i="49" s="1"/>
  <c r="A362" i="49" s="1"/>
  <c r="A363" i="49" s="1"/>
  <c r="A364" i="49" s="1"/>
  <c r="A365" i="49" s="1"/>
  <c r="K56" i="48"/>
  <c r="K85" i="48"/>
  <c r="K21" i="48"/>
  <c r="J197" i="49"/>
  <c r="K197" i="49" s="1"/>
  <c r="J390" i="49"/>
  <c r="K390" i="49" s="1"/>
  <c r="J325" i="49"/>
  <c r="K325" i="49" s="1"/>
  <c r="J228" i="49"/>
  <c r="K228" i="49" s="1"/>
  <c r="J292" i="49"/>
  <c r="K292" i="49" s="1"/>
  <c r="J261" i="49"/>
  <c r="K261" i="49" s="1"/>
  <c r="J100" i="49"/>
  <c r="K100" i="49" s="1"/>
  <c r="J163" i="49"/>
  <c r="K163" i="49" s="1"/>
  <c r="J133" i="49" l="1"/>
  <c r="K133" i="49" s="1"/>
  <c r="H33" i="11"/>
  <c r="J356" i="49"/>
  <c r="K356" i="49" s="1"/>
  <c r="A366" i="49"/>
  <c r="A367" i="49" s="1"/>
  <c r="A368" i="49" s="1"/>
  <c r="A369" i="49" s="1"/>
  <c r="G17" i="71" s="1"/>
  <c r="G16" i="71"/>
  <c r="K86" i="48"/>
  <c r="K22" i="48"/>
  <c r="K57" i="48"/>
  <c r="J101" i="49"/>
  <c r="K101" i="49" s="1"/>
  <c r="J326" i="49"/>
  <c r="K326" i="49" s="1"/>
  <c r="J198" i="49"/>
  <c r="K198" i="49" s="1"/>
  <c r="J262" i="49"/>
  <c r="K262" i="49" s="1"/>
  <c r="J391" i="49"/>
  <c r="K391" i="49" s="1"/>
  <c r="K65" i="49"/>
  <c r="J164" i="49"/>
  <c r="J293" i="49"/>
  <c r="K293" i="49" s="1"/>
  <c r="J134" i="49"/>
  <c r="K134" i="49" s="1"/>
  <c r="J65" i="49"/>
  <c r="J229" i="49"/>
  <c r="K229" i="49" s="1"/>
  <c r="J357" i="49" l="1"/>
  <c r="K357" i="49" s="1"/>
  <c r="J66" i="49"/>
  <c r="K164" i="49"/>
  <c r="H34" i="11"/>
  <c r="A377" i="49"/>
  <c r="A378" i="49" s="1"/>
  <c r="A379" i="49" s="1"/>
  <c r="A380" i="49" s="1"/>
  <c r="A381" i="49" s="1"/>
  <c r="A382" i="49" s="1"/>
  <c r="A383" i="49" s="1"/>
  <c r="A384" i="49" s="1"/>
  <c r="A385" i="49" s="1"/>
  <c r="A386" i="49" s="1"/>
  <c r="A387" i="49" s="1"/>
  <c r="A388" i="49" s="1"/>
  <c r="A389" i="49" s="1"/>
  <c r="A390" i="49" s="1"/>
  <c r="A391" i="49" s="1"/>
  <c r="A392" i="49" s="1"/>
  <c r="A393" i="49" s="1"/>
  <c r="A394" i="49" s="1"/>
  <c r="A395" i="49" s="1"/>
  <c r="A396" i="49" s="1"/>
  <c r="A397" i="49" s="1"/>
  <c r="A398" i="49" s="1"/>
  <c r="K87" i="48"/>
  <c r="K23" i="48"/>
  <c r="K58" i="48"/>
  <c r="J135" i="49"/>
  <c r="K135" i="49" s="1"/>
  <c r="J294" i="49"/>
  <c r="K294" i="49" s="1"/>
  <c r="J263" i="49"/>
  <c r="K263" i="49" s="1"/>
  <c r="J102" i="49"/>
  <c r="K102" i="49" s="1"/>
  <c r="J230" i="49"/>
  <c r="K230" i="49" s="1"/>
  <c r="J165" i="49"/>
  <c r="K165" i="49" s="1"/>
  <c r="J199" i="49"/>
  <c r="K199" i="49" s="1"/>
  <c r="J392" i="49"/>
  <c r="K392" i="49" s="1"/>
  <c r="J327" i="49"/>
  <c r="K327" i="49" s="1"/>
  <c r="J358" i="49" l="1"/>
  <c r="K358" i="49" s="1"/>
  <c r="K66" i="49"/>
  <c r="A399" i="49"/>
  <c r="A400" i="49" s="1"/>
  <c r="A401" i="49" s="1"/>
  <c r="A402" i="49" s="1"/>
  <c r="G18" i="71" s="1"/>
  <c r="K88" i="48"/>
  <c r="K24" i="48"/>
  <c r="K59" i="48"/>
  <c r="J393" i="49"/>
  <c r="K393" i="49" s="1"/>
  <c r="J103" i="49"/>
  <c r="K103" i="49" s="1"/>
  <c r="J166" i="49"/>
  <c r="K166" i="49" s="1"/>
  <c r="K67" i="49"/>
  <c r="J295" i="49"/>
  <c r="K295" i="49" s="1"/>
  <c r="J200" i="49"/>
  <c r="K200" i="49" s="1"/>
  <c r="J67" i="49"/>
  <c r="J136" i="49"/>
  <c r="K136" i="49" s="1"/>
  <c r="J231" i="49"/>
  <c r="K231" i="49" s="1"/>
  <c r="J328" i="49"/>
  <c r="K328" i="49" s="1"/>
  <c r="J264" i="49"/>
  <c r="K264" i="49" s="1"/>
  <c r="J359" i="49" l="1"/>
  <c r="K359" i="49" s="1"/>
  <c r="K89" i="48"/>
  <c r="K25" i="48"/>
  <c r="K60" i="48"/>
  <c r="J167" i="49"/>
  <c r="J137" i="49"/>
  <c r="K137" i="49" s="1"/>
  <c r="J329" i="49"/>
  <c r="K329" i="49" s="1"/>
  <c r="J104" i="49"/>
  <c r="K104" i="49" s="1"/>
  <c r="J265" i="49"/>
  <c r="K265" i="49" s="1"/>
  <c r="J232" i="49"/>
  <c r="K232" i="49" s="1"/>
  <c r="J68" i="49"/>
  <c r="J201" i="49"/>
  <c r="K201" i="49" s="1"/>
  <c r="J296" i="49"/>
  <c r="K296" i="49" s="1"/>
  <c r="J394" i="49"/>
  <c r="K394" i="49" s="1"/>
  <c r="J360" i="49" l="1"/>
  <c r="K360" i="49" s="1"/>
  <c r="J69" i="49"/>
  <c r="K167" i="49"/>
  <c r="K69" i="49" s="1"/>
  <c r="K68" i="49"/>
  <c r="K90" i="48"/>
  <c r="K26" i="48"/>
  <c r="K61" i="48"/>
  <c r="J330" i="49"/>
  <c r="K330" i="49" s="1"/>
  <c r="J233" i="49"/>
  <c r="K233" i="49" s="1"/>
  <c r="J266" i="49"/>
  <c r="K266" i="49" s="1"/>
  <c r="J105" i="49"/>
  <c r="K105" i="49" s="1"/>
  <c r="J395" i="49"/>
  <c r="K395" i="49" s="1"/>
  <c r="J297" i="49"/>
  <c r="K297" i="49" s="1"/>
  <c r="J202" i="49"/>
  <c r="K202" i="49" s="1"/>
  <c r="J138" i="49"/>
  <c r="K138" i="49" s="1"/>
  <c r="J168" i="49"/>
  <c r="K168" i="49" s="1"/>
  <c r="J361" i="49" l="1"/>
  <c r="K361" i="49" s="1"/>
  <c r="K62" i="48"/>
  <c r="K91" i="48"/>
  <c r="K27" i="48"/>
  <c r="J267" i="49"/>
  <c r="K267" i="49" s="1"/>
  <c r="J169" i="49"/>
  <c r="K70" i="49"/>
  <c r="J234" i="49"/>
  <c r="K234" i="49" s="1"/>
  <c r="J139" i="49"/>
  <c r="K139" i="49" s="1"/>
  <c r="J70" i="49"/>
  <c r="J331" i="49"/>
  <c r="K331" i="49" s="1"/>
  <c r="J298" i="49"/>
  <c r="K298" i="49" s="1"/>
  <c r="J396" i="49"/>
  <c r="K396" i="49" s="1"/>
  <c r="J203" i="49"/>
  <c r="K203" i="49" s="1"/>
  <c r="J106" i="49"/>
  <c r="K106" i="49" s="1"/>
  <c r="J362" i="49" l="1"/>
  <c r="K362" i="49" s="1"/>
  <c r="J71" i="49"/>
  <c r="K169" i="49"/>
  <c r="K63" i="48"/>
  <c r="K92" i="48"/>
  <c r="K28" i="48"/>
  <c r="J397" i="49"/>
  <c r="K397" i="49" s="1"/>
  <c r="J235" i="49"/>
  <c r="K235" i="49" s="1"/>
  <c r="J107" i="49"/>
  <c r="K107" i="49" s="1"/>
  <c r="J332" i="49"/>
  <c r="K332" i="49" s="1"/>
  <c r="J204" i="49"/>
  <c r="K204" i="49" s="1"/>
  <c r="J140" i="49"/>
  <c r="K140" i="49" s="1"/>
  <c r="J299" i="49"/>
  <c r="K299" i="49" s="1"/>
  <c r="J170" i="49"/>
  <c r="J268" i="49"/>
  <c r="K268" i="49" s="1"/>
  <c r="J363" i="49" l="1"/>
  <c r="K363" i="49" s="1"/>
  <c r="J72" i="49"/>
  <c r="K170" i="49"/>
  <c r="K72" i="49" s="1"/>
  <c r="K71" i="49"/>
  <c r="K64" i="48"/>
  <c r="K93" i="48"/>
  <c r="K29" i="48"/>
  <c r="J108" i="49"/>
  <c r="K108" i="49" s="1"/>
  <c r="J205" i="49"/>
  <c r="K205" i="49" s="1"/>
  <c r="J171" i="49"/>
  <c r="K171" i="49" s="1"/>
  <c r="J141" i="49"/>
  <c r="K141" i="49" s="1"/>
  <c r="J269" i="49"/>
  <c r="K269" i="49" s="1"/>
  <c r="J364" i="49"/>
  <c r="K364" i="49" s="1"/>
  <c r="J236" i="49"/>
  <c r="K236" i="49" s="1"/>
  <c r="J300" i="49"/>
  <c r="K300" i="49" s="1"/>
  <c r="J333" i="49"/>
  <c r="K333" i="49" s="1"/>
  <c r="J398" i="49"/>
  <c r="K398" i="49" s="1"/>
  <c r="J399" i="49" l="1"/>
  <c r="K399" i="49" s="1"/>
  <c r="K94" i="48"/>
  <c r="K30" i="48"/>
  <c r="K65" i="48"/>
  <c r="J172" i="49"/>
  <c r="K172" i="49" s="1"/>
  <c r="K73" i="49"/>
  <c r="J270" i="49"/>
  <c r="K270" i="49" s="1"/>
  <c r="J334" i="49"/>
  <c r="K334" i="49" s="1"/>
  <c r="J301" i="49"/>
  <c r="K301" i="49" s="1"/>
  <c r="J142" i="49"/>
  <c r="K142" i="49" s="1"/>
  <c r="J109" i="49"/>
  <c r="J237" i="49"/>
  <c r="K237" i="49" s="1"/>
  <c r="J206" i="49"/>
  <c r="K206" i="49" s="1"/>
  <c r="J365" i="49"/>
  <c r="K365" i="49" s="1"/>
  <c r="J73" i="49"/>
  <c r="J74" i="49" l="1"/>
  <c r="J110" i="49"/>
  <c r="K110" i="49" s="1"/>
  <c r="K109" i="49"/>
  <c r="K66" i="48"/>
  <c r="J400" i="49"/>
  <c r="K400" i="49" s="1"/>
  <c r="J366" i="49"/>
  <c r="K366" i="49" s="1"/>
  <c r="J335" i="49"/>
  <c r="K335" i="49" s="1"/>
  <c r="J302" i="49"/>
  <c r="K302" i="49" s="1"/>
  <c r="J271" i="49"/>
  <c r="K271" i="49" s="1"/>
  <c r="J238" i="49"/>
  <c r="K238" i="49" s="1"/>
  <c r="J207" i="49"/>
  <c r="K207" i="49" s="1"/>
  <c r="J143" i="49"/>
  <c r="K143" i="49" s="1"/>
  <c r="K95" i="48"/>
  <c r="K31" i="48"/>
  <c r="K74" i="49"/>
  <c r="J173" i="49"/>
  <c r="K173" i="49" s="1"/>
  <c r="J111" i="49" l="1"/>
  <c r="K111" i="49" s="1"/>
  <c r="K67" i="48"/>
  <c r="J401" i="49"/>
  <c r="J367" i="49"/>
  <c r="K367" i="49" s="1"/>
  <c r="J336" i="49"/>
  <c r="K336" i="49" s="1"/>
  <c r="J303" i="49"/>
  <c r="K303" i="49" s="1"/>
  <c r="J272" i="49"/>
  <c r="K272" i="49" s="1"/>
  <c r="J239" i="49"/>
  <c r="K239" i="49" s="1"/>
  <c r="J208" i="49"/>
  <c r="K208" i="49" s="1"/>
  <c r="K75" i="49"/>
  <c r="J174" i="49"/>
  <c r="J144" i="49"/>
  <c r="K144" i="49" s="1"/>
  <c r="K96" i="48"/>
  <c r="K97" i="48" s="1"/>
  <c r="K98" i="48" s="1"/>
  <c r="K99" i="48" s="1"/>
  <c r="K32" i="48"/>
  <c r="J75" i="49"/>
  <c r="J112" i="49" l="1"/>
  <c r="K112" i="49" s="1"/>
  <c r="K401" i="49"/>
  <c r="K402" i="49" s="1"/>
  <c r="J76" i="49"/>
  <c r="K174" i="49"/>
  <c r="K76" i="49" s="1"/>
  <c r="K35" i="48"/>
  <c r="K34" i="48"/>
  <c r="K113" i="49"/>
  <c r="G26" i="11" s="1"/>
  <c r="K68" i="48"/>
  <c r="K36" i="48" s="1"/>
  <c r="J368" i="49"/>
  <c r="K368" i="49" s="1"/>
  <c r="J337" i="49"/>
  <c r="K337" i="49" s="1"/>
  <c r="J304" i="49"/>
  <c r="K304" i="49" s="1"/>
  <c r="J273" i="49"/>
  <c r="K273" i="49" s="1"/>
  <c r="J240" i="49"/>
  <c r="K240" i="49" s="1"/>
  <c r="J209" i="49"/>
  <c r="K209" i="49" s="1"/>
  <c r="J175" i="49"/>
  <c r="J145" i="49"/>
  <c r="K145" i="49" s="1"/>
  <c r="K33" i="48"/>
  <c r="F18" i="71" l="1"/>
  <c r="F19" i="71"/>
  <c r="J77" i="49"/>
  <c r="K175" i="49"/>
  <c r="K77" i="49" s="1"/>
  <c r="F9" i="71"/>
  <c r="K37" i="48"/>
  <c r="C41" i="57" s="1"/>
  <c r="K241" i="49"/>
  <c r="K305" i="49"/>
  <c r="K369" i="49"/>
  <c r="K146" i="49"/>
  <c r="K210" i="49"/>
  <c r="K274" i="49"/>
  <c r="K338" i="49"/>
  <c r="J176" i="49"/>
  <c r="K176" i="49" s="1"/>
  <c r="J78" i="49" l="1"/>
  <c r="K78" i="49"/>
  <c r="K177" i="49"/>
  <c r="G28" i="11" s="1"/>
  <c r="F10" i="71"/>
  <c r="G27" i="11"/>
  <c r="G33" i="11"/>
  <c r="F16" i="71"/>
  <c r="F17" i="71"/>
  <c r="G34" i="11"/>
  <c r="F14" i="71"/>
  <c r="G31" i="11"/>
  <c r="G32" i="11"/>
  <c r="F15" i="71"/>
  <c r="G29" i="11"/>
  <c r="F12" i="71"/>
  <c r="F13" i="71"/>
  <c r="G30" i="11"/>
  <c r="G193" i="15"/>
  <c r="G185" i="15"/>
  <c r="D163" i="15"/>
  <c r="I148" i="15"/>
  <c r="A148" i="15"/>
  <c r="I146" i="15"/>
  <c r="A140" i="15"/>
  <c r="A141" i="15" s="1"/>
  <c r="A142" i="15" s="1"/>
  <c r="A143" i="15" s="1"/>
  <c r="I135" i="15"/>
  <c r="A115" i="15"/>
  <c r="A116" i="15" s="1"/>
  <c r="A117" i="15" s="1"/>
  <c r="A118" i="15" s="1"/>
  <c r="A119" i="15" s="1"/>
  <c r="A120" i="15" s="1"/>
  <c r="A121" i="15" s="1"/>
  <c r="A122" i="15" s="1"/>
  <c r="A123" i="15" s="1"/>
  <c r="A124" i="15" s="1"/>
  <c r="A125" i="15" s="1"/>
  <c r="A126" i="15" s="1"/>
  <c r="A133" i="15" s="1"/>
  <c r="E106" i="15"/>
  <c r="A102" i="15"/>
  <c r="A103" i="15" s="1"/>
  <c r="I101" i="15"/>
  <c r="A86" i="15"/>
  <c r="A87" i="15" s="1"/>
  <c r="A88" i="15" s="1"/>
  <c r="A89" i="15" s="1"/>
  <c r="A90" i="15" s="1"/>
  <c r="A91" i="15" s="1"/>
  <c r="A92" i="15" s="1"/>
  <c r="A93" i="15" s="1"/>
  <c r="A94" i="15" s="1"/>
  <c r="A95" i="15" s="1"/>
  <c r="A96" i="15" s="1"/>
  <c r="A97" i="15" s="1"/>
  <c r="A98" i="15" s="1"/>
  <c r="I74" i="15"/>
  <c r="A74" i="15"/>
  <c r="E79" i="15" s="1"/>
  <c r="I72" i="15"/>
  <c r="A67" i="15"/>
  <c r="A68" i="15" s="1"/>
  <c r="A69" i="15" s="1"/>
  <c r="A31" i="15"/>
  <c r="A11" i="15"/>
  <c r="E42" i="15" l="1"/>
  <c r="G42" i="15" s="1"/>
  <c r="E34" i="15"/>
  <c r="E31" i="15"/>
  <c r="E40" i="15"/>
  <c r="G40" i="15" s="1"/>
  <c r="E43" i="15"/>
  <c r="G43" i="15" s="1"/>
  <c r="E39" i="15"/>
  <c r="E35" i="15"/>
  <c r="G35" i="15" s="1"/>
  <c r="E38" i="15"/>
  <c r="E41" i="15"/>
  <c r="H41" i="15" s="1"/>
  <c r="E37" i="15"/>
  <c r="H37" i="15" s="1"/>
  <c r="E48" i="15"/>
  <c r="E36" i="15"/>
  <c r="H36" i="15" s="1"/>
  <c r="E32" i="15"/>
  <c r="A12" i="15"/>
  <c r="A13" i="15" s="1"/>
  <c r="E14" i="15" s="1"/>
  <c r="K79" i="49"/>
  <c r="C42" i="57" s="1"/>
  <c r="F11" i="71"/>
  <c r="I103" i="15"/>
  <c r="A149" i="15"/>
  <c r="A150" i="15" s="1"/>
  <c r="E12" i="15" s="1"/>
  <c r="F76" i="15"/>
  <c r="A32" i="15"/>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60" i="15" s="1"/>
  <c r="I62" i="15"/>
  <c r="A106" i="15"/>
  <c r="E11" i="15"/>
  <c r="A75" i="15"/>
  <c r="A76" i="15" s="1"/>
  <c r="E153" i="15"/>
  <c r="A14" i="15" l="1"/>
  <c r="D82" i="7"/>
  <c r="A153" i="15"/>
  <c r="A161" i="15" s="1"/>
  <c r="A162" i="15" s="1"/>
  <c r="A163" i="15" s="1"/>
  <c r="I150" i="15"/>
  <c r="A79" i="15"/>
  <c r="E10" i="15"/>
  <c r="I76" i="15"/>
  <c r="F150" i="15"/>
  <c r="E19" i="15" l="1"/>
  <c r="A15" i="15"/>
  <c r="A164" i="15"/>
  <c r="A165" i="15" s="1"/>
  <c r="E13" i="15" s="1"/>
  <c r="I163" i="15"/>
  <c r="A16" i="15" l="1"/>
  <c r="A17" i="15" s="1"/>
  <c r="I165" i="15"/>
  <c r="A18" i="15" l="1"/>
  <c r="E42" i="30"/>
  <c r="E22" i="30" s="1"/>
  <c r="E41" i="30"/>
  <c r="D22" i="30" s="1"/>
  <c r="A19" i="15" l="1"/>
  <c r="F103" i="8"/>
  <c r="F98" i="8"/>
  <c r="E84" i="8"/>
  <c r="E87" i="8" s="1"/>
  <c r="G79" i="46"/>
  <c r="G78" i="46"/>
  <c r="A20" i="15" l="1"/>
  <c r="E24" i="15"/>
  <c r="J10" i="28"/>
  <c r="C12" i="72"/>
  <c r="L10" i="28" s="1"/>
  <c r="A21" i="15" l="1"/>
  <c r="F23" i="22"/>
  <c r="A10" i="22"/>
  <c r="A11" i="22" s="1"/>
  <c r="A12" i="22" s="1"/>
  <c r="A13" i="22" s="1"/>
  <c r="A14" i="22" s="1"/>
  <c r="A15" i="22" s="1"/>
  <c r="A16" i="22" s="1"/>
  <c r="A17" i="22" s="1"/>
  <c r="A18" i="22" s="1"/>
  <c r="A19" i="22" s="1"/>
  <c r="A20" i="22" s="1"/>
  <c r="A22" i="15" l="1"/>
  <c r="A21" i="22"/>
  <c r="G23" i="22" s="1"/>
  <c r="A23" i="15" l="1"/>
  <c r="K108" i="1"/>
  <c r="A24" i="15" l="1"/>
  <c r="H205" i="61"/>
  <c r="H208" i="61" s="1"/>
  <c r="M205" i="61" l="1"/>
  <c r="F205" i="61"/>
  <c r="N205" i="61" s="1"/>
  <c r="G205" i="61" l="1"/>
  <c r="I205" i="61" s="1"/>
  <c r="D125" i="2" l="1"/>
  <c r="D126" i="2" s="1"/>
  <c r="F163" i="46" s="1"/>
  <c r="D119" i="2"/>
  <c r="D120" i="2" s="1"/>
  <c r="F162" i="46" s="1"/>
  <c r="D113" i="2"/>
  <c r="D114" i="2" s="1"/>
  <c r="F161" i="46" s="1"/>
  <c r="D107" i="2"/>
  <c r="D108" i="2" s="1"/>
  <c r="F145" i="46" s="1"/>
  <c r="D101" i="2"/>
  <c r="D102" i="2" s="1"/>
  <c r="F141" i="46" s="1"/>
  <c r="D95" i="2"/>
  <c r="D96" i="2" s="1"/>
  <c r="F136" i="46" s="1"/>
  <c r="D89" i="2"/>
  <c r="D90" i="2" s="1"/>
  <c r="F134" i="46" s="1"/>
  <c r="D83" i="2"/>
  <c r="D84" i="2" s="1"/>
  <c r="F133" i="46" s="1"/>
  <c r="D77" i="2"/>
  <c r="D78" i="2" s="1"/>
  <c r="F132" i="46" s="1"/>
  <c r="D71" i="2"/>
  <c r="D72" i="2" s="1"/>
  <c r="F122" i="46" s="1"/>
  <c r="D65" i="2"/>
  <c r="D66" i="2" s="1"/>
  <c r="F121" i="46" s="1"/>
  <c r="D59" i="2"/>
  <c r="D60" i="2" s="1"/>
  <c r="D53" i="2"/>
  <c r="D54" i="2" s="1"/>
  <c r="D47" i="2"/>
  <c r="D48" i="2" s="1"/>
  <c r="F106" i="46" s="1"/>
  <c r="D41" i="2"/>
  <c r="D42" i="2" s="1"/>
  <c r="F105" i="46" s="1"/>
  <c r="D35" i="2"/>
  <c r="D36" i="2" s="1"/>
  <c r="F143" i="46" l="1"/>
  <c r="F109" i="46"/>
  <c r="F100" i="46"/>
  <c r="F101" i="46"/>
  <c r="F99" i="46"/>
  <c r="F108" i="46"/>
  <c r="F140" i="46"/>
  <c r="F139" i="46"/>
  <c r="F138" i="46"/>
  <c r="C29" i="46"/>
  <c r="L29" i="46"/>
  <c r="E115" i="46" s="1"/>
  <c r="K29" i="46"/>
  <c r="G29" i="46"/>
  <c r="J29" i="46" l="1"/>
  <c r="C115" i="46" s="1"/>
  <c r="D115" i="46"/>
  <c r="L40" i="28"/>
  <c r="H74" i="72" l="1"/>
  <c r="L39" i="28" s="1"/>
  <c r="E45" i="21"/>
  <c r="E44" i="21"/>
  <c r="E12" i="2" l="1"/>
  <c r="E11" i="2"/>
  <c r="E41" i="71"/>
  <c r="H27" i="8"/>
  <c r="H25" i="8"/>
  <c r="H23" i="8"/>
  <c r="H9" i="8"/>
  <c r="H8" i="8"/>
  <c r="G41" i="32"/>
  <c r="G35" i="32"/>
  <c r="G29" i="32"/>
  <c r="G21" i="32"/>
  <c r="G15" i="32"/>
  <c r="B99" i="44"/>
  <c r="B194" i="71"/>
  <c r="F141" i="71"/>
  <c r="F140" i="71"/>
  <c r="D87" i="46"/>
  <c r="G90" i="12"/>
  <c r="J49" i="28"/>
  <c r="J47" i="28"/>
  <c r="J46" i="28"/>
  <c r="J32" i="28"/>
  <c r="J8" i="28"/>
  <c r="G69" i="8"/>
  <c r="G71" i="8"/>
  <c r="E51" i="7"/>
  <c r="E39" i="7"/>
  <c r="I134" i="1"/>
  <c r="I133" i="1"/>
  <c r="I130" i="1"/>
  <c r="I128" i="1"/>
  <c r="I126" i="1"/>
  <c r="I100" i="1"/>
  <c r="I32" i="1"/>
  <c r="I30" i="1"/>
  <c r="I26" i="1"/>
  <c r="I22" i="1"/>
  <c r="I12" i="1"/>
  <c r="I11" i="1"/>
  <c r="D71" i="17" l="1"/>
  <c r="D7" i="17" s="1"/>
  <c r="F221" i="61" l="1"/>
  <c r="F222" i="61"/>
  <c r="F219" i="61"/>
  <c r="F225" i="61"/>
  <c r="J45" i="8" l="1"/>
  <c r="E71" i="8" l="1"/>
  <c r="C108" i="26" l="1"/>
  <c r="E19" i="55"/>
  <c r="E17" i="55"/>
  <c r="E18" i="55"/>
  <c r="I21" i="45"/>
  <c r="L23" i="4" l="1"/>
  <c r="L24" i="64" s="1"/>
  <c r="C128" i="48" s="1"/>
  <c r="E128" i="48" s="1"/>
  <c r="K23" i="4"/>
  <c r="K24" i="64" s="1"/>
  <c r="C127" i="48" s="1"/>
  <c r="E127" i="48" s="1"/>
  <c r="J23" i="4"/>
  <c r="J24" i="64" s="1"/>
  <c r="C126" i="48" s="1"/>
  <c r="E126" i="48" s="1"/>
  <c r="I23" i="4"/>
  <c r="I24" i="64" s="1"/>
  <c r="C125" i="48" s="1"/>
  <c r="E125" i="48" s="1"/>
  <c r="H23" i="4"/>
  <c r="H24" i="64" s="1"/>
  <c r="C124" i="48" s="1"/>
  <c r="E124" i="48" s="1"/>
  <c r="G23" i="4"/>
  <c r="G24" i="64" s="1"/>
  <c r="C123" i="48" s="1"/>
  <c r="E123" i="48" s="1"/>
  <c r="F23" i="4"/>
  <c r="F24" i="64" s="1"/>
  <c r="C122" i="48" s="1"/>
  <c r="E122" i="48" s="1"/>
  <c r="E23" i="4"/>
  <c r="E24" i="64" s="1"/>
  <c r="C121" i="48" s="1"/>
  <c r="E121" i="48" l="1"/>
  <c r="E130" i="48" s="1"/>
  <c r="E131" i="48"/>
  <c r="F70" i="26"/>
  <c r="H57" i="26"/>
  <c r="F64" i="26"/>
  <c r="E133" i="48" l="1"/>
  <c r="L92" i="48"/>
  <c r="G63" i="22"/>
  <c r="G69" i="22"/>
  <c r="G46" i="22"/>
  <c r="G34" i="22"/>
  <c r="C57" i="22"/>
  <c r="L96" i="48" l="1"/>
  <c r="L46" i="48"/>
  <c r="M46" i="48" s="1"/>
  <c r="L97" i="48"/>
  <c r="L98" i="48"/>
  <c r="L99" i="48"/>
  <c r="L85" i="48"/>
  <c r="L81" i="48"/>
  <c r="L89" i="48"/>
  <c r="L95" i="48"/>
  <c r="L62" i="48"/>
  <c r="L87" i="48"/>
  <c r="L55" i="48"/>
  <c r="L79" i="48"/>
  <c r="L65" i="48"/>
  <c r="L61" i="48"/>
  <c r="L29" i="48" s="1"/>
  <c r="L58" i="48"/>
  <c r="L53" i="48"/>
  <c r="L78" i="48"/>
  <c r="L93" i="48"/>
  <c r="L60" i="48"/>
  <c r="L86" i="48"/>
  <c r="L52" i="48"/>
  <c r="L48" i="48"/>
  <c r="L66" i="48"/>
  <c r="L67" i="48"/>
  <c r="L68" i="48"/>
  <c r="L54" i="48"/>
  <c r="L50" i="48"/>
  <c r="L49" i="48"/>
  <c r="L64" i="48"/>
  <c r="L91" i="48"/>
  <c r="L59" i="48"/>
  <c r="L56" i="48"/>
  <c r="L83" i="48"/>
  <c r="L20" i="48" s="1"/>
  <c r="L51" i="48"/>
  <c r="L47" i="48"/>
  <c r="L94" i="48"/>
  <c r="L63" i="48"/>
  <c r="L90" i="48"/>
  <c r="L88" i="48"/>
  <c r="L57" i="48"/>
  <c r="L84" i="48"/>
  <c r="L82" i="48"/>
  <c r="L80" i="48"/>
  <c r="L77" i="48"/>
  <c r="M77" i="48" s="1"/>
  <c r="N77" i="48" s="1"/>
  <c r="F69" i="22"/>
  <c r="F46" i="22" s="1"/>
  <c r="F63" i="22"/>
  <c r="F34" i="22" s="1"/>
  <c r="L26" i="48" l="1"/>
  <c r="L33" i="48"/>
  <c r="L18" i="48"/>
  <c r="L34" i="48"/>
  <c r="L36" i="48"/>
  <c r="L21" i="48"/>
  <c r="L35" i="48"/>
  <c r="L16" i="48"/>
  <c r="L22" i="48"/>
  <c r="L30" i="48"/>
  <c r="L23" i="48"/>
  <c r="L15" i="48"/>
  <c r="M78" i="48"/>
  <c r="N78" i="48" s="1"/>
  <c r="L24" i="48"/>
  <c r="L14" i="48"/>
  <c r="L28" i="48"/>
  <c r="L19" i="48"/>
  <c r="L32" i="48"/>
  <c r="L17" i="48"/>
  <c r="L27" i="48"/>
  <c r="L31" i="48"/>
  <c r="L25" i="48"/>
  <c r="F49" i="22"/>
  <c r="M14" i="48"/>
  <c r="N46" i="48"/>
  <c r="N14" i="48" s="1"/>
  <c r="M47" i="48"/>
  <c r="N202" i="61"/>
  <c r="J202" i="61"/>
  <c r="M202" i="61" s="1"/>
  <c r="G202" i="61"/>
  <c r="I202" i="61" s="1"/>
  <c r="E208" i="61"/>
  <c r="M79" i="48" l="1"/>
  <c r="N79" i="48" s="1"/>
  <c r="M15" i="48"/>
  <c r="N47" i="48"/>
  <c r="N15" i="48" s="1"/>
  <c r="M48" i="48"/>
  <c r="K44" i="1"/>
  <c r="B112" i="12"/>
  <c r="E129" i="21"/>
  <c r="K52" i="1" l="1"/>
  <c r="M80" i="48"/>
  <c r="M81" i="48" s="1"/>
  <c r="M16" i="48"/>
  <c r="N48" i="48"/>
  <c r="N16" i="48" s="1"/>
  <c r="M49" i="48"/>
  <c r="K133" i="1"/>
  <c r="N80" i="48" l="1"/>
  <c r="N81" i="48"/>
  <c r="M82" i="48"/>
  <c r="M50" i="48"/>
  <c r="M17" i="48"/>
  <c r="N49" i="48"/>
  <c r="C8" i="72"/>
  <c r="L8" i="28" s="1"/>
  <c r="A34" i="72"/>
  <c r="J50" i="28" s="1"/>
  <c r="A26" i="72"/>
  <c r="J33" i="28" s="1"/>
  <c r="C32" i="72"/>
  <c r="L49" i="28" s="1"/>
  <c r="A22" i="72"/>
  <c r="A10" i="72"/>
  <c r="C34" i="72"/>
  <c r="L50" i="28" s="1"/>
  <c r="C30" i="72"/>
  <c r="L46" i="28" s="1"/>
  <c r="C28" i="72"/>
  <c r="L34" i="28" s="1"/>
  <c r="L48" i="28" s="1"/>
  <c r="C26" i="72"/>
  <c r="L33" i="28" s="1"/>
  <c r="C24" i="72"/>
  <c r="C14" i="72"/>
  <c r="L11" i="28" s="1"/>
  <c r="C10" i="72"/>
  <c r="L9" i="28" s="1"/>
  <c r="N17" i="48" l="1"/>
  <c r="N50" i="48"/>
  <c r="N18" i="48" s="1"/>
  <c r="M51" i="48"/>
  <c r="M18" i="48"/>
  <c r="N82" i="48"/>
  <c r="M83" i="48"/>
  <c r="L16" i="28"/>
  <c r="A14" i="72"/>
  <c r="J9" i="28"/>
  <c r="L32" i="28"/>
  <c r="L47" i="28"/>
  <c r="A28" i="72"/>
  <c r="J34" i="28" s="1"/>
  <c r="N83" i="48" l="1"/>
  <c r="M84" i="48"/>
  <c r="M52" i="48"/>
  <c r="N51" i="48"/>
  <c r="N19" i="48" s="1"/>
  <c r="M19" i="48"/>
  <c r="A16" i="72"/>
  <c r="J11" i="28"/>
  <c r="M53" i="48" l="1"/>
  <c r="M20" i="48"/>
  <c r="N52" i="48"/>
  <c r="N20" i="48" s="1"/>
  <c r="N84" i="48"/>
  <c r="M85" i="48"/>
  <c r="A18" i="72"/>
  <c r="M54" i="48" l="1"/>
  <c r="M21" i="48"/>
  <c r="N53" i="48"/>
  <c r="N21" i="48" s="1"/>
  <c r="N85" i="48"/>
  <c r="M86" i="48"/>
  <c r="L41" i="28"/>
  <c r="A9" i="28"/>
  <c r="M55" i="48" l="1"/>
  <c r="N54" i="48"/>
  <c r="N22" i="48" s="1"/>
  <c r="M22" i="48"/>
  <c r="N86" i="48"/>
  <c r="M87" i="48"/>
  <c r="A11" i="28"/>
  <c r="A12" i="28" s="1"/>
  <c r="A13" i="28" s="1"/>
  <c r="L51" i="28"/>
  <c r="L35" i="28"/>
  <c r="M23" i="48" l="1"/>
  <c r="M56" i="48"/>
  <c r="N55" i="48"/>
  <c r="N23" i="48" s="1"/>
  <c r="N87" i="48"/>
  <c r="M88" i="48"/>
  <c r="J16" i="28"/>
  <c r="A14" i="28"/>
  <c r="E41" i="57"/>
  <c r="N88" i="48" l="1"/>
  <c r="M89" i="48"/>
  <c r="M24" i="48"/>
  <c r="N56" i="48"/>
  <c r="N24" i="48" s="1"/>
  <c r="M57" i="48"/>
  <c r="M25" i="48" l="1"/>
  <c r="M58" i="48"/>
  <c r="N57" i="48"/>
  <c r="N25" i="48" s="1"/>
  <c r="N89" i="48"/>
  <c r="M90" i="48"/>
  <c r="E27" i="12"/>
  <c r="E26" i="12"/>
  <c r="E25" i="12"/>
  <c r="N90" i="48" l="1"/>
  <c r="M91" i="48"/>
  <c r="N58" i="48"/>
  <c r="N26" i="48" s="1"/>
  <c r="M26" i="48"/>
  <c r="M59" i="48"/>
  <c r="A15" i="28"/>
  <c r="M60" i="48" l="1"/>
  <c r="N59" i="48"/>
  <c r="N27" i="48" s="1"/>
  <c r="M27" i="48"/>
  <c r="N91" i="48"/>
  <c r="M92" i="48"/>
  <c r="A16" i="28"/>
  <c r="I63" i="1" s="1"/>
  <c r="N60" i="48" l="1"/>
  <c r="N28" i="48" s="1"/>
  <c r="M61" i="48"/>
  <c r="M28" i="48"/>
  <c r="N92" i="48"/>
  <c r="M93" i="48"/>
  <c r="A19" i="28"/>
  <c r="J27" i="28" s="1"/>
  <c r="N93" i="48" l="1"/>
  <c r="M94" i="48"/>
  <c r="M62" i="48"/>
  <c r="M29" i="48"/>
  <c r="N61" i="48"/>
  <c r="N29" i="48" s="1"/>
  <c r="A20" i="28"/>
  <c r="A21" i="28" s="1"/>
  <c r="A22" i="28" s="1"/>
  <c r="A23" i="28" s="1"/>
  <c r="A25" i="28" s="1"/>
  <c r="A26" i="28" s="1"/>
  <c r="A27" i="28" s="1"/>
  <c r="I64" i="1" s="1"/>
  <c r="M63" i="48" l="1"/>
  <c r="M30" i="48"/>
  <c r="N62" i="48"/>
  <c r="N30" i="48" s="1"/>
  <c r="N94" i="48"/>
  <c r="M95" i="48"/>
  <c r="A29" i="28"/>
  <c r="I65" i="1" s="1"/>
  <c r="J29" i="28"/>
  <c r="H302" i="11"/>
  <c r="G302" i="11"/>
  <c r="H301" i="11"/>
  <c r="G301" i="11"/>
  <c r="H300" i="11"/>
  <c r="G300" i="11"/>
  <c r="H299" i="11"/>
  <c r="G299" i="11"/>
  <c r="H298" i="11"/>
  <c r="G298" i="11"/>
  <c r="H297" i="11"/>
  <c r="G297" i="11"/>
  <c r="H296" i="11"/>
  <c r="G296" i="11"/>
  <c r="H295" i="11"/>
  <c r="G295" i="11"/>
  <c r="H294" i="11"/>
  <c r="G294" i="11"/>
  <c r="H293" i="11"/>
  <c r="G293" i="11"/>
  <c r="H292" i="11"/>
  <c r="G292" i="11"/>
  <c r="H291" i="11"/>
  <c r="G291" i="11"/>
  <c r="H290" i="11"/>
  <c r="G290" i="11"/>
  <c r="H283" i="11"/>
  <c r="G283" i="11"/>
  <c r="H282" i="11"/>
  <c r="G282" i="11"/>
  <c r="H281" i="11"/>
  <c r="G281" i="11"/>
  <c r="H280" i="11"/>
  <c r="G280" i="11"/>
  <c r="H279" i="11"/>
  <c r="G279" i="11"/>
  <c r="H278" i="11"/>
  <c r="G278" i="11"/>
  <c r="H277" i="11"/>
  <c r="G277" i="11"/>
  <c r="H276" i="11"/>
  <c r="G276" i="11"/>
  <c r="H275" i="11"/>
  <c r="G275" i="11"/>
  <c r="H274" i="11"/>
  <c r="G274" i="11"/>
  <c r="H273" i="11"/>
  <c r="G273" i="11"/>
  <c r="H272" i="11"/>
  <c r="G272" i="11"/>
  <c r="H271" i="11"/>
  <c r="G271" i="11"/>
  <c r="H264" i="11"/>
  <c r="G264" i="11"/>
  <c r="H263" i="11"/>
  <c r="G263" i="11"/>
  <c r="H262" i="11"/>
  <c r="G262" i="11"/>
  <c r="H261" i="11"/>
  <c r="G261" i="11"/>
  <c r="H260" i="11"/>
  <c r="G260" i="11"/>
  <c r="H259" i="11"/>
  <c r="G259" i="11"/>
  <c r="H258" i="11"/>
  <c r="G258" i="11"/>
  <c r="H257" i="11"/>
  <c r="G257" i="11"/>
  <c r="H256" i="11"/>
  <c r="G256" i="11"/>
  <c r="H255" i="11"/>
  <c r="G255" i="11"/>
  <c r="H254" i="11"/>
  <c r="G254" i="11"/>
  <c r="H253" i="11"/>
  <c r="G253" i="11"/>
  <c r="H252" i="11"/>
  <c r="G252" i="11"/>
  <c r="H245" i="11"/>
  <c r="G245" i="11"/>
  <c r="H244" i="11"/>
  <c r="G244" i="11"/>
  <c r="H243" i="11"/>
  <c r="G243" i="11"/>
  <c r="H242" i="11"/>
  <c r="G242" i="11"/>
  <c r="H241" i="11"/>
  <c r="G241" i="11"/>
  <c r="H240" i="11"/>
  <c r="G240" i="11"/>
  <c r="H239" i="11"/>
  <c r="G239" i="11"/>
  <c r="H238" i="11"/>
  <c r="G238" i="11"/>
  <c r="H237" i="11"/>
  <c r="G237" i="11"/>
  <c r="H236" i="11"/>
  <c r="G236" i="11"/>
  <c r="H235" i="11"/>
  <c r="G235" i="11"/>
  <c r="H234" i="11"/>
  <c r="G234" i="11"/>
  <c r="H233" i="11"/>
  <c r="G233" i="11"/>
  <c r="H226" i="11"/>
  <c r="G226" i="11"/>
  <c r="H225" i="11"/>
  <c r="G225" i="11"/>
  <c r="H224" i="11"/>
  <c r="G224" i="11"/>
  <c r="H223" i="11"/>
  <c r="G223" i="11"/>
  <c r="H222" i="11"/>
  <c r="G222" i="11"/>
  <c r="H221" i="11"/>
  <c r="G221" i="11"/>
  <c r="H220" i="11"/>
  <c r="G220" i="11"/>
  <c r="H219" i="11"/>
  <c r="G219" i="11"/>
  <c r="H218" i="11"/>
  <c r="G218" i="11"/>
  <c r="H217" i="11"/>
  <c r="G217" i="11"/>
  <c r="H216" i="11"/>
  <c r="G216" i="11"/>
  <c r="H215" i="11"/>
  <c r="G215" i="11"/>
  <c r="H214" i="11"/>
  <c r="G214" i="11"/>
  <c r="H207" i="11"/>
  <c r="G207" i="11"/>
  <c r="H206" i="11"/>
  <c r="G206" i="11"/>
  <c r="H205" i="11"/>
  <c r="G205" i="11"/>
  <c r="H204" i="11"/>
  <c r="G204" i="11"/>
  <c r="H203" i="11"/>
  <c r="G203" i="11"/>
  <c r="H202" i="11"/>
  <c r="G202" i="11"/>
  <c r="H201" i="11"/>
  <c r="G201" i="11"/>
  <c r="H200" i="11"/>
  <c r="G200" i="11"/>
  <c r="H199" i="11"/>
  <c r="G199" i="11"/>
  <c r="H198" i="11"/>
  <c r="G198" i="11"/>
  <c r="H197" i="11"/>
  <c r="G197" i="11"/>
  <c r="H196" i="11"/>
  <c r="G196" i="11"/>
  <c r="H195" i="11"/>
  <c r="G195" i="11"/>
  <c r="H188" i="11"/>
  <c r="G188" i="11"/>
  <c r="H187" i="11"/>
  <c r="G187" i="11"/>
  <c r="H186" i="11"/>
  <c r="G186" i="11"/>
  <c r="H185" i="11"/>
  <c r="G185" i="11"/>
  <c r="H184" i="11"/>
  <c r="G184" i="11"/>
  <c r="H183" i="11"/>
  <c r="G183" i="11"/>
  <c r="H182" i="11"/>
  <c r="G182" i="11"/>
  <c r="H181" i="11"/>
  <c r="G181" i="11"/>
  <c r="H180" i="11"/>
  <c r="G180" i="11"/>
  <c r="H179" i="11"/>
  <c r="G179" i="11"/>
  <c r="H178" i="11"/>
  <c r="G178" i="11"/>
  <c r="H177" i="11"/>
  <c r="G177" i="11"/>
  <c r="H176" i="11"/>
  <c r="G176" i="11"/>
  <c r="H169" i="11"/>
  <c r="G169" i="11"/>
  <c r="G84" i="11" s="1"/>
  <c r="H168" i="11"/>
  <c r="G168" i="11"/>
  <c r="G83" i="11" s="1"/>
  <c r="H167" i="11"/>
  <c r="G167" i="11"/>
  <c r="G82" i="11" s="1"/>
  <c r="H166" i="11"/>
  <c r="G166" i="11"/>
  <c r="G81" i="11" s="1"/>
  <c r="H165" i="11"/>
  <c r="G165" i="11"/>
  <c r="G80" i="11" s="1"/>
  <c r="H164" i="11"/>
  <c r="G164" i="11"/>
  <c r="G79" i="11" s="1"/>
  <c r="H163" i="11"/>
  <c r="G163" i="11"/>
  <c r="G78" i="11" s="1"/>
  <c r="H162" i="11"/>
  <c r="G162" i="11"/>
  <c r="G77" i="11" s="1"/>
  <c r="H161" i="11"/>
  <c r="G161" i="11"/>
  <c r="G76" i="11" s="1"/>
  <c r="H160" i="11"/>
  <c r="G160" i="11"/>
  <c r="G75" i="11" s="1"/>
  <c r="H159" i="11"/>
  <c r="G159" i="11"/>
  <c r="G74" i="11" s="1"/>
  <c r="H158" i="11"/>
  <c r="G158" i="11"/>
  <c r="G73" i="11" s="1"/>
  <c r="H157" i="11"/>
  <c r="G157" i="11"/>
  <c r="G72" i="11" s="1"/>
  <c r="H149" i="11"/>
  <c r="G149" i="11"/>
  <c r="H84" i="11" s="1"/>
  <c r="H148" i="11"/>
  <c r="G148" i="11"/>
  <c r="H83" i="11" s="1"/>
  <c r="H147" i="11"/>
  <c r="G147" i="11"/>
  <c r="H82" i="11" s="1"/>
  <c r="H146" i="11"/>
  <c r="G146" i="11"/>
  <c r="H81" i="11" s="1"/>
  <c r="H145" i="11"/>
  <c r="G145" i="11"/>
  <c r="H80" i="11" s="1"/>
  <c r="H144" i="11"/>
  <c r="G144" i="11"/>
  <c r="H79" i="11" s="1"/>
  <c r="H143" i="11"/>
  <c r="G143" i="11"/>
  <c r="H78" i="11" s="1"/>
  <c r="H142" i="11"/>
  <c r="G142" i="11"/>
  <c r="H77" i="11" s="1"/>
  <c r="H141" i="11"/>
  <c r="G141" i="11"/>
  <c r="H76" i="11" s="1"/>
  <c r="H140" i="11"/>
  <c r="G140" i="11"/>
  <c r="H75" i="11" s="1"/>
  <c r="H139" i="11"/>
  <c r="G139" i="11"/>
  <c r="H74" i="11" s="1"/>
  <c r="H138" i="11"/>
  <c r="G138" i="11"/>
  <c r="H73" i="11" s="1"/>
  <c r="H137" i="11"/>
  <c r="G137" i="11"/>
  <c r="H72" i="11" s="1"/>
  <c r="H129" i="11"/>
  <c r="G129" i="11"/>
  <c r="F84" i="11" s="1"/>
  <c r="H128" i="11"/>
  <c r="G128" i="11"/>
  <c r="F83" i="11" s="1"/>
  <c r="H127" i="11"/>
  <c r="G127" i="11"/>
  <c r="F82" i="11" s="1"/>
  <c r="H126" i="11"/>
  <c r="G126" i="11"/>
  <c r="F81" i="11" s="1"/>
  <c r="H125" i="11"/>
  <c r="G125" i="11"/>
  <c r="F80" i="11" s="1"/>
  <c r="H124" i="11"/>
  <c r="G124" i="11"/>
  <c r="F79" i="11" s="1"/>
  <c r="H123" i="11"/>
  <c r="G123" i="11"/>
  <c r="F78" i="11" s="1"/>
  <c r="H122" i="11"/>
  <c r="G122" i="11"/>
  <c r="F77" i="11" s="1"/>
  <c r="H121" i="11"/>
  <c r="G121" i="11"/>
  <c r="F76" i="11" s="1"/>
  <c r="H120" i="11"/>
  <c r="G120" i="11"/>
  <c r="F75" i="11" s="1"/>
  <c r="H119" i="11"/>
  <c r="G119" i="11"/>
  <c r="F74" i="11" s="1"/>
  <c r="H118" i="11"/>
  <c r="G118" i="11"/>
  <c r="F73" i="11" s="1"/>
  <c r="H117" i="11"/>
  <c r="G117" i="11"/>
  <c r="F72" i="11" s="1"/>
  <c r="F107" i="11"/>
  <c r="A32" i="28" l="1"/>
  <c r="A33" i="28" s="1"/>
  <c r="E97" i="11"/>
  <c r="G97" i="11" s="1"/>
  <c r="E105" i="11"/>
  <c r="G105" i="11" s="1"/>
  <c r="E101" i="11"/>
  <c r="G101" i="11" s="1"/>
  <c r="E99" i="11"/>
  <c r="G99" i="11" s="1"/>
  <c r="E103" i="11"/>
  <c r="G103" i="11" s="1"/>
  <c r="E95" i="11"/>
  <c r="G95" i="11" s="1"/>
  <c r="E94" i="11"/>
  <c r="G94" i="11" s="1"/>
  <c r="E96" i="11"/>
  <c r="G96" i="11" s="1"/>
  <c r="E98" i="11"/>
  <c r="G98" i="11" s="1"/>
  <c r="E100" i="11"/>
  <c r="G100" i="11" s="1"/>
  <c r="E102" i="11"/>
  <c r="G102" i="11" s="1"/>
  <c r="E104" i="11"/>
  <c r="G104" i="11" s="1"/>
  <c r="E106" i="11"/>
  <c r="G106" i="11" s="1"/>
  <c r="N95" i="48"/>
  <c r="M96" i="48"/>
  <c r="M64" i="48"/>
  <c r="M31" i="48"/>
  <c r="N63" i="48"/>
  <c r="N31" i="48" s="1"/>
  <c r="A34" i="28"/>
  <c r="B57" i="28" s="1"/>
  <c r="I47" i="28" l="1"/>
  <c r="N96" i="48"/>
  <c r="M97" i="48"/>
  <c r="G107" i="11"/>
  <c r="E107" i="11"/>
  <c r="M32" i="48"/>
  <c r="N64" i="48"/>
  <c r="N32" i="48" s="1"/>
  <c r="M65" i="48"/>
  <c r="M66" i="48" s="1"/>
  <c r="I48" i="28"/>
  <c r="A35" i="28"/>
  <c r="I68" i="1" s="1"/>
  <c r="J35" i="28"/>
  <c r="M34" i="48" l="1"/>
  <c r="N97" i="48"/>
  <c r="M98" i="48"/>
  <c r="N66" i="48"/>
  <c r="M67" i="48"/>
  <c r="N65" i="48"/>
  <c r="N33" i="48" s="1"/>
  <c r="M33" i="48"/>
  <c r="A38" i="28"/>
  <c r="A39" i="28" s="1"/>
  <c r="A40" i="28" s="1"/>
  <c r="A41" i="28" s="1"/>
  <c r="I69" i="1" s="1"/>
  <c r="B170" i="21"/>
  <c r="D156" i="21"/>
  <c r="M129" i="21"/>
  <c r="L129" i="21"/>
  <c r="K129" i="21"/>
  <c r="J129" i="21"/>
  <c r="I129" i="21"/>
  <c r="H129" i="21"/>
  <c r="G129" i="21"/>
  <c r="F129" i="21"/>
  <c r="D129" i="21"/>
  <c r="M83" i="21"/>
  <c r="L83" i="21"/>
  <c r="K83" i="21"/>
  <c r="J83" i="21"/>
  <c r="I83" i="21"/>
  <c r="H83" i="21"/>
  <c r="G83" i="21"/>
  <c r="F83" i="21"/>
  <c r="E83" i="21"/>
  <c r="D83" i="21"/>
  <c r="N82" i="21"/>
  <c r="N81" i="21"/>
  <c r="N80" i="21"/>
  <c r="N79" i="21"/>
  <c r="N78" i="21"/>
  <c r="N77" i="21"/>
  <c r="N76" i="21"/>
  <c r="N75" i="21"/>
  <c r="N74" i="21"/>
  <c r="N73" i="21"/>
  <c r="N72" i="21"/>
  <c r="N71" i="21"/>
  <c r="F58" i="21"/>
  <c r="E46" i="21"/>
  <c r="F51" i="21" s="1"/>
  <c r="F35" i="21"/>
  <c r="E35" i="21"/>
  <c r="D35" i="21"/>
  <c r="A35" i="21"/>
  <c r="H19" i="8" s="1"/>
  <c r="G34" i="21"/>
  <c r="G33" i="21"/>
  <c r="D25" i="21"/>
  <c r="N24" i="21"/>
  <c r="A13" i="21"/>
  <c r="A14" i="21" s="1"/>
  <c r="A15" i="21" s="1"/>
  <c r="A16" i="21" s="1"/>
  <c r="A17" i="21" s="1"/>
  <c r="A18" i="21" s="1"/>
  <c r="A19" i="21" s="1"/>
  <c r="A20" i="21" s="1"/>
  <c r="A21" i="21" s="1"/>
  <c r="A22" i="21" s="1"/>
  <c r="A23" i="21" s="1"/>
  <c r="A24" i="21" s="1"/>
  <c r="N12" i="21"/>
  <c r="A12" i="4"/>
  <c r="A13" i="4" s="1"/>
  <c r="A14" i="4" s="1"/>
  <c r="A15" i="4" s="1"/>
  <c r="A16" i="4" s="1"/>
  <c r="A17" i="4" s="1"/>
  <c r="A18" i="4" s="1"/>
  <c r="A19" i="4" s="1"/>
  <c r="A20" i="4" s="1"/>
  <c r="A21" i="4" s="1"/>
  <c r="A22" i="4" s="1"/>
  <c r="A23" i="4" s="1"/>
  <c r="E36" i="7" s="1"/>
  <c r="M23" i="4"/>
  <c r="M24" i="64" s="1"/>
  <c r="F34" i="4"/>
  <c r="F35" i="4"/>
  <c r="D37" i="7" s="1"/>
  <c r="C36" i="4"/>
  <c r="D36" i="4"/>
  <c r="E36" i="4"/>
  <c r="H52" i="4"/>
  <c r="H53" i="4"/>
  <c r="F61" i="4" s="1"/>
  <c r="M74" i="4"/>
  <c r="M75" i="4"/>
  <c r="M76" i="4"/>
  <c r="M77" i="4"/>
  <c r="M78" i="4"/>
  <c r="M79" i="4"/>
  <c r="M80" i="4"/>
  <c r="M81" i="4"/>
  <c r="M82" i="4"/>
  <c r="M83" i="4"/>
  <c r="M84" i="4"/>
  <c r="M85" i="4"/>
  <c r="C86" i="4"/>
  <c r="D86" i="4"/>
  <c r="E86" i="4"/>
  <c r="F86" i="4"/>
  <c r="G86" i="4"/>
  <c r="H86" i="4"/>
  <c r="I86" i="4"/>
  <c r="J86" i="4"/>
  <c r="K86" i="4"/>
  <c r="L86" i="4"/>
  <c r="M94" i="4"/>
  <c r="M95" i="4"/>
  <c r="M96" i="4"/>
  <c r="M97" i="4"/>
  <c r="M98" i="4"/>
  <c r="M99" i="4"/>
  <c r="M100" i="4"/>
  <c r="M101" i="4"/>
  <c r="M102" i="4"/>
  <c r="M103" i="4"/>
  <c r="M104" i="4"/>
  <c r="M105" i="4"/>
  <c r="C106" i="4"/>
  <c r="C135" i="4" s="1"/>
  <c r="D106" i="4"/>
  <c r="D135" i="4" s="1"/>
  <c r="E106" i="4"/>
  <c r="E135" i="4" s="1"/>
  <c r="F106" i="4"/>
  <c r="F135" i="4" s="1"/>
  <c r="G106" i="4"/>
  <c r="G135" i="4" s="1"/>
  <c r="H106" i="4"/>
  <c r="H135" i="4" s="1"/>
  <c r="I106" i="4"/>
  <c r="I135" i="4" s="1"/>
  <c r="J106" i="4"/>
  <c r="J135" i="4" s="1"/>
  <c r="K106" i="4"/>
  <c r="K135" i="4" s="1"/>
  <c r="L106" i="4"/>
  <c r="L135" i="4" s="1"/>
  <c r="C114" i="4"/>
  <c r="D114" i="4"/>
  <c r="E114" i="4"/>
  <c r="F114" i="4"/>
  <c r="G114" i="4"/>
  <c r="H114" i="4"/>
  <c r="I114" i="4"/>
  <c r="J114" i="4"/>
  <c r="K114" i="4"/>
  <c r="L114" i="4"/>
  <c r="C115" i="4"/>
  <c r="D115" i="4"/>
  <c r="E115" i="4"/>
  <c r="F115" i="4"/>
  <c r="G115" i="4"/>
  <c r="H115" i="4"/>
  <c r="I115" i="4"/>
  <c r="J115" i="4"/>
  <c r="K115" i="4"/>
  <c r="L115" i="4"/>
  <c r="C116" i="4"/>
  <c r="D116" i="4"/>
  <c r="E116" i="4"/>
  <c r="F116" i="4"/>
  <c r="G116" i="4"/>
  <c r="H116" i="4"/>
  <c r="I116" i="4"/>
  <c r="J116" i="4"/>
  <c r="K116" i="4"/>
  <c r="L116" i="4"/>
  <c r="C117" i="4"/>
  <c r="D117" i="4"/>
  <c r="E117" i="4"/>
  <c r="F117" i="4"/>
  <c r="G117" i="4"/>
  <c r="H117" i="4"/>
  <c r="I117" i="4"/>
  <c r="J117" i="4"/>
  <c r="K117" i="4"/>
  <c r="L117" i="4"/>
  <c r="C118" i="4"/>
  <c r="D118" i="4"/>
  <c r="E118" i="4"/>
  <c r="F118" i="4"/>
  <c r="G118" i="4"/>
  <c r="H118" i="4"/>
  <c r="I118" i="4"/>
  <c r="J118" i="4"/>
  <c r="K118" i="4"/>
  <c r="L118" i="4"/>
  <c r="C119" i="4"/>
  <c r="D119" i="4"/>
  <c r="E119" i="4"/>
  <c r="F119" i="4"/>
  <c r="G119" i="4"/>
  <c r="H119" i="4"/>
  <c r="I119" i="4"/>
  <c r="J119" i="4"/>
  <c r="K119" i="4"/>
  <c r="L119" i="4"/>
  <c r="C120" i="4"/>
  <c r="D120" i="4"/>
  <c r="E120" i="4"/>
  <c r="F120" i="4"/>
  <c r="G120" i="4"/>
  <c r="H120" i="4"/>
  <c r="I120" i="4"/>
  <c r="J120" i="4"/>
  <c r="K120" i="4"/>
  <c r="L120" i="4"/>
  <c r="C121" i="4"/>
  <c r="D121" i="4"/>
  <c r="E121" i="4"/>
  <c r="F121" i="4"/>
  <c r="G121" i="4"/>
  <c r="H121" i="4"/>
  <c r="I121" i="4"/>
  <c r="J121" i="4"/>
  <c r="K121" i="4"/>
  <c r="L121" i="4"/>
  <c r="C122" i="4"/>
  <c r="D122" i="4"/>
  <c r="E122" i="4"/>
  <c r="F122" i="4"/>
  <c r="G122" i="4"/>
  <c r="H122" i="4"/>
  <c r="I122" i="4"/>
  <c r="J122" i="4"/>
  <c r="K122" i="4"/>
  <c r="L122" i="4"/>
  <c r="C123" i="4"/>
  <c r="D123" i="4"/>
  <c r="E123" i="4"/>
  <c r="F123" i="4"/>
  <c r="G123" i="4"/>
  <c r="H123" i="4"/>
  <c r="I123" i="4"/>
  <c r="J123" i="4"/>
  <c r="K123" i="4"/>
  <c r="L123" i="4"/>
  <c r="C124" i="4"/>
  <c r="D124" i="4"/>
  <c r="E124" i="4"/>
  <c r="F124" i="4"/>
  <c r="G124" i="4"/>
  <c r="H124" i="4"/>
  <c r="I124" i="4"/>
  <c r="J124" i="4"/>
  <c r="K124" i="4"/>
  <c r="L124" i="4"/>
  <c r="C125" i="4"/>
  <c r="D125" i="4"/>
  <c r="E125" i="4"/>
  <c r="F125" i="4"/>
  <c r="G125" i="4"/>
  <c r="H125" i="4"/>
  <c r="I125" i="4"/>
  <c r="J125" i="4"/>
  <c r="K125" i="4"/>
  <c r="L125" i="4"/>
  <c r="C131" i="4"/>
  <c r="D131" i="4"/>
  <c r="E131" i="4"/>
  <c r="F131" i="4"/>
  <c r="G131" i="4"/>
  <c r="H131" i="4"/>
  <c r="I131" i="4"/>
  <c r="J131" i="4"/>
  <c r="K131" i="4"/>
  <c r="L131" i="4"/>
  <c r="G24" i="2"/>
  <c r="G22" i="2"/>
  <c r="E126" i="4" l="1"/>
  <c r="J126" i="4"/>
  <c r="M35" i="48"/>
  <c r="N34" i="48"/>
  <c r="N98" i="48"/>
  <c r="M99" i="48"/>
  <c r="N99" i="48" s="1"/>
  <c r="M68" i="48"/>
  <c r="N67" i="48"/>
  <c r="I126" i="4"/>
  <c r="F126" i="4"/>
  <c r="L126" i="4"/>
  <c r="H126" i="4"/>
  <c r="K126" i="4"/>
  <c r="G126" i="4"/>
  <c r="C126" i="4"/>
  <c r="D126" i="4"/>
  <c r="F36" i="4"/>
  <c r="D43" i="4"/>
  <c r="K9" i="1" s="1"/>
  <c r="M131" i="4"/>
  <c r="M12" i="64"/>
  <c r="D139" i="4"/>
  <c r="B176" i="4"/>
  <c r="L139" i="4"/>
  <c r="L154" i="4" s="1"/>
  <c r="E38" i="7"/>
  <c r="I21" i="1"/>
  <c r="H139" i="4"/>
  <c r="M106" i="4"/>
  <c r="F139" i="4"/>
  <c r="J139" i="4"/>
  <c r="K139" i="4"/>
  <c r="I139" i="4"/>
  <c r="G139" i="4"/>
  <c r="E139" i="4"/>
  <c r="C139" i="4"/>
  <c r="F56" i="4"/>
  <c r="G35" i="21"/>
  <c r="J19" i="8" s="1"/>
  <c r="M86" i="4"/>
  <c r="A44" i="21"/>
  <c r="A45" i="21" s="1"/>
  <c r="H46" i="21" s="1"/>
  <c r="A25" i="21"/>
  <c r="B174" i="21"/>
  <c r="K22" i="1"/>
  <c r="D39" i="7"/>
  <c r="N83" i="21"/>
  <c r="J41" i="28"/>
  <c r="J43" i="28"/>
  <c r="A43" i="28"/>
  <c r="I70" i="1" s="1"/>
  <c r="M125" i="4"/>
  <c r="M124" i="4"/>
  <c r="M123" i="4"/>
  <c r="M122" i="4"/>
  <c r="M121" i="4"/>
  <c r="M120" i="4"/>
  <c r="M119" i="4"/>
  <c r="M118" i="4"/>
  <c r="M117" i="4"/>
  <c r="M116" i="4"/>
  <c r="M115" i="4"/>
  <c r="M114" i="4"/>
  <c r="A24" i="4"/>
  <c r="N129" i="21"/>
  <c r="M135" i="4" l="1"/>
  <c r="I147" i="4"/>
  <c r="I149" i="4"/>
  <c r="M139" i="4"/>
  <c r="E149" i="4"/>
  <c r="E146" i="4"/>
  <c r="E12" i="4" s="1"/>
  <c r="C147" i="4"/>
  <c r="D150" i="4"/>
  <c r="I155" i="4"/>
  <c r="G149" i="4"/>
  <c r="F149" i="4"/>
  <c r="H155" i="4"/>
  <c r="C149" i="4"/>
  <c r="J149" i="4"/>
  <c r="N68" i="48"/>
  <c r="N36" i="48" s="1"/>
  <c r="M36" i="48"/>
  <c r="N35" i="48"/>
  <c r="H151" i="4"/>
  <c r="C148" i="4"/>
  <c r="H153" i="4"/>
  <c r="H148" i="4"/>
  <c r="C155" i="4"/>
  <c r="D146" i="4"/>
  <c r="D12" i="4" s="1"/>
  <c r="D13" i="64" s="1"/>
  <c r="D50" i="64" s="1"/>
  <c r="H150" i="4"/>
  <c r="H147" i="4"/>
  <c r="H157" i="4"/>
  <c r="H146" i="4"/>
  <c r="H12" i="4" s="1"/>
  <c r="H13" i="64" s="1"/>
  <c r="H50" i="64" s="1"/>
  <c r="I92" i="21" s="1"/>
  <c r="K149" i="4"/>
  <c r="D148" i="4"/>
  <c r="G148" i="4"/>
  <c r="I150" i="4"/>
  <c r="L150" i="4"/>
  <c r="E156" i="4"/>
  <c r="G155" i="4"/>
  <c r="K152" i="4"/>
  <c r="G154" i="4"/>
  <c r="E150" i="4"/>
  <c r="E153" i="4"/>
  <c r="J148" i="4"/>
  <c r="J150" i="4"/>
  <c r="E148" i="4"/>
  <c r="E151" i="4"/>
  <c r="I154" i="4"/>
  <c r="I151" i="4"/>
  <c r="D155" i="4"/>
  <c r="F147" i="4"/>
  <c r="D149" i="4"/>
  <c r="F148" i="4"/>
  <c r="F150" i="4"/>
  <c r="E154" i="4"/>
  <c r="E155" i="4"/>
  <c r="I146" i="4"/>
  <c r="I12" i="4" s="1"/>
  <c r="I13" i="64" s="1"/>
  <c r="I50" i="64" s="1"/>
  <c r="L155" i="4"/>
  <c r="L152" i="4"/>
  <c r="D151" i="4"/>
  <c r="D156" i="4"/>
  <c r="L148" i="4"/>
  <c r="C154" i="4"/>
  <c r="C146" i="4"/>
  <c r="C12" i="4" s="1"/>
  <c r="C13" i="64" s="1"/>
  <c r="C50" i="64" s="1"/>
  <c r="C153" i="4"/>
  <c r="G152" i="4"/>
  <c r="G151" i="4"/>
  <c r="K156" i="4"/>
  <c r="D147" i="4"/>
  <c r="L153" i="4"/>
  <c r="D157" i="4"/>
  <c r="L149" i="4"/>
  <c r="D154" i="4"/>
  <c r="C152" i="4"/>
  <c r="C156" i="4"/>
  <c r="C151" i="4"/>
  <c r="K151" i="4"/>
  <c r="L151" i="4"/>
  <c r="L156" i="4"/>
  <c r="L146" i="4"/>
  <c r="L12" i="4" s="1"/>
  <c r="C150" i="4"/>
  <c r="C157" i="4"/>
  <c r="E152" i="4"/>
  <c r="E157" i="4"/>
  <c r="E147" i="4"/>
  <c r="G156" i="4"/>
  <c r="L147" i="4"/>
  <c r="D153" i="4"/>
  <c r="L157" i="4"/>
  <c r="D152" i="4"/>
  <c r="I156" i="4"/>
  <c r="I152" i="4"/>
  <c r="I148" i="4"/>
  <c r="I157" i="4"/>
  <c r="I153" i="4"/>
  <c r="F155" i="4"/>
  <c r="J155" i="4"/>
  <c r="G147" i="4"/>
  <c r="K148" i="4"/>
  <c r="K155" i="4"/>
  <c r="F151" i="4"/>
  <c r="F152" i="4"/>
  <c r="H152" i="4"/>
  <c r="G150" i="4"/>
  <c r="G146" i="4"/>
  <c r="G12" i="4" s="1"/>
  <c r="G157" i="4"/>
  <c r="G153" i="4"/>
  <c r="K154" i="4"/>
  <c r="K150" i="4"/>
  <c r="K146" i="4"/>
  <c r="K12" i="4" s="1"/>
  <c r="K13" i="64" s="1"/>
  <c r="K50" i="64" s="1"/>
  <c r="K157" i="4"/>
  <c r="K153" i="4"/>
  <c r="K147" i="4"/>
  <c r="F153" i="4"/>
  <c r="F157" i="4"/>
  <c r="F156" i="4"/>
  <c r="F146" i="4"/>
  <c r="F12" i="4" s="1"/>
  <c r="J152" i="4"/>
  <c r="H156" i="4"/>
  <c r="J147" i="4"/>
  <c r="J156" i="4"/>
  <c r="J146" i="4"/>
  <c r="J12" i="4" s="1"/>
  <c r="J13" i="64" s="1"/>
  <c r="J50" i="64" s="1"/>
  <c r="F154" i="4"/>
  <c r="J153" i="4"/>
  <c r="J157" i="4"/>
  <c r="J151" i="4"/>
  <c r="J154" i="4"/>
  <c r="H149" i="4"/>
  <c r="H154" i="4"/>
  <c r="A33" i="21"/>
  <c r="H35" i="21" s="1"/>
  <c r="H18" i="8"/>
  <c r="M126" i="4"/>
  <c r="A46" i="28"/>
  <c r="A47" i="28" s="1"/>
  <c r="A48" i="28" s="1"/>
  <c r="A49" i="28" s="1"/>
  <c r="B169" i="21"/>
  <c r="A34" i="4"/>
  <c r="G58" i="21"/>
  <c r="A46" i="21"/>
  <c r="F100" i="12"/>
  <c r="B108" i="12"/>
  <c r="N37" i="48" l="1"/>
  <c r="D78" i="7" s="1"/>
  <c r="H13" i="4"/>
  <c r="H14" i="64" s="1"/>
  <c r="H51" i="64" s="1"/>
  <c r="I93" i="21" s="1"/>
  <c r="D13" i="4"/>
  <c r="D14" i="64" s="1"/>
  <c r="D51" i="64" s="1"/>
  <c r="E93" i="21" s="1"/>
  <c r="M153" i="4"/>
  <c r="M148" i="4"/>
  <c r="H158" i="4"/>
  <c r="M155" i="4"/>
  <c r="K158" i="4"/>
  <c r="I158" i="4"/>
  <c r="K13" i="4"/>
  <c r="K14" i="4" s="1"/>
  <c r="C13" i="4"/>
  <c r="C14" i="64" s="1"/>
  <c r="C51" i="64" s="1"/>
  <c r="D93" i="21" s="1"/>
  <c r="G13" i="64"/>
  <c r="G50" i="64" s="1"/>
  <c r="H92" i="21" s="1"/>
  <c r="G13" i="4"/>
  <c r="G14" i="4" s="1"/>
  <c r="E158" i="4"/>
  <c r="M149" i="4"/>
  <c r="I13" i="4"/>
  <c r="I14" i="4" s="1"/>
  <c r="F158" i="4"/>
  <c r="M154" i="4"/>
  <c r="M157" i="4"/>
  <c r="J158" i="4"/>
  <c r="G158" i="4"/>
  <c r="M146" i="4"/>
  <c r="M156" i="4"/>
  <c r="M150" i="4"/>
  <c r="M151" i="4"/>
  <c r="D158" i="4"/>
  <c r="M152" i="4"/>
  <c r="D92" i="21"/>
  <c r="F13" i="4"/>
  <c r="F13" i="64"/>
  <c r="F50" i="64" s="1"/>
  <c r="E13" i="4"/>
  <c r="E13" i="64"/>
  <c r="E50" i="64" s="1"/>
  <c r="L92" i="21"/>
  <c r="L13" i="4"/>
  <c r="L13" i="64"/>
  <c r="L50" i="64" s="1"/>
  <c r="J92" i="21"/>
  <c r="M147" i="4"/>
  <c r="C158" i="4"/>
  <c r="L158" i="4"/>
  <c r="K92" i="21"/>
  <c r="E92" i="21"/>
  <c r="J13" i="4"/>
  <c r="B171" i="4"/>
  <c r="A50" i="28"/>
  <c r="M12" i="4"/>
  <c r="M13" i="64" s="1"/>
  <c r="A35" i="4"/>
  <c r="G51" i="21"/>
  <c r="A51" i="21"/>
  <c r="H14" i="4" l="1"/>
  <c r="H15" i="64" s="1"/>
  <c r="H52" i="64" s="1"/>
  <c r="I94" i="21" s="1"/>
  <c r="D14" i="4"/>
  <c r="D15" i="64" s="1"/>
  <c r="D52" i="64" s="1"/>
  <c r="E94" i="21" s="1"/>
  <c r="I14" i="64"/>
  <c r="I51" i="64" s="1"/>
  <c r="J93" i="21" s="1"/>
  <c r="M158" i="4"/>
  <c r="G14" i="64"/>
  <c r="G51" i="64" s="1"/>
  <c r="H93" i="21" s="1"/>
  <c r="K14" i="64"/>
  <c r="K51" i="64" s="1"/>
  <c r="L93" i="21" s="1"/>
  <c r="C14" i="4"/>
  <c r="C15" i="64" s="1"/>
  <c r="C52" i="64" s="1"/>
  <c r="D94" i="21" s="1"/>
  <c r="M13" i="4"/>
  <c r="M14" i="64" s="1"/>
  <c r="G15" i="4"/>
  <c r="G15" i="64"/>
  <c r="G52" i="64" s="1"/>
  <c r="H94" i="21" s="1"/>
  <c r="G92" i="21"/>
  <c r="M50" i="64"/>
  <c r="M92" i="21"/>
  <c r="F92" i="21"/>
  <c r="F14" i="64"/>
  <c r="F51" i="64" s="1"/>
  <c r="G93" i="21" s="1"/>
  <c r="F14" i="4"/>
  <c r="L14" i="64"/>
  <c r="L51" i="64" s="1"/>
  <c r="M93" i="21" s="1"/>
  <c r="L14" i="4"/>
  <c r="E14" i="4"/>
  <c r="E14" i="64"/>
  <c r="E51" i="64" s="1"/>
  <c r="K15" i="4"/>
  <c r="K15" i="64"/>
  <c r="K52" i="64" s="1"/>
  <c r="L94" i="21" s="1"/>
  <c r="J14" i="4"/>
  <c r="J14" i="64"/>
  <c r="J51" i="64" s="1"/>
  <c r="I15" i="4"/>
  <c r="I15" i="64"/>
  <c r="I52" i="64" s="1"/>
  <c r="J94" i="21" s="1"/>
  <c r="E37" i="7"/>
  <c r="B172" i="4"/>
  <c r="A51" i="28"/>
  <c r="I73" i="1" s="1"/>
  <c r="J51" i="28"/>
  <c r="A36" i="4"/>
  <c r="E43" i="4"/>
  <c r="A52" i="21"/>
  <c r="A53" i="21" s="1"/>
  <c r="H20" i="8" s="1"/>
  <c r="H15" i="4" l="1"/>
  <c r="H16" i="64" s="1"/>
  <c r="H53" i="64" s="1"/>
  <c r="I95" i="21" s="1"/>
  <c r="D15" i="4"/>
  <c r="C15" i="4"/>
  <c r="C16" i="64" s="1"/>
  <c r="C53" i="64" s="1"/>
  <c r="D95" i="21" s="1"/>
  <c r="M14" i="4"/>
  <c r="M15" i="64" s="1"/>
  <c r="F93" i="21"/>
  <c r="M51" i="64"/>
  <c r="F15" i="4"/>
  <c r="F15" i="64"/>
  <c r="F52" i="64" s="1"/>
  <c r="G94" i="21" s="1"/>
  <c r="G16" i="4"/>
  <c r="G16" i="64"/>
  <c r="G53" i="64" s="1"/>
  <c r="H95" i="21" s="1"/>
  <c r="K16" i="4"/>
  <c r="K16" i="64"/>
  <c r="K53" i="64" s="1"/>
  <c r="K93" i="21"/>
  <c r="E15" i="4"/>
  <c r="E15" i="64"/>
  <c r="E52" i="64" s="1"/>
  <c r="I16" i="4"/>
  <c r="I16" i="64"/>
  <c r="I53" i="64" s="1"/>
  <c r="J95" i="21" s="1"/>
  <c r="J15" i="4"/>
  <c r="J15" i="64"/>
  <c r="J52" i="64" s="1"/>
  <c r="K94" i="21" s="1"/>
  <c r="L15" i="4"/>
  <c r="L15" i="64"/>
  <c r="L52" i="64" s="1"/>
  <c r="M94" i="21" s="1"/>
  <c r="A58" i="21"/>
  <c r="G53" i="21"/>
  <c r="A42" i="4"/>
  <c r="E42" i="4"/>
  <c r="A59" i="21"/>
  <c r="A60" i="21" s="1"/>
  <c r="I23" i="1" s="1"/>
  <c r="H16" i="4" l="1"/>
  <c r="D16" i="64"/>
  <c r="D53" i="64" s="1"/>
  <c r="E95" i="21" s="1"/>
  <c r="D16" i="4"/>
  <c r="C16" i="4"/>
  <c r="C17" i="64" s="1"/>
  <c r="C54" i="64" s="1"/>
  <c r="D96" i="21" s="1"/>
  <c r="M15" i="4"/>
  <c r="M16" i="64" s="1"/>
  <c r="I17" i="4"/>
  <c r="I17" i="64"/>
  <c r="I54" i="64" s="1"/>
  <c r="J96" i="21" s="1"/>
  <c r="J16" i="4"/>
  <c r="J16" i="64"/>
  <c r="J53" i="64" s="1"/>
  <c r="K95" i="21" s="1"/>
  <c r="F94" i="21"/>
  <c r="M52" i="64"/>
  <c r="G17" i="4"/>
  <c r="G17" i="64"/>
  <c r="G54" i="64" s="1"/>
  <c r="H96" i="21" s="1"/>
  <c r="L16" i="64"/>
  <c r="L53" i="64" s="1"/>
  <c r="M95" i="21" s="1"/>
  <c r="L16" i="4"/>
  <c r="E16" i="4"/>
  <c r="E16" i="64"/>
  <c r="E53" i="64" s="1"/>
  <c r="L95" i="21"/>
  <c r="F16" i="4"/>
  <c r="F16" i="64"/>
  <c r="F53" i="64" s="1"/>
  <c r="K17" i="4"/>
  <c r="K17" i="64"/>
  <c r="K54" i="64" s="1"/>
  <c r="L96" i="21" s="1"/>
  <c r="A43" i="4"/>
  <c r="H6" i="8"/>
  <c r="G60" i="21"/>
  <c r="A71" i="21"/>
  <c r="H17" i="64" l="1"/>
  <c r="H54" i="64" s="1"/>
  <c r="I96" i="21" s="1"/>
  <c r="H17" i="4"/>
  <c r="D17" i="4"/>
  <c r="D17" i="64"/>
  <c r="D54" i="64" s="1"/>
  <c r="E96" i="21" s="1"/>
  <c r="C17" i="4"/>
  <c r="C18" i="64" s="1"/>
  <c r="C55" i="64" s="1"/>
  <c r="D97" i="21" s="1"/>
  <c r="M16" i="4"/>
  <c r="M17" i="64" s="1"/>
  <c r="L17" i="4"/>
  <c r="L17" i="64"/>
  <c r="L54" i="64" s="1"/>
  <c r="M96" i="21" s="1"/>
  <c r="K18" i="4"/>
  <c r="K18" i="64"/>
  <c r="K55" i="64" s="1"/>
  <c r="G95" i="21"/>
  <c r="F95" i="21"/>
  <c r="M53" i="64"/>
  <c r="I18" i="4"/>
  <c r="I18" i="64"/>
  <c r="I55" i="64" s="1"/>
  <c r="F17" i="4"/>
  <c r="F17" i="64"/>
  <c r="F54" i="64" s="1"/>
  <c r="G96" i="21" s="1"/>
  <c r="E17" i="4"/>
  <c r="E17" i="64"/>
  <c r="E54" i="64" s="1"/>
  <c r="G18" i="4"/>
  <c r="G18" i="64"/>
  <c r="G55" i="64" s="1"/>
  <c r="J17" i="4"/>
  <c r="J17" i="64"/>
  <c r="J54" i="64" s="1"/>
  <c r="A52" i="4"/>
  <c r="A53" i="4" s="1"/>
  <c r="G61" i="4" s="1"/>
  <c r="I9" i="1"/>
  <c r="A72" i="21"/>
  <c r="A73" i="21" s="1"/>
  <c r="A74" i="21" s="1"/>
  <c r="A75" i="21" s="1"/>
  <c r="A76" i="21" s="1"/>
  <c r="A77" i="21" s="1"/>
  <c r="A78" i="21" s="1"/>
  <c r="A79" i="21" s="1"/>
  <c r="A80" i="21" s="1"/>
  <c r="A81" i="21" s="1"/>
  <c r="A82" i="21" s="1"/>
  <c r="A83" i="21" s="1"/>
  <c r="A91" i="21" s="1"/>
  <c r="C18" i="4"/>
  <c r="C19" i="64" s="1"/>
  <c r="C56" i="64" s="1"/>
  <c r="A56" i="4"/>
  <c r="H18" i="4" l="1"/>
  <c r="H18" i="64"/>
  <c r="H55" i="64" s="1"/>
  <c r="I97" i="21" s="1"/>
  <c r="D18" i="64"/>
  <c r="D55" i="64" s="1"/>
  <c r="E97" i="21" s="1"/>
  <c r="D18" i="4"/>
  <c r="M17" i="4"/>
  <c r="M18" i="64" s="1"/>
  <c r="D98" i="21"/>
  <c r="L97" i="21"/>
  <c r="G19" i="4"/>
  <c r="G19" i="64"/>
  <c r="G56" i="64" s="1"/>
  <c r="H98" i="21" s="1"/>
  <c r="F18" i="4"/>
  <c r="F18" i="64"/>
  <c r="F55" i="64" s="1"/>
  <c r="G97" i="21" s="1"/>
  <c r="K19" i="4"/>
  <c r="K19" i="64"/>
  <c r="K56" i="64" s="1"/>
  <c r="L98" i="21" s="1"/>
  <c r="H97" i="21"/>
  <c r="J97" i="21"/>
  <c r="L18" i="4"/>
  <c r="L18" i="64"/>
  <c r="L55" i="64" s="1"/>
  <c r="F96" i="21"/>
  <c r="M54" i="64"/>
  <c r="I19" i="4"/>
  <c r="I19" i="64"/>
  <c r="I56" i="64" s="1"/>
  <c r="J98" i="21" s="1"/>
  <c r="K96" i="21"/>
  <c r="E18" i="4"/>
  <c r="E18" i="64"/>
  <c r="E55" i="64" s="1"/>
  <c r="J18" i="4"/>
  <c r="J18" i="64"/>
  <c r="J55" i="64" s="1"/>
  <c r="K97" i="21" s="1"/>
  <c r="G56" i="4"/>
  <c r="E24" i="2"/>
  <c r="E22" i="2"/>
  <c r="A92" i="21"/>
  <c r="A93" i="21" s="1"/>
  <c r="A94" i="21" s="1"/>
  <c r="A95" i="21" s="1"/>
  <c r="A96" i="21" s="1"/>
  <c r="A97" i="21" s="1"/>
  <c r="A98" i="21" s="1"/>
  <c r="A99" i="21" s="1"/>
  <c r="A100" i="21" s="1"/>
  <c r="A101" i="21" s="1"/>
  <c r="A102" i="21" s="1"/>
  <c r="A103" i="21" s="1"/>
  <c r="C19" i="4"/>
  <c r="C20" i="64" s="1"/>
  <c r="C57" i="64" s="1"/>
  <c r="A57" i="4"/>
  <c r="A58" i="4" s="1"/>
  <c r="H19" i="64" l="1"/>
  <c r="H56" i="64" s="1"/>
  <c r="I98" i="21" s="1"/>
  <c r="H19" i="4"/>
  <c r="D19" i="64"/>
  <c r="D56" i="64" s="1"/>
  <c r="E98" i="21" s="1"/>
  <c r="D19" i="4"/>
  <c r="M18" i="4"/>
  <c r="M19" i="64" s="1"/>
  <c r="E19" i="4"/>
  <c r="E19" i="64"/>
  <c r="E56" i="64" s="1"/>
  <c r="F19" i="4"/>
  <c r="F19" i="64"/>
  <c r="F56" i="64" s="1"/>
  <c r="D99" i="21"/>
  <c r="J19" i="4"/>
  <c r="J19" i="64"/>
  <c r="J56" i="64" s="1"/>
  <c r="K98" i="21" s="1"/>
  <c r="I20" i="4"/>
  <c r="I20" i="64"/>
  <c r="I57" i="64" s="1"/>
  <c r="J99" i="21" s="1"/>
  <c r="K20" i="4"/>
  <c r="K20" i="64"/>
  <c r="K57" i="64" s="1"/>
  <c r="L99" i="21" s="1"/>
  <c r="M97" i="21"/>
  <c r="F97" i="21"/>
  <c r="M55" i="64"/>
  <c r="L19" i="4"/>
  <c r="L19" i="64"/>
  <c r="L56" i="64" s="1"/>
  <c r="M98" i="21" s="1"/>
  <c r="G20" i="4"/>
  <c r="G20" i="64"/>
  <c r="G57" i="64" s="1"/>
  <c r="H99" i="21" s="1"/>
  <c r="A61" i="4"/>
  <c r="A62" i="4" s="1"/>
  <c r="A63" i="4" s="1"/>
  <c r="H7" i="8"/>
  <c r="B175" i="21"/>
  <c r="A111" i="21"/>
  <c r="B173" i="21"/>
  <c r="C20" i="4"/>
  <c r="C21" i="64" s="1"/>
  <c r="C58" i="64" s="1"/>
  <c r="G58" i="4"/>
  <c r="H20" i="64" l="1"/>
  <c r="H57" i="64" s="1"/>
  <c r="I99" i="21" s="1"/>
  <c r="H20" i="4"/>
  <c r="D20" i="4"/>
  <c r="D20" i="64"/>
  <c r="D57" i="64" s="1"/>
  <c r="E99" i="21" s="1"/>
  <c r="L20" i="4"/>
  <c r="L20" i="64"/>
  <c r="L57" i="64" s="1"/>
  <c r="M99" i="21" s="1"/>
  <c r="K21" i="4"/>
  <c r="K21" i="64"/>
  <c r="K58" i="64" s="1"/>
  <c r="L100" i="21" s="1"/>
  <c r="I21" i="4"/>
  <c r="I21" i="64"/>
  <c r="I58" i="64" s="1"/>
  <c r="J100" i="21" s="1"/>
  <c r="J20" i="4"/>
  <c r="J20" i="64"/>
  <c r="J57" i="64" s="1"/>
  <c r="K99" i="21" s="1"/>
  <c r="G98" i="21"/>
  <c r="D100" i="21"/>
  <c r="G21" i="4"/>
  <c r="G21" i="64"/>
  <c r="G58" i="64" s="1"/>
  <c r="H100" i="21" s="1"/>
  <c r="F20" i="4"/>
  <c r="F20" i="64"/>
  <c r="F57" i="64" s="1"/>
  <c r="G99" i="21" s="1"/>
  <c r="F98" i="21"/>
  <c r="M56" i="64"/>
  <c r="M19" i="4"/>
  <c r="M20" i="64" s="1"/>
  <c r="E20" i="4"/>
  <c r="E20" i="64"/>
  <c r="E57" i="64" s="1"/>
  <c r="A74" i="4"/>
  <c r="A75" i="4" s="1"/>
  <c r="A76" i="4" s="1"/>
  <c r="A77" i="4" s="1"/>
  <c r="A78" i="4" s="1"/>
  <c r="A79" i="4" s="1"/>
  <c r="A80" i="4" s="1"/>
  <c r="A81" i="4" s="1"/>
  <c r="A82" i="4" s="1"/>
  <c r="A83" i="4" s="1"/>
  <c r="A84" i="4" s="1"/>
  <c r="A85" i="4" s="1"/>
  <c r="A86" i="4" s="1"/>
  <c r="A94" i="4" s="1"/>
  <c r="I10" i="1"/>
  <c r="A112" i="21"/>
  <c r="A113" i="21" s="1"/>
  <c r="A114" i="21" s="1"/>
  <c r="A115" i="21" s="1"/>
  <c r="A116" i="21" s="1"/>
  <c r="A117" i="21" s="1"/>
  <c r="A118" i="21" s="1"/>
  <c r="A119" i="21" s="1"/>
  <c r="A120" i="21" s="1"/>
  <c r="A121" i="21" s="1"/>
  <c r="A122" i="21" s="1"/>
  <c r="A123" i="21" s="1"/>
  <c r="A129" i="21" s="1"/>
  <c r="C21" i="4"/>
  <c r="C22" i="64" s="1"/>
  <c r="C59" i="64" s="1"/>
  <c r="G63" i="4"/>
  <c r="H21" i="4" l="1"/>
  <c r="H21" i="64"/>
  <c r="H58" i="64" s="1"/>
  <c r="I100" i="21" s="1"/>
  <c r="D21" i="4"/>
  <c r="D21" i="64"/>
  <c r="D58" i="64" s="1"/>
  <c r="E100" i="21" s="1"/>
  <c r="E21" i="4"/>
  <c r="E21" i="64"/>
  <c r="E58" i="64" s="1"/>
  <c r="L21" i="4"/>
  <c r="L21" i="64"/>
  <c r="L58" i="64" s="1"/>
  <c r="M100" i="21" s="1"/>
  <c r="G22" i="4"/>
  <c r="G22" i="64"/>
  <c r="G59" i="64" s="1"/>
  <c r="H101" i="21" s="1"/>
  <c r="K22" i="4"/>
  <c r="K22" i="64"/>
  <c r="K59" i="64" s="1"/>
  <c r="L101" i="21" s="1"/>
  <c r="D101" i="21"/>
  <c r="I22" i="4"/>
  <c r="I22" i="64"/>
  <c r="I59" i="64" s="1"/>
  <c r="J101" i="21" s="1"/>
  <c r="M20" i="4"/>
  <c r="M21" i="64" s="1"/>
  <c r="F99" i="21"/>
  <c r="M57" i="64"/>
  <c r="F21" i="4"/>
  <c r="F21" i="64"/>
  <c r="F58" i="64" s="1"/>
  <c r="G100" i="21" s="1"/>
  <c r="J21" i="4"/>
  <c r="J21" i="64"/>
  <c r="J58" i="64" s="1"/>
  <c r="K100" i="21" s="1"/>
  <c r="B178" i="21"/>
  <c r="A133" i="21"/>
  <c r="A136" i="21" s="1"/>
  <c r="C22" i="4"/>
  <c r="C23" i="64" s="1"/>
  <c r="C60" i="64" s="1"/>
  <c r="A95" i="4"/>
  <c r="A96" i="4" s="1"/>
  <c r="A97" i="4" s="1"/>
  <c r="A98" i="4" s="1"/>
  <c r="A99" i="4" s="1"/>
  <c r="A100" i="4" s="1"/>
  <c r="A101" i="4" s="1"/>
  <c r="A102" i="4" s="1"/>
  <c r="A103" i="4" s="1"/>
  <c r="A104" i="4" s="1"/>
  <c r="A105" i="4" s="1"/>
  <c r="A106" i="4" s="1"/>
  <c r="H22" i="4" l="1"/>
  <c r="H22" i="64"/>
  <c r="H59" i="64" s="1"/>
  <c r="D22" i="4"/>
  <c r="D23" i="64" s="1"/>
  <c r="D60" i="64" s="1"/>
  <c r="E102" i="21" s="1"/>
  <c r="D22" i="64"/>
  <c r="D59" i="64" s="1"/>
  <c r="G23" i="64"/>
  <c r="G60" i="64" s="1"/>
  <c r="G24" i="4"/>
  <c r="E22" i="4"/>
  <c r="E22" i="64"/>
  <c r="E59" i="64" s="1"/>
  <c r="M21" i="4"/>
  <c r="M22" i="64" s="1"/>
  <c r="J22" i="4"/>
  <c r="J23" i="64" s="1"/>
  <c r="J60" i="64" s="1"/>
  <c r="J22" i="64"/>
  <c r="J59" i="64" s="1"/>
  <c r="K101" i="21" s="1"/>
  <c r="I23" i="64"/>
  <c r="I60" i="64" s="1"/>
  <c r="I24" i="4"/>
  <c r="D102" i="21"/>
  <c r="C61" i="64"/>
  <c r="K23" i="64"/>
  <c r="K60" i="64" s="1"/>
  <c r="K24" i="4"/>
  <c r="F22" i="4"/>
  <c r="F22" i="64"/>
  <c r="F59" i="64" s="1"/>
  <c r="G101" i="21" s="1"/>
  <c r="L22" i="4"/>
  <c r="L23" i="64" s="1"/>
  <c r="L60" i="64" s="1"/>
  <c r="L22" i="64"/>
  <c r="L59" i="64" s="1"/>
  <c r="M101" i="21" s="1"/>
  <c r="F100" i="21"/>
  <c r="M58" i="64"/>
  <c r="A144" i="21"/>
  <c r="A145" i="21" s="1"/>
  <c r="A146" i="21" s="1"/>
  <c r="A147" i="21" s="1"/>
  <c r="A148" i="21" s="1"/>
  <c r="A149" i="21" s="1"/>
  <c r="A150" i="21" s="1"/>
  <c r="A151" i="21" s="1"/>
  <c r="A152" i="21" s="1"/>
  <c r="A153" i="21" s="1"/>
  <c r="A154" i="21" s="1"/>
  <c r="A155" i="21" s="1"/>
  <c r="A156" i="21" s="1"/>
  <c r="B177" i="21"/>
  <c r="B176" i="21"/>
  <c r="C24" i="4"/>
  <c r="B175" i="4"/>
  <c r="A114" i="4"/>
  <c r="B177" i="4"/>
  <c r="I101" i="21" l="1"/>
  <c r="H23" i="64"/>
  <c r="H60" i="64" s="1"/>
  <c r="I102" i="21" s="1"/>
  <c r="H24" i="4"/>
  <c r="D24" i="4"/>
  <c r="L24" i="4"/>
  <c r="E101" i="21"/>
  <c r="D61" i="64"/>
  <c r="J24" i="4"/>
  <c r="M22" i="4"/>
  <c r="M23" i="64" s="1"/>
  <c r="J102" i="21"/>
  <c r="I61" i="64"/>
  <c r="H102" i="21"/>
  <c r="G61" i="64"/>
  <c r="F23" i="64"/>
  <c r="F60" i="64" s="1"/>
  <c r="F24" i="4"/>
  <c r="F101" i="21"/>
  <c r="M59" i="64"/>
  <c r="E23" i="64"/>
  <c r="E60" i="64" s="1"/>
  <c r="E24" i="4"/>
  <c r="M102" i="21"/>
  <c r="L61" i="64"/>
  <c r="L102" i="21"/>
  <c r="K61" i="64"/>
  <c r="K102" i="21"/>
  <c r="J61" i="64"/>
  <c r="B179" i="21"/>
  <c r="A115" i="4"/>
  <c r="A116" i="4" s="1"/>
  <c r="A117" i="4" s="1"/>
  <c r="A118" i="4" s="1"/>
  <c r="A119" i="4" s="1"/>
  <c r="A120" i="4" s="1"/>
  <c r="A121" i="4" s="1"/>
  <c r="A122" i="4" s="1"/>
  <c r="A123" i="4" s="1"/>
  <c r="A124" i="4" s="1"/>
  <c r="A125" i="4" s="1"/>
  <c r="A126" i="4" s="1"/>
  <c r="A131" i="4" s="1"/>
  <c r="H61" i="64" l="1"/>
  <c r="M24" i="4"/>
  <c r="D42" i="4" s="1"/>
  <c r="J6" i="8" s="1"/>
  <c r="G102" i="21"/>
  <c r="F61" i="64"/>
  <c r="F102" i="21"/>
  <c r="E61" i="64"/>
  <c r="M60" i="64"/>
  <c r="M62" i="64" s="1"/>
  <c r="F92" i="64" s="1"/>
  <c r="B180" i="4"/>
  <c r="A135" i="4"/>
  <c r="A139" i="4" s="1"/>
  <c r="A146" i="4" l="1"/>
  <c r="A147" i="4" s="1"/>
  <c r="A148" i="4" s="1"/>
  <c r="A149" i="4" s="1"/>
  <c r="A150" i="4" s="1"/>
  <c r="A151" i="4" s="1"/>
  <c r="A152" i="4" s="1"/>
  <c r="A153" i="4" s="1"/>
  <c r="A154" i="4" s="1"/>
  <c r="A155" i="4" s="1"/>
  <c r="A156" i="4" s="1"/>
  <c r="A157" i="4" s="1"/>
  <c r="A158" i="4" s="1"/>
  <c r="B179" i="4"/>
  <c r="B178" i="4"/>
  <c r="B181" i="4" l="1"/>
  <c r="K69" i="1" l="1"/>
  <c r="K64" i="1"/>
  <c r="K73" i="1" l="1"/>
  <c r="K70" i="1" l="1"/>
  <c r="K68" i="1"/>
  <c r="K84" i="1" l="1"/>
  <c r="L55" i="46"/>
  <c r="E141" i="46" s="1"/>
  <c r="I141" i="46" s="1"/>
  <c r="K55" i="46"/>
  <c r="D141" i="46" s="1"/>
  <c r="H141" i="46" s="1"/>
  <c r="E62" i="46"/>
  <c r="D62" i="46"/>
  <c r="G55" i="46"/>
  <c r="C55" i="46"/>
  <c r="G141" i="46" l="1"/>
  <c r="J55" i="46"/>
  <c r="C141" i="46" s="1"/>
  <c r="B34" i="31" l="1"/>
  <c r="F44" i="26" l="1"/>
  <c r="F46" i="71" l="1"/>
  <c r="D19" i="71"/>
  <c r="D18" i="71"/>
  <c r="D53" i="71"/>
  <c r="A10" i="71"/>
  <c r="A11" i="71" s="1"/>
  <c r="A12" i="71" s="1"/>
  <c r="A13" i="71" s="1"/>
  <c r="A14" i="71" s="1"/>
  <c r="A15" i="71" s="1"/>
  <c r="A16" i="71" s="1"/>
  <c r="A17" i="71" s="1"/>
  <c r="A18" i="71" s="1"/>
  <c r="A19" i="71" s="1"/>
  <c r="D46" i="71"/>
  <c r="D38" i="7"/>
  <c r="E39" i="61"/>
  <c r="F80" i="61"/>
  <c r="G80" i="61" s="1"/>
  <c r="F47" i="61"/>
  <c r="J47" i="61" s="1"/>
  <c r="G12" i="2"/>
  <c r="C87" i="46"/>
  <c r="G57" i="26"/>
  <c r="G58" i="26" s="1"/>
  <c r="G37" i="26" s="1"/>
  <c r="D37" i="26" s="1"/>
  <c r="G6" i="26" s="1"/>
  <c r="H6" i="26" s="1"/>
  <c r="E64" i="26"/>
  <c r="G11" i="2" s="1"/>
  <c r="H80" i="44"/>
  <c r="H77" i="44"/>
  <c r="H55" i="44"/>
  <c r="I34" i="44"/>
  <c r="H34" i="44"/>
  <c r="A14" i="44"/>
  <c r="A15" i="44" s="1"/>
  <c r="A16" i="44" s="1"/>
  <c r="A17" i="44" s="1"/>
  <c r="A18" i="44" s="1"/>
  <c r="A30" i="44" s="1"/>
  <c r="K21" i="1"/>
  <c r="E81" i="46"/>
  <c r="E83" i="46" s="1"/>
  <c r="D81" i="46"/>
  <c r="C79" i="46"/>
  <c r="J79" i="46" s="1"/>
  <c r="C165" i="46" s="1"/>
  <c r="I81" i="46"/>
  <c r="L80" i="46"/>
  <c r="E166" i="46" s="1"/>
  <c r="I166" i="46" s="1"/>
  <c r="K79" i="46"/>
  <c r="D165" i="46" s="1"/>
  <c r="H165" i="46" s="1"/>
  <c r="K78" i="46"/>
  <c r="D164" i="46" s="1"/>
  <c r="L78" i="46"/>
  <c r="E164" i="46" s="1"/>
  <c r="C78" i="46"/>
  <c r="G77" i="46"/>
  <c r="L77" i="46"/>
  <c r="E163" i="46" s="1"/>
  <c r="K77" i="46"/>
  <c r="D163" i="46" s="1"/>
  <c r="H163" i="46" s="1"/>
  <c r="C77" i="46"/>
  <c r="G76" i="46"/>
  <c r="L76" i="46"/>
  <c r="E162" i="46" s="1"/>
  <c r="I162" i="46" s="1"/>
  <c r="K76" i="46"/>
  <c r="D162" i="46" s="1"/>
  <c r="H162" i="46" s="1"/>
  <c r="C76" i="46"/>
  <c r="G75" i="46"/>
  <c r="L75" i="46"/>
  <c r="E161" i="46" s="1"/>
  <c r="I161" i="46" s="1"/>
  <c r="K75" i="46"/>
  <c r="D161" i="46" s="1"/>
  <c r="H161" i="46" s="1"/>
  <c r="C75" i="46"/>
  <c r="G74" i="46"/>
  <c r="L74" i="46"/>
  <c r="E160" i="46" s="1"/>
  <c r="K74" i="46"/>
  <c r="D160" i="46" s="1"/>
  <c r="C74" i="46"/>
  <c r="G73" i="46"/>
  <c r="L73" i="46"/>
  <c r="E159" i="46" s="1"/>
  <c r="K73" i="46"/>
  <c r="D159" i="46" s="1"/>
  <c r="C73" i="46"/>
  <c r="G72" i="46"/>
  <c r="L72" i="46"/>
  <c r="E158" i="46" s="1"/>
  <c r="K72" i="46"/>
  <c r="D158" i="46" s="1"/>
  <c r="C72" i="46"/>
  <c r="G71" i="46"/>
  <c r="L79" i="46"/>
  <c r="E165" i="46" s="1"/>
  <c r="I165" i="46" s="1"/>
  <c r="K71" i="46"/>
  <c r="D157" i="46" s="1"/>
  <c r="C71" i="46"/>
  <c r="I62" i="46"/>
  <c r="L61" i="46"/>
  <c r="E147" i="46" s="1"/>
  <c r="G60" i="46"/>
  <c r="G59" i="46"/>
  <c r="L59" i="46"/>
  <c r="E145" i="46" s="1"/>
  <c r="I145" i="46" s="1"/>
  <c r="C59" i="46"/>
  <c r="K58" i="46"/>
  <c r="G58" i="46"/>
  <c r="L58" i="46"/>
  <c r="E144" i="46" s="1"/>
  <c r="I144" i="46" s="1"/>
  <c r="C58" i="46"/>
  <c r="G57" i="46"/>
  <c r="L57" i="46"/>
  <c r="E143" i="46" s="1"/>
  <c r="I143" i="46" s="1"/>
  <c r="C57" i="46"/>
  <c r="K56" i="46"/>
  <c r="D142" i="46" s="1"/>
  <c r="G56" i="46"/>
  <c r="L56" i="46"/>
  <c r="E142" i="46" s="1"/>
  <c r="I142" i="46" s="1"/>
  <c r="C56" i="46"/>
  <c r="G54" i="46"/>
  <c r="L54" i="46"/>
  <c r="E140" i="46" s="1"/>
  <c r="I140" i="46" s="1"/>
  <c r="C54" i="46"/>
  <c r="K53" i="46"/>
  <c r="D139" i="46" s="1"/>
  <c r="H139" i="46" s="1"/>
  <c r="G53" i="46"/>
  <c r="L53" i="46"/>
  <c r="E139" i="46" s="1"/>
  <c r="I139" i="46" s="1"/>
  <c r="C53" i="46"/>
  <c r="G52" i="46"/>
  <c r="L52" i="46"/>
  <c r="E138" i="46" s="1"/>
  <c r="I138" i="46" s="1"/>
  <c r="C52" i="46"/>
  <c r="K51" i="46"/>
  <c r="D137" i="46" s="1"/>
  <c r="H137" i="46" s="1"/>
  <c r="G51" i="46"/>
  <c r="L51" i="46"/>
  <c r="E137" i="46" s="1"/>
  <c r="I137" i="46" s="1"/>
  <c r="C51" i="46"/>
  <c r="G50" i="46"/>
  <c r="L50" i="46"/>
  <c r="E136" i="46" s="1"/>
  <c r="I136" i="46" s="1"/>
  <c r="C50" i="46"/>
  <c r="K49" i="46"/>
  <c r="D135" i="46" s="1"/>
  <c r="G49" i="46"/>
  <c r="L49" i="46"/>
  <c r="E135" i="46" s="1"/>
  <c r="C49" i="46"/>
  <c r="G48" i="46"/>
  <c r="L48" i="46"/>
  <c r="E134" i="46" s="1"/>
  <c r="I134" i="46" s="1"/>
  <c r="C48" i="46"/>
  <c r="K47" i="46"/>
  <c r="D133" i="46" s="1"/>
  <c r="H133" i="46" s="1"/>
  <c r="G47" i="46"/>
  <c r="L47" i="46"/>
  <c r="E133" i="46" s="1"/>
  <c r="I133" i="46" s="1"/>
  <c r="C47" i="46"/>
  <c r="G46" i="46"/>
  <c r="L46" i="46"/>
  <c r="E132" i="46" s="1"/>
  <c r="I132" i="46" s="1"/>
  <c r="C46" i="46"/>
  <c r="K45" i="46"/>
  <c r="G45" i="46"/>
  <c r="L45" i="46"/>
  <c r="E131" i="46" s="1"/>
  <c r="I131" i="46" s="1"/>
  <c r="C45" i="46"/>
  <c r="G44" i="46"/>
  <c r="L44" i="46"/>
  <c r="E130" i="46" s="1"/>
  <c r="C44" i="46"/>
  <c r="K43" i="46"/>
  <c r="D129" i="46" s="1"/>
  <c r="G43" i="46"/>
  <c r="L43" i="46"/>
  <c r="E129" i="46" s="1"/>
  <c r="C43" i="46"/>
  <c r="G42" i="46"/>
  <c r="L42" i="46"/>
  <c r="E128" i="46" s="1"/>
  <c r="C42" i="46"/>
  <c r="K41" i="46"/>
  <c r="D127" i="46" s="1"/>
  <c r="G41" i="46"/>
  <c r="L41" i="46"/>
  <c r="E127" i="46" s="1"/>
  <c r="C41" i="46"/>
  <c r="G40" i="46"/>
  <c r="L40" i="46"/>
  <c r="E126" i="46" s="1"/>
  <c r="I126" i="46" s="1"/>
  <c r="C40" i="46"/>
  <c r="K39" i="46"/>
  <c r="D125" i="46" s="1"/>
  <c r="G39" i="46"/>
  <c r="L39" i="46"/>
  <c r="E125" i="46" s="1"/>
  <c r="C39" i="46"/>
  <c r="G38" i="46"/>
  <c r="L38" i="46"/>
  <c r="E124" i="46" s="1"/>
  <c r="I124" i="46" s="1"/>
  <c r="C38" i="46"/>
  <c r="K37" i="46"/>
  <c r="D123" i="46" s="1"/>
  <c r="G37" i="46"/>
  <c r="L37" i="46"/>
  <c r="E123" i="46" s="1"/>
  <c r="I123" i="46" s="1"/>
  <c r="C37" i="46"/>
  <c r="G36" i="46"/>
  <c r="L36" i="46"/>
  <c r="E122" i="46" s="1"/>
  <c r="I122" i="46" s="1"/>
  <c r="C36" i="46"/>
  <c r="K35" i="46"/>
  <c r="D121" i="46" s="1"/>
  <c r="H121" i="46" s="1"/>
  <c r="G35" i="46"/>
  <c r="L35" i="46"/>
  <c r="E121" i="46" s="1"/>
  <c r="I121" i="46" s="1"/>
  <c r="C35" i="46"/>
  <c r="G34" i="46"/>
  <c r="L34" i="46"/>
  <c r="E120" i="46" s="1"/>
  <c r="I120" i="46" s="1"/>
  <c r="C34" i="46"/>
  <c r="K33" i="46"/>
  <c r="G33" i="46"/>
  <c r="L33" i="46"/>
  <c r="E119" i="46" s="1"/>
  <c r="C33" i="46"/>
  <c r="G32" i="46"/>
  <c r="L32" i="46"/>
  <c r="E118" i="46" s="1"/>
  <c r="K32" i="46"/>
  <c r="C32" i="46"/>
  <c r="G31" i="46"/>
  <c r="L31" i="46"/>
  <c r="E117" i="46" s="1"/>
  <c r="K31" i="46"/>
  <c r="D117" i="46" s="1"/>
  <c r="C31" i="46"/>
  <c r="G30" i="46"/>
  <c r="L30" i="46"/>
  <c r="E116" i="46" s="1"/>
  <c r="K30" i="46"/>
  <c r="C30" i="46"/>
  <c r="G28" i="46"/>
  <c r="L28" i="46"/>
  <c r="E114" i="46" s="1"/>
  <c r="K28" i="46"/>
  <c r="D114" i="46" s="1"/>
  <c r="C28" i="46"/>
  <c r="G27" i="46"/>
  <c r="L27" i="46"/>
  <c r="E113" i="46" s="1"/>
  <c r="I113" i="46" s="1"/>
  <c r="K27" i="46"/>
  <c r="D113" i="46" s="1"/>
  <c r="H113" i="46" s="1"/>
  <c r="C27" i="46"/>
  <c r="G26" i="46"/>
  <c r="L26" i="46"/>
  <c r="E112" i="46" s="1"/>
  <c r="I112" i="46" s="1"/>
  <c r="K26" i="46"/>
  <c r="C26" i="46"/>
  <c r="L25" i="46"/>
  <c r="E111" i="46" s="1"/>
  <c r="I111" i="46" s="1"/>
  <c r="K25" i="46"/>
  <c r="D111" i="46" s="1"/>
  <c r="C25" i="46"/>
  <c r="G24" i="46"/>
  <c r="L24" i="46"/>
  <c r="E110" i="46" s="1"/>
  <c r="I110" i="46" s="1"/>
  <c r="K24" i="46"/>
  <c r="C24" i="46"/>
  <c r="G23" i="46"/>
  <c r="L23" i="46"/>
  <c r="E109" i="46" s="1"/>
  <c r="I109" i="46" s="1"/>
  <c r="K23" i="46"/>
  <c r="C23" i="46"/>
  <c r="G22" i="46"/>
  <c r="L22" i="46"/>
  <c r="K22" i="46"/>
  <c r="D108" i="46" s="1"/>
  <c r="H108" i="46" s="1"/>
  <c r="C22" i="46"/>
  <c r="G21" i="46"/>
  <c r="L21" i="46"/>
  <c r="K21" i="46"/>
  <c r="D107" i="46" s="1"/>
  <c r="H107" i="46" s="1"/>
  <c r="C21" i="46"/>
  <c r="G20" i="46"/>
  <c r="L20" i="46"/>
  <c r="K20" i="46"/>
  <c r="D106" i="46" s="1"/>
  <c r="H106" i="46" s="1"/>
  <c r="C20" i="46"/>
  <c r="G19" i="46"/>
  <c r="L19" i="46"/>
  <c r="K19" i="46"/>
  <c r="D105" i="46" s="1"/>
  <c r="H105" i="46" s="1"/>
  <c r="C19" i="46"/>
  <c r="G18" i="46"/>
  <c r="L18" i="46"/>
  <c r="K18" i="46"/>
  <c r="D104" i="46" s="1"/>
  <c r="H104" i="46" s="1"/>
  <c r="C18" i="46"/>
  <c r="G17" i="46"/>
  <c r="L17" i="46"/>
  <c r="K17" i="46"/>
  <c r="D103" i="46" s="1"/>
  <c r="H103" i="46" s="1"/>
  <c r="C17" i="46"/>
  <c r="G16" i="46"/>
  <c r="L16" i="46"/>
  <c r="K16" i="46"/>
  <c r="D102" i="46" s="1"/>
  <c r="H102" i="46" s="1"/>
  <c r="C16" i="46"/>
  <c r="G15" i="46"/>
  <c r="L15" i="46"/>
  <c r="K15" i="46"/>
  <c r="D101" i="46" s="1"/>
  <c r="H101" i="46" s="1"/>
  <c r="C15" i="46"/>
  <c r="G14" i="46"/>
  <c r="L14" i="46"/>
  <c r="E100" i="46" s="1"/>
  <c r="I100" i="46" s="1"/>
  <c r="K14" i="46"/>
  <c r="C14" i="46"/>
  <c r="G13" i="46"/>
  <c r="L13" i="46"/>
  <c r="E99" i="46" s="1"/>
  <c r="I99" i="46" s="1"/>
  <c r="K13" i="46"/>
  <c r="D99" i="46" s="1"/>
  <c r="C13" i="46"/>
  <c r="G12" i="46"/>
  <c r="L12" i="46"/>
  <c r="E98" i="46" s="1"/>
  <c r="I98" i="46" s="1"/>
  <c r="K12" i="46"/>
  <c r="C12" i="46"/>
  <c r="A12" i="46"/>
  <c r="A13" i="46" s="1"/>
  <c r="A14" i="46" s="1"/>
  <c r="A15" i="46" s="1"/>
  <c r="A16" i="46" s="1"/>
  <c r="A17" i="46" s="1"/>
  <c r="A18" i="46" s="1"/>
  <c r="A19" i="46" s="1"/>
  <c r="A20" i="46" s="1"/>
  <c r="A21" i="46" s="1"/>
  <c r="A22" i="46" s="1"/>
  <c r="A23" i="46" s="1"/>
  <c r="A24" i="46" s="1"/>
  <c r="A25" i="46" s="1"/>
  <c r="A26" i="46" s="1"/>
  <c r="A27" i="46" s="1"/>
  <c r="A28" i="46" s="1"/>
  <c r="A29" i="46" s="1"/>
  <c r="A30" i="46" s="1"/>
  <c r="A31" i="46" s="1"/>
  <c r="A32" i="46" s="1"/>
  <c r="A33" i="46" s="1"/>
  <c r="A34" i="46" s="1"/>
  <c r="A35" i="46" s="1"/>
  <c r="A36" i="46" s="1"/>
  <c r="A37" i="46" s="1"/>
  <c r="A38" i="46" s="1"/>
  <c r="A39" i="46" s="1"/>
  <c r="A40" i="46" s="1"/>
  <c r="A41" i="46" s="1"/>
  <c r="A42" i="46" s="1"/>
  <c r="A43" i="46" s="1"/>
  <c r="A44" i="46" s="1"/>
  <c r="A45" i="46" s="1"/>
  <c r="A46" i="46" s="1"/>
  <c r="A47" i="46" s="1"/>
  <c r="A48" i="46" s="1"/>
  <c r="A49" i="46" s="1"/>
  <c r="A50" i="46" s="1"/>
  <c r="A51" i="46" s="1"/>
  <c r="A52" i="46" s="1"/>
  <c r="A53" i="46" s="1"/>
  <c r="A54" i="46" s="1"/>
  <c r="A55" i="46" s="1"/>
  <c r="A56" i="46" s="1"/>
  <c r="A57" i="46" s="1"/>
  <c r="A58" i="46" s="1"/>
  <c r="A59" i="46" s="1"/>
  <c r="A60" i="46" s="1"/>
  <c r="A61" i="46" s="1"/>
  <c r="A62" i="46" s="1"/>
  <c r="A63" i="46" s="1"/>
  <c r="G11" i="46"/>
  <c r="C11" i="46"/>
  <c r="E16" i="57"/>
  <c r="E10" i="57"/>
  <c r="E53" i="71"/>
  <c r="D122" i="21"/>
  <c r="D120" i="21"/>
  <c r="D118" i="21"/>
  <c r="D116" i="21"/>
  <c r="D114" i="21"/>
  <c r="D112" i="21"/>
  <c r="D46" i="17"/>
  <c r="D49" i="17"/>
  <c r="D48" i="17"/>
  <c r="B54" i="54"/>
  <c r="C9" i="9"/>
  <c r="G67" i="65"/>
  <c r="K67" i="65" s="1"/>
  <c r="G66" i="65"/>
  <c r="K66" i="65" s="1"/>
  <c r="G65" i="65"/>
  <c r="K65" i="65" s="1"/>
  <c r="G64" i="65"/>
  <c r="K64" i="65" s="1"/>
  <c r="G63" i="65"/>
  <c r="K63" i="65" s="1"/>
  <c r="G62" i="65"/>
  <c r="K62" i="65" s="1"/>
  <c r="G61" i="65"/>
  <c r="K61" i="65" s="1"/>
  <c r="G60" i="65"/>
  <c r="K60" i="65" s="1"/>
  <c r="G59" i="65"/>
  <c r="K59" i="65" s="1"/>
  <c r="G58" i="65"/>
  <c r="K58" i="65" s="1"/>
  <c r="G57" i="65"/>
  <c r="K57" i="65" s="1"/>
  <c r="G56" i="65"/>
  <c r="A5" i="31"/>
  <c r="L122" i="21"/>
  <c r="J122" i="21"/>
  <c r="H122" i="21"/>
  <c r="F122" i="21"/>
  <c r="L120" i="21"/>
  <c r="J120" i="21"/>
  <c r="H120" i="21"/>
  <c r="F120" i="21"/>
  <c r="L118" i="21"/>
  <c r="J118" i="21"/>
  <c r="H118" i="21"/>
  <c r="F118" i="21"/>
  <c r="L116" i="21"/>
  <c r="J116" i="21"/>
  <c r="H116" i="21"/>
  <c r="F116" i="21"/>
  <c r="L114" i="21"/>
  <c r="J114" i="21"/>
  <c r="H114" i="21"/>
  <c r="F114" i="21"/>
  <c r="L112" i="21"/>
  <c r="J112" i="21"/>
  <c r="H112" i="21"/>
  <c r="F112" i="21"/>
  <c r="D36" i="7"/>
  <c r="D97" i="65"/>
  <c r="E17" i="66"/>
  <c r="J25" i="8" s="1"/>
  <c r="F17" i="66"/>
  <c r="F21" i="66"/>
  <c r="F14" i="66"/>
  <c r="F7" i="66"/>
  <c r="E70" i="26"/>
  <c r="H43" i="26" s="1"/>
  <c r="D43" i="26" s="1"/>
  <c r="G12" i="26" s="1"/>
  <c r="H12" i="26" s="1"/>
  <c r="F53" i="22"/>
  <c r="D58" i="7"/>
  <c r="D54" i="7"/>
  <c r="F41" i="54"/>
  <c r="F38" i="54"/>
  <c r="F29" i="54"/>
  <c r="E40" i="56"/>
  <c r="E42" i="56" s="1"/>
  <c r="G21" i="2" s="1"/>
  <c r="E26" i="56"/>
  <c r="E12" i="56"/>
  <c r="E17" i="56" s="1"/>
  <c r="H41" i="8"/>
  <c r="J9" i="8"/>
  <c r="G10" i="2"/>
  <c r="A8" i="2"/>
  <c r="K126" i="1"/>
  <c r="A11" i="7"/>
  <c r="A12" i="7" s="1"/>
  <c r="A13" i="7" s="1"/>
  <c r="A14" i="7" s="1"/>
  <c r="A15" i="7" s="1"/>
  <c r="A16" i="7" s="1"/>
  <c r="K32" i="1"/>
  <c r="E21" i="66"/>
  <c r="E14" i="66"/>
  <c r="E7" i="66"/>
  <c r="I118" i="65"/>
  <c r="I117" i="65"/>
  <c r="I116" i="65"/>
  <c r="I114" i="65"/>
  <c r="I113" i="65"/>
  <c r="I112" i="65"/>
  <c r="I110" i="65"/>
  <c r="I109" i="65"/>
  <c r="H44" i="65"/>
  <c r="H43" i="65"/>
  <c r="H42" i="65"/>
  <c r="H41" i="65"/>
  <c r="H40" i="65"/>
  <c r="H39" i="65"/>
  <c r="H38" i="65"/>
  <c r="H37" i="65"/>
  <c r="H36" i="65"/>
  <c r="A14" i="65"/>
  <c r="A15" i="65" s="1"/>
  <c r="A16" i="65" s="1"/>
  <c r="A17" i="65" s="1"/>
  <c r="A18" i="65" s="1"/>
  <c r="A19" i="65" s="1"/>
  <c r="A20" i="65" s="1"/>
  <c r="A21" i="65" s="1"/>
  <c r="A22" i="65" s="1"/>
  <c r="A23" i="65" s="1"/>
  <c r="A24" i="65" s="1"/>
  <c r="B140" i="65" s="1"/>
  <c r="I108" i="65"/>
  <c r="A7" i="63"/>
  <c r="A8" i="63" s="1"/>
  <c r="A9" i="63" s="1"/>
  <c r="A10" i="63" s="1"/>
  <c r="A11" i="63" s="1"/>
  <c r="A12" i="63" s="1"/>
  <c r="A13" i="63" s="1"/>
  <c r="A14" i="63" s="1"/>
  <c r="A15" i="63" s="1"/>
  <c r="A16" i="63" s="1"/>
  <c r="A20" i="63" s="1"/>
  <c r="A21" i="63" s="1"/>
  <c r="A22" i="63" s="1"/>
  <c r="A27" i="63" s="1"/>
  <c r="A28" i="63" s="1"/>
  <c r="A29" i="63" s="1"/>
  <c r="A30" i="63" s="1"/>
  <c r="A31" i="63" s="1"/>
  <c r="A32" i="63" s="1"/>
  <c r="A33" i="63" s="1"/>
  <c r="A34" i="63" s="1"/>
  <c r="E111" i="21"/>
  <c r="G122" i="21"/>
  <c r="G121" i="21"/>
  <c r="G120" i="21"/>
  <c r="G119" i="21"/>
  <c r="G118" i="21"/>
  <c r="G117" i="21"/>
  <c r="G116" i="21"/>
  <c r="G115" i="21"/>
  <c r="G114" i="21"/>
  <c r="G113" i="21"/>
  <c r="G112" i="21"/>
  <c r="I122" i="21"/>
  <c r="I121" i="21"/>
  <c r="I120" i="21"/>
  <c r="I119" i="21"/>
  <c r="I118" i="21"/>
  <c r="I117" i="21"/>
  <c r="I116" i="21"/>
  <c r="I115" i="21"/>
  <c r="I114" i="21"/>
  <c r="I113" i="21"/>
  <c r="I112" i="21"/>
  <c r="K122" i="21"/>
  <c r="K121" i="21"/>
  <c r="K120" i="21"/>
  <c r="K119" i="21"/>
  <c r="K118" i="21"/>
  <c r="K117" i="21"/>
  <c r="K116" i="21"/>
  <c r="K115" i="21"/>
  <c r="K114" i="21"/>
  <c r="K113" i="21"/>
  <c r="K112" i="21"/>
  <c r="M122" i="21"/>
  <c r="M121" i="21"/>
  <c r="M120" i="21"/>
  <c r="M119" i="21"/>
  <c r="M118" i="21"/>
  <c r="M117" i="21"/>
  <c r="M116" i="21"/>
  <c r="M115" i="21"/>
  <c r="M114" i="21"/>
  <c r="M113" i="21"/>
  <c r="M112" i="21"/>
  <c r="D121" i="21"/>
  <c r="D119" i="21"/>
  <c r="D117" i="21"/>
  <c r="D115" i="21"/>
  <c r="D113" i="21"/>
  <c r="F121" i="21"/>
  <c r="F119" i="21"/>
  <c r="F117" i="21"/>
  <c r="F115" i="21"/>
  <c r="F113" i="21"/>
  <c r="H121" i="21"/>
  <c r="H119" i="21"/>
  <c r="H117" i="21"/>
  <c r="H115" i="21"/>
  <c r="H113" i="21"/>
  <c r="J121" i="21"/>
  <c r="J119" i="21"/>
  <c r="J117" i="21"/>
  <c r="J115" i="21"/>
  <c r="J113" i="21"/>
  <c r="L121" i="21"/>
  <c r="L119" i="21"/>
  <c r="L117" i="21"/>
  <c r="L115" i="21"/>
  <c r="L113" i="21"/>
  <c r="G48" i="11"/>
  <c r="G47" i="11"/>
  <c r="G46" i="11"/>
  <c r="E46" i="11" s="1"/>
  <c r="E39" i="12" s="1"/>
  <c r="H85" i="11"/>
  <c r="G60" i="11" s="1"/>
  <c r="G85" i="11"/>
  <c r="G62" i="11" s="1"/>
  <c r="E70" i="12" s="1"/>
  <c r="F85" i="11"/>
  <c r="G61" i="11" s="1"/>
  <c r="E69" i="12" s="1"/>
  <c r="E84" i="11"/>
  <c r="E83" i="11"/>
  <c r="E82" i="11"/>
  <c r="E81" i="11"/>
  <c r="E80" i="11"/>
  <c r="E79" i="11"/>
  <c r="E78" i="11"/>
  <c r="E77" i="11"/>
  <c r="E76" i="11"/>
  <c r="E75" i="11"/>
  <c r="E74" i="11"/>
  <c r="E73" i="11"/>
  <c r="E72" i="11"/>
  <c r="A25" i="12"/>
  <c r="A26" i="12" s="1"/>
  <c r="E223" i="61"/>
  <c r="F204" i="61"/>
  <c r="G204" i="61" s="1"/>
  <c r="I204" i="61" s="1"/>
  <c r="F203" i="61"/>
  <c r="G203" i="61" s="1"/>
  <c r="I203" i="61" s="1"/>
  <c r="F201" i="61"/>
  <c r="J201" i="61" s="1"/>
  <c r="L208" i="61"/>
  <c r="F200" i="61"/>
  <c r="N200" i="61" s="1"/>
  <c r="H195" i="61"/>
  <c r="E195" i="61"/>
  <c r="F192" i="61"/>
  <c r="J192" i="61" s="1"/>
  <c r="M192" i="61" s="1"/>
  <c r="F191" i="61"/>
  <c r="J191" i="61" s="1"/>
  <c r="M191" i="61" s="1"/>
  <c r="F190" i="61"/>
  <c r="N190" i="61" s="1"/>
  <c r="F189" i="61"/>
  <c r="G189" i="61" s="1"/>
  <c r="I189" i="61" s="1"/>
  <c r="F188" i="61"/>
  <c r="J188" i="61" s="1"/>
  <c r="M188" i="61" s="1"/>
  <c r="F187" i="61"/>
  <c r="N187" i="61" s="1"/>
  <c r="F186" i="61"/>
  <c r="J186" i="61" s="1"/>
  <c r="M186" i="61" s="1"/>
  <c r="F185" i="61"/>
  <c r="N185" i="61" s="1"/>
  <c r="F184" i="61"/>
  <c r="N184" i="61" s="1"/>
  <c r="F183" i="61"/>
  <c r="J183" i="61" s="1"/>
  <c r="M183" i="61" s="1"/>
  <c r="F182" i="61"/>
  <c r="G182" i="61" s="1"/>
  <c r="I182" i="61" s="1"/>
  <c r="F181" i="61"/>
  <c r="N181" i="61" s="1"/>
  <c r="F180" i="61"/>
  <c r="N180" i="61" s="1"/>
  <c r="F179" i="61"/>
  <c r="N179" i="61" s="1"/>
  <c r="L195" i="61"/>
  <c r="F178" i="61"/>
  <c r="G178" i="61" s="1"/>
  <c r="N174" i="61"/>
  <c r="M174" i="61"/>
  <c r="L174" i="61"/>
  <c r="J174" i="61"/>
  <c r="I174" i="61"/>
  <c r="H174" i="61"/>
  <c r="G174" i="61"/>
  <c r="E174" i="61"/>
  <c r="N169" i="61"/>
  <c r="M169" i="61"/>
  <c r="L169" i="61"/>
  <c r="J169" i="61"/>
  <c r="I169" i="61"/>
  <c r="H169" i="61"/>
  <c r="G169" i="61"/>
  <c r="E169" i="61"/>
  <c r="L164" i="61"/>
  <c r="J157" i="61"/>
  <c r="M157" i="61" s="1"/>
  <c r="I156" i="61"/>
  <c r="F155" i="61"/>
  <c r="G155" i="61" s="1"/>
  <c r="I155" i="61" s="1"/>
  <c r="F154" i="61"/>
  <c r="J154" i="61" s="1"/>
  <c r="M154" i="61" s="1"/>
  <c r="F153" i="61"/>
  <c r="N153" i="61" s="1"/>
  <c r="F152" i="61"/>
  <c r="N152" i="61" s="1"/>
  <c r="F151" i="61"/>
  <c r="N151" i="61" s="1"/>
  <c r="F150" i="61"/>
  <c r="N150" i="61" s="1"/>
  <c r="F149" i="61"/>
  <c r="N149" i="61" s="1"/>
  <c r="F148" i="61"/>
  <c r="N148" i="61" s="1"/>
  <c r="F147" i="61"/>
  <c r="N147" i="61" s="1"/>
  <c r="F146" i="61"/>
  <c r="N146" i="61" s="1"/>
  <c r="F145" i="61"/>
  <c r="G145" i="61" s="1"/>
  <c r="H145" i="61" s="1"/>
  <c r="I145" i="61" s="1"/>
  <c r="F144" i="61"/>
  <c r="N144" i="61" s="1"/>
  <c r="F143" i="61"/>
  <c r="N143" i="61" s="1"/>
  <c r="F142" i="61"/>
  <c r="N142" i="61" s="1"/>
  <c r="F141" i="61"/>
  <c r="N141" i="61" s="1"/>
  <c r="F140" i="61"/>
  <c r="N140" i="61" s="1"/>
  <c r="F139" i="61"/>
  <c r="G139" i="61" s="1"/>
  <c r="H139" i="61" s="1"/>
  <c r="F126" i="61"/>
  <c r="N126" i="61" s="1"/>
  <c r="F125" i="61"/>
  <c r="N125" i="61" s="1"/>
  <c r="F124" i="61"/>
  <c r="N124" i="61" s="1"/>
  <c r="F123" i="61"/>
  <c r="N123" i="61" s="1"/>
  <c r="F122" i="61"/>
  <c r="N122" i="61" s="1"/>
  <c r="F121" i="61"/>
  <c r="G121" i="61" s="1"/>
  <c r="I121" i="61" s="1"/>
  <c r="F120" i="61"/>
  <c r="N120" i="61" s="1"/>
  <c r="F119" i="61"/>
  <c r="N119" i="61" s="1"/>
  <c r="F118" i="61"/>
  <c r="N118" i="61" s="1"/>
  <c r="F117" i="61"/>
  <c r="J117" i="61" s="1"/>
  <c r="M117" i="61" s="1"/>
  <c r="F116" i="61"/>
  <c r="J116" i="61" s="1"/>
  <c r="M116" i="61" s="1"/>
  <c r="F115" i="61"/>
  <c r="J115" i="61" s="1"/>
  <c r="M115" i="61" s="1"/>
  <c r="F114" i="61"/>
  <c r="J114" i="61" s="1"/>
  <c r="M114" i="61" s="1"/>
  <c r="F113" i="61"/>
  <c r="J113" i="61" s="1"/>
  <c r="M113" i="61" s="1"/>
  <c r="F112" i="61"/>
  <c r="J112" i="61" s="1"/>
  <c r="M112" i="61" s="1"/>
  <c r="F111" i="61"/>
  <c r="N111" i="61" s="1"/>
  <c r="F110" i="61"/>
  <c r="N110" i="61" s="1"/>
  <c r="F109" i="61"/>
  <c r="N109" i="61" s="1"/>
  <c r="F108" i="61"/>
  <c r="J108" i="61" s="1"/>
  <c r="M108" i="61" s="1"/>
  <c r="F107" i="61"/>
  <c r="N107" i="61" s="1"/>
  <c r="F106" i="61"/>
  <c r="G106" i="61" s="1"/>
  <c r="I106" i="61" s="1"/>
  <c r="F105" i="61"/>
  <c r="N105" i="61" s="1"/>
  <c r="F104" i="61"/>
  <c r="J104" i="61" s="1"/>
  <c r="M104" i="61" s="1"/>
  <c r="F103" i="61"/>
  <c r="N103" i="61" s="1"/>
  <c r="F102" i="61"/>
  <c r="J102" i="61" s="1"/>
  <c r="M102" i="61" s="1"/>
  <c r="F101" i="61"/>
  <c r="N101" i="61" s="1"/>
  <c r="F100" i="61"/>
  <c r="J100" i="61" s="1"/>
  <c r="M100" i="61" s="1"/>
  <c r="F99" i="61"/>
  <c r="N99" i="61" s="1"/>
  <c r="F98" i="61"/>
  <c r="J98" i="61" s="1"/>
  <c r="M98" i="61" s="1"/>
  <c r="F97" i="61"/>
  <c r="N97" i="61" s="1"/>
  <c r="F96" i="61"/>
  <c r="N96" i="61" s="1"/>
  <c r="F95" i="61"/>
  <c r="J95" i="61" s="1"/>
  <c r="M95" i="61" s="1"/>
  <c r="F94" i="61"/>
  <c r="J94" i="61" s="1"/>
  <c r="M94" i="61" s="1"/>
  <c r="F93" i="61"/>
  <c r="N93" i="61" s="1"/>
  <c r="F92" i="61"/>
  <c r="N92" i="61" s="1"/>
  <c r="F91" i="61"/>
  <c r="J91" i="61" s="1"/>
  <c r="M91" i="61" s="1"/>
  <c r="F90" i="61"/>
  <c r="N90" i="61" s="1"/>
  <c r="F89" i="61"/>
  <c r="J89" i="61" s="1"/>
  <c r="M89" i="61" s="1"/>
  <c r="F88" i="61"/>
  <c r="J88" i="61" s="1"/>
  <c r="M88" i="61" s="1"/>
  <c r="F87" i="61"/>
  <c r="J87" i="61" s="1"/>
  <c r="M87" i="61" s="1"/>
  <c r="F86" i="61"/>
  <c r="J86" i="61" s="1"/>
  <c r="F85" i="61"/>
  <c r="J85" i="61" s="1"/>
  <c r="M85" i="61" s="1"/>
  <c r="F84" i="61"/>
  <c r="N84" i="61" s="1"/>
  <c r="F83" i="61"/>
  <c r="N83" i="61" s="1"/>
  <c r="F82" i="61"/>
  <c r="J82" i="61" s="1"/>
  <c r="M82" i="61" s="1"/>
  <c r="H81" i="61"/>
  <c r="H136" i="61" s="1"/>
  <c r="F81" i="61"/>
  <c r="G81" i="61" s="1"/>
  <c r="F79" i="61"/>
  <c r="N79" i="61" s="1"/>
  <c r="F78" i="61"/>
  <c r="N78" i="61" s="1"/>
  <c r="F77" i="61"/>
  <c r="N77" i="61" s="1"/>
  <c r="F76" i="61"/>
  <c r="N76" i="61" s="1"/>
  <c r="F75" i="61"/>
  <c r="N75" i="61" s="1"/>
  <c r="F74" i="61"/>
  <c r="J74" i="61" s="1"/>
  <c r="M74" i="61" s="1"/>
  <c r="F73" i="61"/>
  <c r="J73" i="61" s="1"/>
  <c r="E70" i="61"/>
  <c r="F64" i="61"/>
  <c r="N64" i="61" s="1"/>
  <c r="F63" i="61"/>
  <c r="G63" i="61" s="1"/>
  <c r="I63" i="61" s="1"/>
  <c r="F62" i="61"/>
  <c r="J62" i="61" s="1"/>
  <c r="M62" i="61" s="1"/>
  <c r="F61" i="61"/>
  <c r="N61" i="61" s="1"/>
  <c r="F60" i="61"/>
  <c r="N60" i="61" s="1"/>
  <c r="F59" i="61"/>
  <c r="N59" i="61" s="1"/>
  <c r="F58" i="61"/>
  <c r="N58" i="61" s="1"/>
  <c r="F57" i="61"/>
  <c r="N57" i="61" s="1"/>
  <c r="H56" i="61"/>
  <c r="F56" i="61"/>
  <c r="G56" i="61" s="1"/>
  <c r="H55" i="61"/>
  <c r="G55" i="61" s="1"/>
  <c r="F55" i="61"/>
  <c r="J55" i="61" s="1"/>
  <c r="M55" i="61" s="1"/>
  <c r="H54" i="61"/>
  <c r="F54" i="61"/>
  <c r="G54" i="61" s="1"/>
  <c r="H53" i="61"/>
  <c r="G53" i="61" s="1"/>
  <c r="F53" i="61"/>
  <c r="F52" i="61"/>
  <c r="N52" i="61" s="1"/>
  <c r="F51" i="61"/>
  <c r="N51" i="61" s="1"/>
  <c r="F50" i="61"/>
  <c r="J50" i="61" s="1"/>
  <c r="M50" i="61" s="1"/>
  <c r="F49" i="61"/>
  <c r="J49" i="61" s="1"/>
  <c r="M49" i="61" s="1"/>
  <c r="L70" i="61"/>
  <c r="F48" i="61"/>
  <c r="J48" i="61" s="1"/>
  <c r="M48" i="61" s="1"/>
  <c r="F46" i="61"/>
  <c r="N46" i="61" s="1"/>
  <c r="F45" i="61"/>
  <c r="N45" i="61" s="1"/>
  <c r="F44" i="61"/>
  <c r="N44" i="61" s="1"/>
  <c r="F43" i="61"/>
  <c r="N43" i="61" s="1"/>
  <c r="F42" i="61"/>
  <c r="N42" i="61" s="1"/>
  <c r="L39" i="61"/>
  <c r="H39" i="61"/>
  <c r="F36" i="61"/>
  <c r="N36" i="61" s="1"/>
  <c r="F35" i="61"/>
  <c r="N35" i="61" s="1"/>
  <c r="F34" i="61"/>
  <c r="J34" i="61" s="1"/>
  <c r="M34" i="61" s="1"/>
  <c r="N20" i="61"/>
  <c r="G19" i="61"/>
  <c r="I19" i="61" s="1"/>
  <c r="J18" i="61"/>
  <c r="M18" i="61" s="1"/>
  <c r="F17" i="61"/>
  <c r="F16" i="61"/>
  <c r="J16" i="61" s="1"/>
  <c r="M16" i="61" s="1"/>
  <c r="F15" i="61"/>
  <c r="G15" i="61" s="1"/>
  <c r="I15" i="61" s="1"/>
  <c r="F14" i="61"/>
  <c r="J14" i="61" s="1"/>
  <c r="F13" i="61"/>
  <c r="J13" i="61" s="1"/>
  <c r="M13" i="61" s="1"/>
  <c r="F12" i="61"/>
  <c r="J12" i="61" s="1"/>
  <c r="L9" i="61"/>
  <c r="H9" i="61"/>
  <c r="E9" i="61"/>
  <c r="F6" i="61"/>
  <c r="J6" i="61" s="1"/>
  <c r="M6" i="61" s="1"/>
  <c r="F5" i="61"/>
  <c r="J5" i="61" s="1"/>
  <c r="M5" i="61" s="1"/>
  <c r="F4" i="61"/>
  <c r="G4" i="61" s="1"/>
  <c r="D16" i="57"/>
  <c r="E11" i="57"/>
  <c r="D11" i="57"/>
  <c r="D10" i="57"/>
  <c r="D17" i="57"/>
  <c r="F48" i="11"/>
  <c r="F62" i="11"/>
  <c r="E46" i="71"/>
  <c r="E24" i="54"/>
  <c r="D24" i="54"/>
  <c r="A8" i="17"/>
  <c r="A9" i="17" s="1"/>
  <c r="A10" i="17" s="1"/>
  <c r="A11" i="17" s="1"/>
  <c r="A12" i="17" s="1"/>
  <c r="A13" i="17" s="1"/>
  <c r="A14" i="17" s="1"/>
  <c r="I101" i="1" s="1"/>
  <c r="D50" i="26"/>
  <c r="G19" i="26" s="1"/>
  <c r="H19" i="26" s="1"/>
  <c r="D49" i="26"/>
  <c r="G18" i="26" s="1"/>
  <c r="H18" i="26" s="1"/>
  <c r="D48" i="26"/>
  <c r="G17" i="26" s="1"/>
  <c r="H17" i="26" s="1"/>
  <c r="D47" i="26"/>
  <c r="G16" i="26" s="1"/>
  <c r="H16" i="26" s="1"/>
  <c r="D46" i="26"/>
  <c r="G15" i="26" s="1"/>
  <c r="H15" i="26" s="1"/>
  <c r="D45" i="26"/>
  <c r="G14" i="26" s="1"/>
  <c r="H14" i="26" s="1"/>
  <c r="D44" i="26"/>
  <c r="G13" i="26" s="1"/>
  <c r="H13" i="26" s="1"/>
  <c r="D42" i="26"/>
  <c r="G11" i="26" s="1"/>
  <c r="H11" i="26" s="1"/>
  <c r="D41" i="26"/>
  <c r="G10" i="26" s="1"/>
  <c r="H10" i="26" s="1"/>
  <c r="D40" i="26"/>
  <c r="G9" i="26" s="1"/>
  <c r="H9" i="26" s="1"/>
  <c r="D39" i="26"/>
  <c r="G8" i="26" s="1"/>
  <c r="H8" i="26" s="1"/>
  <c r="D38" i="26"/>
  <c r="G7" i="26" s="1"/>
  <c r="H7" i="26" s="1"/>
  <c r="A10" i="57"/>
  <c r="A11" i="57" s="1"/>
  <c r="A12" i="57" s="1"/>
  <c r="A13" i="57" s="1"/>
  <c r="A14" i="57" s="1"/>
  <c r="A15" i="57" s="1"/>
  <c r="A16" i="57" s="1"/>
  <c r="A17" i="57" s="1"/>
  <c r="A18" i="57" s="1"/>
  <c r="A19" i="57" s="1"/>
  <c r="A20" i="57" s="1"/>
  <c r="A21" i="57" s="1"/>
  <c r="A22" i="57" s="1"/>
  <c r="A23" i="57" s="1"/>
  <c r="A24" i="57" s="1"/>
  <c r="A25" i="57" s="1"/>
  <c r="A26" i="57" s="1"/>
  <c r="A27" i="57" s="1"/>
  <c r="A28" i="57" s="1"/>
  <c r="K18" i="57"/>
  <c r="J18" i="57"/>
  <c r="I18" i="57"/>
  <c r="H18" i="57"/>
  <c r="G18" i="57"/>
  <c r="E17" i="57"/>
  <c r="E15" i="57"/>
  <c r="D15" i="57"/>
  <c r="K12" i="57"/>
  <c r="J12" i="57"/>
  <c r="I12" i="57"/>
  <c r="H12" i="57"/>
  <c r="G12" i="57"/>
  <c r="F11" i="56"/>
  <c r="F10" i="56"/>
  <c r="A9" i="56"/>
  <c r="A10" i="56" s="1"/>
  <c r="C40" i="56"/>
  <c r="C42" i="56" s="1"/>
  <c r="F39" i="56"/>
  <c r="F38" i="56"/>
  <c r="F36" i="56"/>
  <c r="C26" i="56"/>
  <c r="F25" i="56"/>
  <c r="F24" i="56"/>
  <c r="F23" i="56"/>
  <c r="F22" i="56"/>
  <c r="F21" i="56"/>
  <c r="F20" i="56"/>
  <c r="C12" i="56"/>
  <c r="C17" i="56" s="1"/>
  <c r="K30" i="1"/>
  <c r="K134" i="1"/>
  <c r="A15" i="32"/>
  <c r="G16" i="32" s="1"/>
  <c r="A7" i="26"/>
  <c r="A8" i="26" s="1"/>
  <c r="A9" i="26" s="1"/>
  <c r="A10" i="26" s="1"/>
  <c r="A27" i="11"/>
  <c r="K100" i="1"/>
  <c r="A7" i="8"/>
  <c r="A8" i="8" s="1"/>
  <c r="A9" i="8" s="1"/>
  <c r="A33" i="8"/>
  <c r="H34" i="8" s="1"/>
  <c r="A34" i="8"/>
  <c r="A38" i="8" s="1"/>
  <c r="E41" i="32"/>
  <c r="E35" i="32"/>
  <c r="K12" i="1"/>
  <c r="K128" i="1"/>
  <c r="F24" i="26"/>
  <c r="F7" i="42"/>
  <c r="E21" i="32" s="1"/>
  <c r="F27" i="12"/>
  <c r="F56" i="12" s="1"/>
  <c r="F26" i="12"/>
  <c r="F55" i="12" s="1"/>
  <c r="F25" i="12"/>
  <c r="F54" i="12" s="1"/>
  <c r="J44" i="8"/>
  <c r="F22" i="31"/>
  <c r="E22" i="31"/>
  <c r="D22" i="31"/>
  <c r="E20" i="26"/>
  <c r="F15" i="56"/>
  <c r="J90" i="61"/>
  <c r="M90" i="61" s="1"/>
  <c r="J43" i="61"/>
  <c r="M43" i="61" s="1"/>
  <c r="J53" i="61"/>
  <c r="M53" i="61" s="1"/>
  <c r="G61" i="61"/>
  <c r="I61" i="61" s="1"/>
  <c r="J81" i="61"/>
  <c r="M81" i="61" s="1"/>
  <c r="G94" i="61"/>
  <c r="I94" i="61" s="1"/>
  <c r="G107" i="61"/>
  <c r="I107" i="61" s="1"/>
  <c r="J142" i="61"/>
  <c r="M142" i="61" s="1"/>
  <c r="G154" i="61"/>
  <c r="I154" i="61" s="1"/>
  <c r="J180" i="61"/>
  <c r="M180" i="61" s="1"/>
  <c r="J187" i="61"/>
  <c r="M187" i="61" s="1"/>
  <c r="G200" i="61"/>
  <c r="J204" i="61"/>
  <c r="M204" i="61" s="1"/>
  <c r="F47" i="11"/>
  <c r="F61" i="11"/>
  <c r="A9" i="2"/>
  <c r="A10" i="2" s="1"/>
  <c r="A11" i="2" s="1"/>
  <c r="A28" i="11"/>
  <c r="A29" i="11" s="1"/>
  <c r="A30" i="11" s="1"/>
  <c r="A31" i="11" s="1"/>
  <c r="A32" i="11" s="1"/>
  <c r="A33" i="11" s="1"/>
  <c r="A34" i="11" s="1"/>
  <c r="A35" i="11" s="1"/>
  <c r="A36" i="11" s="1"/>
  <c r="A37" i="11" s="1"/>
  <c r="I111" i="65"/>
  <c r="I115" i="65"/>
  <c r="I119" i="65"/>
  <c r="N13" i="61"/>
  <c r="N73" i="61"/>
  <c r="N204" i="61"/>
  <c r="N87" i="61"/>
  <c r="G13" i="61"/>
  <c r="I13" i="61" s="1"/>
  <c r="G17" i="61"/>
  <c r="I17" i="61" s="1"/>
  <c r="N81" i="61"/>
  <c r="N89" i="61"/>
  <c r="N98" i="61"/>
  <c r="N102" i="61"/>
  <c r="N114" i="61"/>
  <c r="J123" i="61"/>
  <c r="M123" i="61" s="1"/>
  <c r="J118" i="61"/>
  <c r="M118" i="61" s="1"/>
  <c r="J122" i="61"/>
  <c r="M122" i="61" s="1"/>
  <c r="J146" i="61"/>
  <c r="M146" i="61" s="1"/>
  <c r="J150" i="61"/>
  <c r="M150" i="61" s="1"/>
  <c r="G183" i="61"/>
  <c r="I183" i="61" s="1"/>
  <c r="C62" i="46"/>
  <c r="L11" i="46"/>
  <c r="E97" i="46" s="1"/>
  <c r="K11" i="46"/>
  <c r="K34" i="46"/>
  <c r="D120" i="46" s="1"/>
  <c r="K36" i="46"/>
  <c r="D122" i="46" s="1"/>
  <c r="K38" i="46"/>
  <c r="K40" i="46"/>
  <c r="K42" i="46"/>
  <c r="D128" i="46" s="1"/>
  <c r="K44" i="46"/>
  <c r="K46" i="46"/>
  <c r="K48" i="46"/>
  <c r="D134" i="46" s="1"/>
  <c r="H134" i="46" s="1"/>
  <c r="K50" i="46"/>
  <c r="D136" i="46" s="1"/>
  <c r="H136" i="46" s="1"/>
  <c r="K52" i="46"/>
  <c r="D138" i="46" s="1"/>
  <c r="H138" i="46" s="1"/>
  <c r="K54" i="46"/>
  <c r="D140" i="46" s="1"/>
  <c r="K57" i="46"/>
  <c r="K59" i="46"/>
  <c r="D145" i="46" s="1"/>
  <c r="L71" i="46"/>
  <c r="H64" i="44"/>
  <c r="A10" i="1"/>
  <c r="J78" i="61"/>
  <c r="M78" i="61" s="1"/>
  <c r="J15" i="61"/>
  <c r="M15" i="61" s="1"/>
  <c r="N17" i="61"/>
  <c r="J17" i="61"/>
  <c r="M17" i="61" s="1"/>
  <c r="E10" i="2"/>
  <c r="C10" i="57" l="1"/>
  <c r="M73" i="61"/>
  <c r="G123" i="61"/>
  <c r="I123" i="61" s="1"/>
  <c r="J103" i="61"/>
  <c r="M103" i="61" s="1"/>
  <c r="G62" i="61"/>
  <c r="I62" i="61" s="1"/>
  <c r="N95" i="61"/>
  <c r="J96" i="61"/>
  <c r="M96" i="61" s="1"/>
  <c r="J181" i="61"/>
  <c r="M181" i="61" s="1"/>
  <c r="N188" i="61"/>
  <c r="G151" i="61"/>
  <c r="I151" i="61" s="1"/>
  <c r="G16" i="61"/>
  <c r="I16" i="61" s="1"/>
  <c r="J203" i="61"/>
  <c r="M203" i="61" s="1"/>
  <c r="G85" i="61"/>
  <c r="I85" i="61" s="1"/>
  <c r="G58" i="61"/>
  <c r="I58" i="61" s="1"/>
  <c r="G20" i="61"/>
  <c r="I20" i="61" s="1"/>
  <c r="G75" i="61"/>
  <c r="I75" i="61" s="1"/>
  <c r="G60" i="61"/>
  <c r="I60" i="61" s="1"/>
  <c r="G101" i="61"/>
  <c r="I101" i="61" s="1"/>
  <c r="N6" i="61"/>
  <c r="G105" i="61"/>
  <c r="I105" i="61" s="1"/>
  <c r="F53" i="71"/>
  <c r="G6" i="61"/>
  <c r="I6" i="61" s="1"/>
  <c r="J145" i="61"/>
  <c r="M145" i="61" s="1"/>
  <c r="J20" i="61"/>
  <c r="M20" i="61" s="1"/>
  <c r="J59" i="8"/>
  <c r="J53" i="8"/>
  <c r="J51" i="8"/>
  <c r="J215" i="46"/>
  <c r="E12" i="57"/>
  <c r="F47" i="71"/>
  <c r="E54" i="7"/>
  <c r="A29" i="57"/>
  <c r="J35" i="61"/>
  <c r="M35" i="61" s="1"/>
  <c r="N139" i="61"/>
  <c r="J119" i="61"/>
  <c r="M119" i="61" s="1"/>
  <c r="G91" i="61"/>
  <c r="I91" i="61" s="1"/>
  <c r="G77" i="61"/>
  <c r="I77" i="61" s="1"/>
  <c r="N88" i="61"/>
  <c r="J107" i="61"/>
  <c r="M107" i="61" s="1"/>
  <c r="G95" i="61"/>
  <c r="I95" i="61" s="1"/>
  <c r="H56" i="8"/>
  <c r="J184" i="61"/>
  <c r="M184" i="61" s="1"/>
  <c r="J143" i="61"/>
  <c r="M143" i="61" s="1"/>
  <c r="J111" i="61"/>
  <c r="M111" i="61" s="1"/>
  <c r="N155" i="61"/>
  <c r="J77" i="61"/>
  <c r="M77" i="61" s="1"/>
  <c r="G192" i="61"/>
  <c r="I192" i="61" s="1"/>
  <c r="J151" i="61"/>
  <c r="M151" i="61" s="1"/>
  <c r="G147" i="61"/>
  <c r="I147" i="61" s="1"/>
  <c r="G115" i="61"/>
  <c r="I115" i="61" s="1"/>
  <c r="G88" i="61"/>
  <c r="I88" i="61" s="1"/>
  <c r="G73" i="61"/>
  <c r="J51" i="61"/>
  <c r="M51" i="61" s="1"/>
  <c r="G180" i="61"/>
  <c r="I180" i="61" s="1"/>
  <c r="G143" i="61"/>
  <c r="I143" i="61" s="1"/>
  <c r="G111" i="61"/>
  <c r="I111" i="61" s="1"/>
  <c r="G103" i="61"/>
  <c r="I103" i="61" s="1"/>
  <c r="J58" i="61"/>
  <c r="M58" i="61" s="1"/>
  <c r="G46" i="61"/>
  <c r="I46" i="61" s="1"/>
  <c r="N108" i="61"/>
  <c r="N48" i="61"/>
  <c r="C28" i="56"/>
  <c r="J139" i="61"/>
  <c r="M139" i="61" s="1"/>
  <c r="G99" i="61"/>
  <c r="I99" i="61" s="1"/>
  <c r="J42" i="61"/>
  <c r="M42" i="61" s="1"/>
  <c r="G184" i="61"/>
  <c r="I184" i="61" s="1"/>
  <c r="J155" i="61"/>
  <c r="M155" i="61" s="1"/>
  <c r="J84" i="61"/>
  <c r="M84" i="61" s="1"/>
  <c r="J147" i="61"/>
  <c r="M147" i="61" s="1"/>
  <c r="J99" i="61"/>
  <c r="M99" i="61" s="1"/>
  <c r="G84" i="61"/>
  <c r="I84" i="61" s="1"/>
  <c r="J46" i="61"/>
  <c r="M46" i="61" s="1"/>
  <c r="G42" i="61"/>
  <c r="N50" i="61"/>
  <c r="F40" i="56"/>
  <c r="M12" i="61"/>
  <c r="E28" i="56"/>
  <c r="A11" i="1"/>
  <c r="A12" i="1" s="1"/>
  <c r="A15" i="1" s="1"/>
  <c r="A16" i="1" s="1"/>
  <c r="A17" i="1" s="1"/>
  <c r="H14" i="8" s="1"/>
  <c r="J45" i="46"/>
  <c r="C131" i="46" s="1"/>
  <c r="D18" i="57"/>
  <c r="D12" i="57"/>
  <c r="E61" i="11"/>
  <c r="E55" i="12" s="1"/>
  <c r="C81" i="46"/>
  <c r="I83" i="46"/>
  <c r="D131" i="46"/>
  <c r="H131" i="46" s="1"/>
  <c r="G131" i="46" s="1"/>
  <c r="F42" i="56"/>
  <c r="F17" i="56"/>
  <c r="C11" i="57"/>
  <c r="C12" i="57" s="1"/>
  <c r="K20" i="57"/>
  <c r="E31" i="57" s="1"/>
  <c r="J121" i="61"/>
  <c r="M121" i="61" s="1"/>
  <c r="G79" i="61"/>
  <c r="I79" i="61" s="1"/>
  <c r="J101" i="61"/>
  <c r="M101" i="61" s="1"/>
  <c r="N80" i="61"/>
  <c r="G64" i="61"/>
  <c r="I64" i="61" s="1"/>
  <c r="N157" i="61"/>
  <c r="G153" i="61"/>
  <c r="I153" i="61" s="1"/>
  <c r="G52" i="61"/>
  <c r="I52" i="61" s="1"/>
  <c r="J45" i="61"/>
  <c r="M45" i="61" s="1"/>
  <c r="N34" i="61"/>
  <c r="N39" i="61" s="1"/>
  <c r="J80" i="61"/>
  <c r="M80" i="61" s="1"/>
  <c r="G35" i="61"/>
  <c r="I35" i="61" s="1"/>
  <c r="N16" i="61"/>
  <c r="J79" i="61"/>
  <c r="M79" i="61" s="1"/>
  <c r="G188" i="61"/>
  <c r="I188" i="61" s="1"/>
  <c r="J179" i="61"/>
  <c r="M179" i="61" s="1"/>
  <c r="J149" i="61"/>
  <c r="M149" i="61" s="1"/>
  <c r="J126" i="61"/>
  <c r="M126" i="61" s="1"/>
  <c r="G113" i="61"/>
  <c r="I113" i="61" s="1"/>
  <c r="N115" i="61"/>
  <c r="G97" i="61"/>
  <c r="I97" i="61" s="1"/>
  <c r="G87" i="61"/>
  <c r="I87" i="61" s="1"/>
  <c r="G76" i="61"/>
  <c r="I76" i="61" s="1"/>
  <c r="G49" i="61"/>
  <c r="I49" i="61" s="1"/>
  <c r="G12" i="61"/>
  <c r="N91" i="61"/>
  <c r="N192" i="61"/>
  <c r="N5" i="61"/>
  <c r="G191" i="61"/>
  <c r="I191" i="61" s="1"/>
  <c r="N154" i="61"/>
  <c r="G141" i="61"/>
  <c r="I141" i="61" s="1"/>
  <c r="J110" i="61"/>
  <c r="M110" i="61" s="1"/>
  <c r="J153" i="61"/>
  <c r="M153" i="61" s="1"/>
  <c r="N94" i="61"/>
  <c r="G83" i="61"/>
  <c r="I83" i="61" s="1"/>
  <c r="J60" i="61"/>
  <c r="M60" i="61" s="1"/>
  <c r="G57" i="61"/>
  <c r="I57" i="61" s="1"/>
  <c r="G50" i="61"/>
  <c r="I50" i="61" s="1"/>
  <c r="J106" i="61"/>
  <c r="M106" i="61" s="1"/>
  <c r="N62" i="61"/>
  <c r="J19" i="61"/>
  <c r="M19" i="61" s="1"/>
  <c r="J182" i="61"/>
  <c r="M182" i="61" s="1"/>
  <c r="J52" i="61"/>
  <c r="M52" i="61" s="1"/>
  <c r="G93" i="61"/>
  <c r="I93" i="61" s="1"/>
  <c r="J23" i="46"/>
  <c r="C109" i="46" s="1"/>
  <c r="D109" i="46"/>
  <c r="H109" i="46" s="1"/>
  <c r="G109" i="46" s="1"/>
  <c r="J33" i="46"/>
  <c r="C119" i="46" s="1"/>
  <c r="J58" i="46"/>
  <c r="C144" i="46" s="1"/>
  <c r="F41" i="12"/>
  <c r="F39" i="12"/>
  <c r="F26" i="56"/>
  <c r="H24" i="8"/>
  <c r="I28" i="1"/>
  <c r="E62" i="11"/>
  <c r="E56" i="12" s="1"/>
  <c r="F40" i="12"/>
  <c r="K56" i="65"/>
  <c r="K68" i="65" s="1"/>
  <c r="E74" i="65" s="1"/>
  <c r="E75" i="65" s="1"/>
  <c r="K148" i="1" s="1"/>
  <c r="G68" i="65"/>
  <c r="E47" i="11"/>
  <c r="E40" i="12" s="1"/>
  <c r="E29" i="32"/>
  <c r="C16" i="57"/>
  <c r="G20" i="57"/>
  <c r="C26" i="57" s="1"/>
  <c r="C15" i="57"/>
  <c r="D144" i="46"/>
  <c r="H144" i="46" s="1"/>
  <c r="G144" i="46" s="1"/>
  <c r="J39" i="46"/>
  <c r="C125" i="46" s="1"/>
  <c r="D119" i="46"/>
  <c r="J49" i="46"/>
  <c r="C135" i="46" s="1"/>
  <c r="J37" i="46"/>
  <c r="C123" i="46" s="1"/>
  <c r="N53" i="61"/>
  <c r="N82" i="61"/>
  <c r="N18" i="61"/>
  <c r="N47" i="61"/>
  <c r="N15" i="61"/>
  <c r="J97" i="61"/>
  <c r="M97" i="61" s="1"/>
  <c r="G201" i="61"/>
  <c r="I201" i="61" s="1"/>
  <c r="G149" i="61"/>
  <c r="I149" i="61" s="1"/>
  <c r="G117" i="61"/>
  <c r="I117" i="61" s="1"/>
  <c r="G89" i="61"/>
  <c r="I89" i="61" s="1"/>
  <c r="N113" i="61"/>
  <c r="G96" i="61"/>
  <c r="I96" i="61" s="1"/>
  <c r="G78" i="61"/>
  <c r="I78" i="61" s="1"/>
  <c r="G74" i="61"/>
  <c r="I74" i="61" s="1"/>
  <c r="N19" i="61"/>
  <c r="G5" i="61"/>
  <c r="I5" i="61" s="1"/>
  <c r="N4" i="61"/>
  <c r="N186" i="61"/>
  <c r="N201" i="61"/>
  <c r="N189" i="61"/>
  <c r="N178" i="61"/>
  <c r="J152" i="61"/>
  <c r="M152" i="61" s="1"/>
  <c r="J109" i="61"/>
  <c r="M109" i="61" s="1"/>
  <c r="J185" i="61"/>
  <c r="M185" i="61" s="1"/>
  <c r="I157" i="61"/>
  <c r="J105" i="61"/>
  <c r="M105" i="61" s="1"/>
  <c r="G59" i="61"/>
  <c r="I59" i="61" s="1"/>
  <c r="J44" i="61"/>
  <c r="M44" i="61" s="1"/>
  <c r="G104" i="61"/>
  <c r="I104" i="61" s="1"/>
  <c r="J93" i="61"/>
  <c r="M93" i="61" s="1"/>
  <c r="J54" i="61"/>
  <c r="M54" i="61" s="1"/>
  <c r="G100" i="61"/>
  <c r="I100" i="61" s="1"/>
  <c r="N14" i="61"/>
  <c r="J140" i="61"/>
  <c r="M140" i="61" s="1"/>
  <c r="J189" i="61"/>
  <c r="M189" i="61" s="1"/>
  <c r="J178" i="61"/>
  <c r="M178" i="61" s="1"/>
  <c r="N112" i="61"/>
  <c r="J36" i="61"/>
  <c r="M36" i="61" s="1"/>
  <c r="N121" i="61"/>
  <c r="J75" i="61"/>
  <c r="M75" i="61" s="1"/>
  <c r="N56" i="61"/>
  <c r="J190" i="61"/>
  <c r="M190" i="61" s="1"/>
  <c r="J148" i="61"/>
  <c r="M148" i="61" s="1"/>
  <c r="J125" i="61"/>
  <c r="M125" i="61" s="1"/>
  <c r="N116" i="61"/>
  <c r="G86" i="61"/>
  <c r="I86" i="61" s="1"/>
  <c r="G18" i="61"/>
  <c r="I18" i="61" s="1"/>
  <c r="G14" i="61"/>
  <c r="I14" i="61" s="1"/>
  <c r="J64" i="61"/>
  <c r="M64" i="61" s="1"/>
  <c r="N86" i="61"/>
  <c r="N74" i="61"/>
  <c r="G125" i="61"/>
  <c r="I125" i="61" s="1"/>
  <c r="N203" i="61"/>
  <c r="N182" i="61"/>
  <c r="J156" i="61"/>
  <c r="M156" i="61" s="1"/>
  <c r="J144" i="61"/>
  <c r="M144" i="61" s="1"/>
  <c r="J141" i="61"/>
  <c r="M141" i="61" s="1"/>
  <c r="G109" i="61"/>
  <c r="I109" i="61" s="1"/>
  <c r="N145" i="61"/>
  <c r="J92" i="61"/>
  <c r="M92" i="61" s="1"/>
  <c r="G44" i="61"/>
  <c r="I44" i="61" s="1"/>
  <c r="G108" i="61"/>
  <c r="I108" i="61" s="1"/>
  <c r="N104" i="61"/>
  <c r="H70" i="61"/>
  <c r="H212" i="61" s="1"/>
  <c r="I178" i="61"/>
  <c r="G34" i="61"/>
  <c r="G47" i="61"/>
  <c r="I47" i="61" s="1"/>
  <c r="N63" i="61"/>
  <c r="J76" i="61"/>
  <c r="M76" i="61" s="1"/>
  <c r="G186" i="61"/>
  <c r="I186" i="61" s="1"/>
  <c r="G190" i="61"/>
  <c r="I190" i="61" s="1"/>
  <c r="G179" i="61"/>
  <c r="I179" i="61" s="1"/>
  <c r="G150" i="61"/>
  <c r="I150" i="61" s="1"/>
  <c r="G148" i="61"/>
  <c r="G146" i="61"/>
  <c r="I146" i="61" s="1"/>
  <c r="J120" i="61"/>
  <c r="M120" i="61" s="1"/>
  <c r="G116" i="61"/>
  <c r="I116" i="61" s="1"/>
  <c r="G102" i="61"/>
  <c r="I102" i="61" s="1"/>
  <c r="G126" i="61"/>
  <c r="I126" i="61" s="1"/>
  <c r="G122" i="61"/>
  <c r="I122" i="61" s="1"/>
  <c r="N117" i="61"/>
  <c r="J63" i="61"/>
  <c r="M63" i="61" s="1"/>
  <c r="N55" i="61"/>
  <c r="N12" i="61"/>
  <c r="G119" i="61"/>
  <c r="I119" i="61" s="1"/>
  <c r="N183" i="61"/>
  <c r="N49" i="61"/>
  <c r="J200" i="61"/>
  <c r="M200" i="61" s="1"/>
  <c r="G187" i="61"/>
  <c r="I187" i="61" s="1"/>
  <c r="N156" i="61"/>
  <c r="G152" i="61"/>
  <c r="I152" i="61" s="1"/>
  <c r="G144" i="61"/>
  <c r="I144" i="61" s="1"/>
  <c r="G142" i="61"/>
  <c r="I142" i="61" s="1"/>
  <c r="G140" i="61"/>
  <c r="G185" i="61"/>
  <c r="I185" i="61" s="1"/>
  <c r="G92" i="61"/>
  <c r="I92" i="61" s="1"/>
  <c r="J61" i="61"/>
  <c r="M61" i="61" s="1"/>
  <c r="J59" i="61"/>
  <c r="M59" i="61" s="1"/>
  <c r="J57" i="61"/>
  <c r="M57" i="61" s="1"/>
  <c r="G48" i="61"/>
  <c r="I48" i="61" s="1"/>
  <c r="G45" i="61"/>
  <c r="I45" i="61" s="1"/>
  <c r="G43" i="61"/>
  <c r="I43" i="61" s="1"/>
  <c r="N106" i="61"/>
  <c r="G90" i="61"/>
  <c r="I90" i="61" s="1"/>
  <c r="N54" i="61"/>
  <c r="G36" i="61"/>
  <c r="I36" i="61" s="1"/>
  <c r="N191" i="61"/>
  <c r="G181" i="61"/>
  <c r="I181" i="61" s="1"/>
  <c r="J124" i="61"/>
  <c r="M124" i="61" s="1"/>
  <c r="G118" i="61"/>
  <c r="I118" i="61" s="1"/>
  <c r="G114" i="61"/>
  <c r="I114" i="61" s="1"/>
  <c r="G98" i="61"/>
  <c r="I98" i="61" s="1"/>
  <c r="G124" i="61"/>
  <c r="I124" i="61" s="1"/>
  <c r="G120" i="61"/>
  <c r="I120" i="61" s="1"/>
  <c r="N100" i="61"/>
  <c r="G51" i="61"/>
  <c r="I51" i="61" s="1"/>
  <c r="J4" i="61"/>
  <c r="G112" i="61"/>
  <c r="I112" i="61" s="1"/>
  <c r="G110" i="61"/>
  <c r="I110" i="61" s="1"/>
  <c r="J83" i="61"/>
  <c r="M83" i="61" s="1"/>
  <c r="J56" i="61"/>
  <c r="M56" i="61" s="1"/>
  <c r="N85" i="61"/>
  <c r="E212" i="61"/>
  <c r="A25" i="65"/>
  <c r="A26" i="65" s="1"/>
  <c r="A27" i="65" s="1"/>
  <c r="A28" i="65" s="1"/>
  <c r="A29" i="65" s="1"/>
  <c r="A30" i="65" s="1"/>
  <c r="A31" i="65" s="1"/>
  <c r="A32" i="65" s="1"/>
  <c r="A33" i="65" s="1"/>
  <c r="A34" i="65" s="1"/>
  <c r="A35" i="65" s="1"/>
  <c r="A36" i="65" s="1"/>
  <c r="A37" i="65" s="1"/>
  <c r="A38" i="65" s="1"/>
  <c r="A39" i="65" s="1"/>
  <c r="A40" i="65" s="1"/>
  <c r="A41" i="65" s="1"/>
  <c r="A42" i="65" s="1"/>
  <c r="A43" i="65" s="1"/>
  <c r="A44" i="65" s="1"/>
  <c r="I120" i="65"/>
  <c r="F12" i="56"/>
  <c r="E15" i="32"/>
  <c r="H20" i="57"/>
  <c r="D26" i="57" s="1"/>
  <c r="C17" i="57"/>
  <c r="I139" i="61"/>
  <c r="H164" i="61"/>
  <c r="L212" i="61"/>
  <c r="L81" i="46"/>
  <c r="J76" i="46"/>
  <c r="C162" i="46" s="1"/>
  <c r="J74" i="46"/>
  <c r="C160" i="46" s="1"/>
  <c r="J72" i="46"/>
  <c r="C158" i="46" s="1"/>
  <c r="J78" i="46"/>
  <c r="C164" i="46" s="1"/>
  <c r="J77" i="46"/>
  <c r="C163" i="46" s="1"/>
  <c r="J75" i="46"/>
  <c r="C161" i="46" s="1"/>
  <c r="J73" i="46"/>
  <c r="C159" i="46" s="1"/>
  <c r="J41" i="46"/>
  <c r="C127" i="46" s="1"/>
  <c r="G113" i="46"/>
  <c r="J56" i="46"/>
  <c r="C142" i="46" s="1"/>
  <c r="J36" i="46"/>
  <c r="C122" i="46" s="1"/>
  <c r="J54" i="46"/>
  <c r="C140" i="46" s="1"/>
  <c r="J46" i="46"/>
  <c r="C132" i="46" s="1"/>
  <c r="J38" i="46"/>
  <c r="C124" i="46" s="1"/>
  <c r="J53" i="46"/>
  <c r="C139" i="46" s="1"/>
  <c r="J47" i="46"/>
  <c r="C133" i="46" s="1"/>
  <c r="J35" i="46"/>
  <c r="C121" i="46" s="1"/>
  <c r="J57" i="46"/>
  <c r="C143" i="46" s="1"/>
  <c r="J40" i="46"/>
  <c r="C126" i="46" s="1"/>
  <c r="J51" i="46"/>
  <c r="C137" i="46" s="1"/>
  <c r="L62" i="46"/>
  <c r="J44" i="46"/>
  <c r="C130" i="46" s="1"/>
  <c r="J43" i="46"/>
  <c r="C129" i="46" s="1"/>
  <c r="E48" i="11"/>
  <c r="E20" i="71"/>
  <c r="E24" i="71" s="1"/>
  <c r="A12" i="2"/>
  <c r="A13" i="2" s="1"/>
  <c r="I56" i="61"/>
  <c r="I81" i="61"/>
  <c r="A41" i="8"/>
  <c r="A42" i="8" s="1"/>
  <c r="A43" i="8" s="1"/>
  <c r="A44" i="8" s="1"/>
  <c r="A45" i="8" s="1"/>
  <c r="A48" i="8" s="1"/>
  <c r="H57" i="8"/>
  <c r="J20" i="57"/>
  <c r="D27" i="57" s="1"/>
  <c r="I20" i="57"/>
  <c r="C27" i="57" s="1"/>
  <c r="D126" i="46"/>
  <c r="H126" i="46" s="1"/>
  <c r="G126" i="46" s="1"/>
  <c r="G24" i="26"/>
  <c r="A11" i="26"/>
  <c r="A12" i="26" s="1"/>
  <c r="A13" i="26" s="1"/>
  <c r="A14" i="26" s="1"/>
  <c r="A15" i="26" s="1"/>
  <c r="A16" i="26" s="1"/>
  <c r="A17" i="26" s="1"/>
  <c r="A18" i="26" s="1"/>
  <c r="A19" i="26" s="1"/>
  <c r="A20" i="26" s="1"/>
  <c r="M201" i="61"/>
  <c r="J27" i="8"/>
  <c r="G13" i="2"/>
  <c r="G14" i="2" s="1"/>
  <c r="D124" i="46"/>
  <c r="H124" i="46" s="1"/>
  <c r="G124" i="46" s="1"/>
  <c r="C113" i="46"/>
  <c r="I200" i="61"/>
  <c r="E18" i="57"/>
  <c r="M14" i="61"/>
  <c r="I54" i="61"/>
  <c r="M47" i="61"/>
  <c r="I4" i="61"/>
  <c r="M86" i="61"/>
  <c r="I80" i="61"/>
  <c r="D111" i="21"/>
  <c r="D123" i="21" s="1"/>
  <c r="D103" i="21"/>
  <c r="D133" i="21" s="1"/>
  <c r="D136" i="21" s="1"/>
  <c r="E37" i="11"/>
  <c r="K28" i="1" s="1"/>
  <c r="F55" i="17"/>
  <c r="F57" i="17" s="1"/>
  <c r="D51" i="17"/>
  <c r="D14" i="17" s="1"/>
  <c r="K101" i="1" s="1"/>
  <c r="A35" i="63"/>
  <c r="A36" i="63" s="1"/>
  <c r="A37" i="63" s="1"/>
  <c r="A38" i="63" s="1"/>
  <c r="A39" i="63" s="1"/>
  <c r="A40" i="63" s="1"/>
  <c r="A41" i="63" s="1"/>
  <c r="A42" i="63" s="1"/>
  <c r="A43" i="63" s="1"/>
  <c r="A44" i="63" s="1"/>
  <c r="A45" i="63" s="1"/>
  <c r="A46" i="63" s="1"/>
  <c r="A47" i="63" s="1"/>
  <c r="A48" i="63" s="1"/>
  <c r="A49" i="63" s="1"/>
  <c r="A50" i="63" s="1"/>
  <c r="A51" i="63" s="1"/>
  <c r="E60" i="11"/>
  <c r="E54" i="12" s="1"/>
  <c r="E68" i="12"/>
  <c r="E112" i="21"/>
  <c r="N92" i="21"/>
  <c r="J111" i="21"/>
  <c r="J103" i="21"/>
  <c r="J133" i="21" s="1"/>
  <c r="J136" i="21" s="1"/>
  <c r="E116" i="21"/>
  <c r="N96" i="21"/>
  <c r="E120" i="21"/>
  <c r="N100" i="21"/>
  <c r="H111" i="21"/>
  <c r="H103" i="21"/>
  <c r="H133" i="21" s="1"/>
  <c r="H136" i="21" s="1"/>
  <c r="L111" i="21"/>
  <c r="L103" i="21"/>
  <c r="L133" i="21" s="1"/>
  <c r="L136" i="21" s="1"/>
  <c r="F111" i="21"/>
  <c r="F103" i="21"/>
  <c r="F133" i="21" s="1"/>
  <c r="F136" i="21" s="1"/>
  <c r="E114" i="21"/>
  <c r="N114" i="21" s="1"/>
  <c r="N94" i="21"/>
  <c r="E118" i="21"/>
  <c r="N98" i="21"/>
  <c r="E122" i="21"/>
  <c r="N102" i="21"/>
  <c r="N91" i="21"/>
  <c r="G103" i="21"/>
  <c r="G133" i="21" s="1"/>
  <c r="G136" i="21" s="1"/>
  <c r="G111" i="21"/>
  <c r="I103" i="21"/>
  <c r="I133" i="21" s="1"/>
  <c r="I136" i="21" s="1"/>
  <c r="I111" i="21"/>
  <c r="K103" i="21"/>
  <c r="K133" i="21" s="1"/>
  <c r="K136" i="21" s="1"/>
  <c r="K111" i="21"/>
  <c r="M103" i="21"/>
  <c r="M133" i="21" s="1"/>
  <c r="M136" i="21" s="1"/>
  <c r="M111" i="21"/>
  <c r="D20" i="71"/>
  <c r="D24" i="71" s="1"/>
  <c r="D40" i="7"/>
  <c r="D130" i="46"/>
  <c r="J52" i="46"/>
  <c r="C138" i="46" s="1"/>
  <c r="J13" i="46"/>
  <c r="C99" i="46" s="1"/>
  <c r="J25" i="46"/>
  <c r="C111" i="46" s="1"/>
  <c r="E85" i="11"/>
  <c r="H20" i="26"/>
  <c r="F23" i="26" s="1"/>
  <c r="F25" i="26" s="1"/>
  <c r="H43" i="44"/>
  <c r="A15" i="17"/>
  <c r="A16" i="17" s="1"/>
  <c r="A17" i="17" s="1"/>
  <c r="A18" i="17" s="1"/>
  <c r="A19" i="17" s="1"/>
  <c r="A20" i="17" s="1"/>
  <c r="A21" i="17" s="1"/>
  <c r="A22" i="17" s="1"/>
  <c r="A23" i="17" s="1"/>
  <c r="A24" i="17" s="1"/>
  <c r="J34" i="46"/>
  <c r="C120" i="46" s="1"/>
  <c r="J42" i="46"/>
  <c r="C128" i="46" s="1"/>
  <c r="D143" i="46"/>
  <c r="H143" i="46" s="1"/>
  <c r="G143" i="46" s="1"/>
  <c r="J11" i="46"/>
  <c r="C97" i="46" s="1"/>
  <c r="J28" i="46"/>
  <c r="C114" i="46" s="1"/>
  <c r="H122" i="46"/>
  <c r="G122" i="46" s="1"/>
  <c r="H140" i="46"/>
  <c r="G140" i="46" s="1"/>
  <c r="H145" i="46"/>
  <c r="G145" i="46" s="1"/>
  <c r="H123" i="46"/>
  <c r="G123" i="46" s="1"/>
  <c r="J71" i="46"/>
  <c r="C157" i="46" s="1"/>
  <c r="D97" i="46"/>
  <c r="J48" i="46"/>
  <c r="C134" i="46" s="1"/>
  <c r="H120" i="46"/>
  <c r="G120" i="46" s="1"/>
  <c r="H142" i="46"/>
  <c r="G142" i="46" s="1"/>
  <c r="I163" i="46"/>
  <c r="G163" i="46" s="1"/>
  <c r="H111" i="46"/>
  <c r="G111" i="46" s="1"/>
  <c r="H99" i="46"/>
  <c r="D83" i="46"/>
  <c r="C194" i="46" s="1"/>
  <c r="H80" i="46" s="1"/>
  <c r="J31" i="46"/>
  <c r="C117" i="46" s="1"/>
  <c r="G139" i="46"/>
  <c r="J27" i="46"/>
  <c r="J59" i="46"/>
  <c r="C145" i="46" s="1"/>
  <c r="G136" i="46"/>
  <c r="A17" i="7"/>
  <c r="A18" i="7" s="1"/>
  <c r="A19" i="7" s="1"/>
  <c r="A20" i="7" s="1"/>
  <c r="A21" i="7" s="1"/>
  <c r="A22" i="7" s="1"/>
  <c r="A23" i="7" s="1"/>
  <c r="A24" i="7" s="1"/>
  <c r="A25" i="7" s="1"/>
  <c r="G20" i="71"/>
  <c r="A20" i="71"/>
  <c r="B191" i="71" s="1"/>
  <c r="D98" i="46"/>
  <c r="J12" i="46"/>
  <c r="C98" i="46" s="1"/>
  <c r="E101" i="46"/>
  <c r="J15" i="46"/>
  <c r="C101" i="46" s="1"/>
  <c r="E102" i="46"/>
  <c r="I102" i="46" s="1"/>
  <c r="G102" i="46" s="1"/>
  <c r="J16" i="46"/>
  <c r="C102" i="46" s="1"/>
  <c r="E103" i="46"/>
  <c r="J17" i="46"/>
  <c r="C103" i="46" s="1"/>
  <c r="E104" i="46"/>
  <c r="I104" i="46" s="1"/>
  <c r="G104" i="46" s="1"/>
  <c r="J18" i="46"/>
  <c r="C104" i="46" s="1"/>
  <c r="E105" i="46"/>
  <c r="J19" i="46"/>
  <c r="C105" i="46" s="1"/>
  <c r="E106" i="46"/>
  <c r="I106" i="46" s="1"/>
  <c r="G106" i="46" s="1"/>
  <c r="J20" i="46"/>
  <c r="C106" i="46" s="1"/>
  <c r="E107" i="46"/>
  <c r="J21" i="46"/>
  <c r="C107" i="46" s="1"/>
  <c r="D112" i="46"/>
  <c r="J26" i="46"/>
  <c r="C112" i="46" s="1"/>
  <c r="D116" i="46"/>
  <c r="J30" i="46"/>
  <c r="C116" i="46" s="1"/>
  <c r="G133" i="46"/>
  <c r="G134" i="46"/>
  <c r="G161" i="46"/>
  <c r="D100" i="46"/>
  <c r="J14" i="46"/>
  <c r="C100" i="46" s="1"/>
  <c r="E108" i="46"/>
  <c r="J22" i="46"/>
  <c r="C108" i="46" s="1"/>
  <c r="D110" i="46"/>
  <c r="J24" i="46"/>
  <c r="C110" i="46" s="1"/>
  <c r="D118" i="46"/>
  <c r="J32" i="46"/>
  <c r="C118" i="46" s="1"/>
  <c r="G137" i="46"/>
  <c r="G138" i="46"/>
  <c r="G121" i="46"/>
  <c r="G162" i="46"/>
  <c r="I18" i="1"/>
  <c r="G77" i="44"/>
  <c r="A31" i="44"/>
  <c r="A71" i="46"/>
  <c r="A72" i="46" s="1"/>
  <c r="A73" i="46" s="1"/>
  <c r="A74" i="46" s="1"/>
  <c r="A75" i="46" s="1"/>
  <c r="A76" i="46" s="1"/>
  <c r="A77" i="46" s="1"/>
  <c r="A78" i="46" s="1"/>
  <c r="A79" i="46" s="1"/>
  <c r="A80" i="46" s="1"/>
  <c r="A81" i="46" s="1"/>
  <c r="E85" i="46"/>
  <c r="A46" i="11"/>
  <c r="H39" i="12" s="1"/>
  <c r="A49" i="8"/>
  <c r="A51" i="8" s="1"/>
  <c r="A52" i="8" s="1"/>
  <c r="A53" i="8" s="1"/>
  <c r="A54" i="8" s="1"/>
  <c r="A55" i="8" s="1"/>
  <c r="A12" i="8"/>
  <c r="A11" i="56"/>
  <c r="A12" i="56" s="1"/>
  <c r="D132" i="46"/>
  <c r="J50" i="46"/>
  <c r="C136" i="46" s="1"/>
  <c r="E157" i="46"/>
  <c r="E141" i="71"/>
  <c r="E140" i="71"/>
  <c r="E69" i="8"/>
  <c r="A23" i="22"/>
  <c r="A16" i="32"/>
  <c r="A20" i="32" s="1"/>
  <c r="A27" i="12"/>
  <c r="D47" i="71"/>
  <c r="E47" i="71"/>
  <c r="E54" i="71"/>
  <c r="D54" i="71"/>
  <c r="A6" i="31"/>
  <c r="A7" i="31" s="1"/>
  <c r="A8" i="31" s="1"/>
  <c r="B39" i="31" s="1"/>
  <c r="I148" i="61" l="1"/>
  <c r="G164" i="61"/>
  <c r="N136" i="61"/>
  <c r="J136" i="61"/>
  <c r="M136" i="61"/>
  <c r="G136" i="61"/>
  <c r="E20" i="57"/>
  <c r="A52" i="63"/>
  <c r="A53" i="63" s="1"/>
  <c r="A58" i="63" s="1"/>
  <c r="A59" i="63" s="1"/>
  <c r="A60" i="63" s="1"/>
  <c r="A61" i="63" s="1"/>
  <c r="A62" i="63" s="1"/>
  <c r="A63" i="63" s="1"/>
  <c r="A64" i="63" s="1"/>
  <c r="K102" i="1"/>
  <c r="D23" i="7" s="1"/>
  <c r="C8" i="9"/>
  <c r="E51" i="11"/>
  <c r="E215" i="61"/>
  <c r="E216" i="61" s="1"/>
  <c r="N31" i="61"/>
  <c r="C83" i="46"/>
  <c r="E26" i="57"/>
  <c r="G20" i="2"/>
  <c r="D20" i="57"/>
  <c r="B8" i="65"/>
  <c r="A45" i="65"/>
  <c r="A46" i="65" s="1"/>
  <c r="A47" i="65" s="1"/>
  <c r="A48" i="65" s="1"/>
  <c r="A49" i="65" s="1"/>
  <c r="A50" i="65" s="1"/>
  <c r="A51" i="65" s="1"/>
  <c r="A52" i="65" s="1"/>
  <c r="A53" i="65" s="1"/>
  <c r="A54" i="65" s="1"/>
  <c r="A55" i="65" s="1"/>
  <c r="A56" i="65" s="1"/>
  <c r="A57" i="65" s="1"/>
  <c r="A58" i="65" s="1"/>
  <c r="A59" i="65" s="1"/>
  <c r="A60" i="65" s="1"/>
  <c r="A61" i="65" s="1"/>
  <c r="A62" i="65" s="1"/>
  <c r="A63" i="65" s="1"/>
  <c r="A64" i="65" s="1"/>
  <c r="A65" i="65" s="1"/>
  <c r="A66" i="65" s="1"/>
  <c r="A67" i="65" s="1"/>
  <c r="I12" i="61"/>
  <c r="I31" i="61" s="1"/>
  <c r="G31" i="61"/>
  <c r="M31" i="61"/>
  <c r="I73" i="61"/>
  <c r="I136" i="61" s="1"/>
  <c r="A30" i="57"/>
  <c r="A31" i="57" s="1"/>
  <c r="G31" i="57"/>
  <c r="C76" i="26"/>
  <c r="F54" i="71"/>
  <c r="E58" i="7"/>
  <c r="A18" i="1"/>
  <c r="I34" i="61"/>
  <c r="I39" i="61" s="1"/>
  <c r="G39" i="61"/>
  <c r="J31" i="61"/>
  <c r="I42" i="61"/>
  <c r="I70" i="61" s="1"/>
  <c r="G70" i="61"/>
  <c r="C18" i="57"/>
  <c r="C20" i="57" s="1"/>
  <c r="C28" i="57"/>
  <c r="I208" i="61"/>
  <c r="N208" i="61"/>
  <c r="N195" i="61"/>
  <c r="G9" i="61"/>
  <c r="N9" i="61"/>
  <c r="N164" i="61"/>
  <c r="J39" i="61"/>
  <c r="M208" i="61"/>
  <c r="E220" i="61"/>
  <c r="E221" i="61" s="1"/>
  <c r="M39" i="61"/>
  <c r="M195" i="61"/>
  <c r="L83" i="46"/>
  <c r="E218" i="61"/>
  <c r="E219" i="61" s="1"/>
  <c r="G208" i="61"/>
  <c r="M164" i="61"/>
  <c r="I9" i="61"/>
  <c r="J208" i="61"/>
  <c r="J195" i="61"/>
  <c r="J164" i="61"/>
  <c r="I195" i="61"/>
  <c r="N70" i="61"/>
  <c r="M4" i="61"/>
  <c r="M9" i="61" s="1"/>
  <c r="J9" i="61"/>
  <c r="I140" i="61"/>
  <c r="M70" i="61"/>
  <c r="J70" i="61"/>
  <c r="G195" i="61"/>
  <c r="B151" i="65"/>
  <c r="B5" i="65"/>
  <c r="E41" i="12"/>
  <c r="E31" i="71"/>
  <c r="F28" i="56"/>
  <c r="F117" i="46" s="1"/>
  <c r="E27" i="57"/>
  <c r="D28" i="57"/>
  <c r="E65" i="11"/>
  <c r="A23" i="26"/>
  <c r="A24" i="26" s="1"/>
  <c r="A25" i="26" s="1"/>
  <c r="G23" i="26"/>
  <c r="D31" i="71"/>
  <c r="G99" i="46"/>
  <c r="F112" i="71"/>
  <c r="G41" i="44"/>
  <c r="E25" i="7"/>
  <c r="E13" i="2"/>
  <c r="E14" i="2"/>
  <c r="A14" i="2"/>
  <c r="E148" i="46"/>
  <c r="E42" i="57"/>
  <c r="E113" i="21"/>
  <c r="N93" i="21"/>
  <c r="F123" i="21"/>
  <c r="F147" i="21" s="1"/>
  <c r="H123" i="21"/>
  <c r="H144" i="21" s="1"/>
  <c r="J123" i="21"/>
  <c r="J150" i="21" s="1"/>
  <c r="M123" i="21"/>
  <c r="M155" i="21" s="1"/>
  <c r="K123" i="21"/>
  <c r="K149" i="21" s="1"/>
  <c r="I123" i="21"/>
  <c r="I155" i="21" s="1"/>
  <c r="G123" i="21"/>
  <c r="G152" i="21" s="1"/>
  <c r="N111" i="21"/>
  <c r="N122" i="21"/>
  <c r="N118" i="21"/>
  <c r="L123" i="21"/>
  <c r="L146" i="21" s="1"/>
  <c r="N120" i="21"/>
  <c r="N116" i="21"/>
  <c r="N112" i="21"/>
  <c r="G16" i="12"/>
  <c r="J58" i="8"/>
  <c r="C193" i="46"/>
  <c r="H61" i="46" s="1"/>
  <c r="K61" i="46" s="1"/>
  <c r="K80" i="46"/>
  <c r="H81" i="46"/>
  <c r="G80" i="46"/>
  <c r="G81" i="46" s="1"/>
  <c r="H112" i="46"/>
  <c r="G112" i="46" s="1"/>
  <c r="I107" i="46"/>
  <c r="G107" i="46" s="1"/>
  <c r="I105" i="46"/>
  <c r="G105" i="46" s="1"/>
  <c r="I103" i="46"/>
  <c r="G103" i="46" s="1"/>
  <c r="I101" i="46"/>
  <c r="G101" i="46" s="1"/>
  <c r="H98" i="46"/>
  <c r="G98" i="46" s="1"/>
  <c r="H132" i="46"/>
  <c r="H110" i="46"/>
  <c r="G110" i="46" s="1"/>
  <c r="I108" i="46"/>
  <c r="G108" i="46" s="1"/>
  <c r="H100" i="46"/>
  <c r="G100" i="46" s="1"/>
  <c r="G37" i="11"/>
  <c r="F20" i="71"/>
  <c r="E111" i="71" s="1"/>
  <c r="A24" i="71"/>
  <c r="F111" i="71"/>
  <c r="F31" i="71"/>
  <c r="F24" i="71"/>
  <c r="A9" i="31"/>
  <c r="H22" i="31"/>
  <c r="A28" i="12"/>
  <c r="A29" i="12" s="1"/>
  <c r="A39" i="12" s="1"/>
  <c r="A40" i="12" s="1"/>
  <c r="A41" i="12" s="1"/>
  <c r="A42" i="12" s="1"/>
  <c r="A43" i="12" s="1"/>
  <c r="A44" i="12" s="1"/>
  <c r="I135" i="1" s="1"/>
  <c r="E83" i="7"/>
  <c r="E47" i="7"/>
  <c r="A26" i="7"/>
  <c r="A27" i="7" s="1"/>
  <c r="A28" i="7" s="1"/>
  <c r="A29" i="7" s="1"/>
  <c r="A30" i="7" s="1"/>
  <c r="A31" i="7" s="1"/>
  <c r="A32" i="7" s="1"/>
  <c r="A33" i="7" s="1"/>
  <c r="A34" i="7" s="1"/>
  <c r="A35" i="7" s="1"/>
  <c r="A36" i="7" s="1"/>
  <c r="A25" i="17"/>
  <c r="E167" i="46"/>
  <c r="D12" i="56"/>
  <c r="A56" i="8"/>
  <c r="A57" i="8" s="1"/>
  <c r="A58" i="8" s="1"/>
  <c r="A59" i="8" s="1"/>
  <c r="A82" i="46"/>
  <c r="A83" i="46" s="1"/>
  <c r="D193" i="46" s="1"/>
  <c r="E86" i="46"/>
  <c r="F37" i="11"/>
  <c r="J24" i="8" s="1"/>
  <c r="F91" i="12" s="1"/>
  <c r="A21" i="32"/>
  <c r="A22" i="32" s="1"/>
  <c r="A28" i="32" s="1"/>
  <c r="A24" i="22"/>
  <c r="G27" i="22" s="1"/>
  <c r="A13" i="56"/>
  <c r="A14" i="56" s="1"/>
  <c r="A15" i="56" s="1"/>
  <c r="A16" i="56" s="1"/>
  <c r="A17" i="56" s="1"/>
  <c r="A13" i="8"/>
  <c r="A14" i="8" s="1"/>
  <c r="A15" i="8" s="1"/>
  <c r="A47" i="11"/>
  <c r="H40" i="12" s="1"/>
  <c r="A32" i="44"/>
  <c r="G55" i="44"/>
  <c r="A21" i="1"/>
  <c r="I164" i="61" l="1"/>
  <c r="I212" i="61" s="1"/>
  <c r="E33" i="71"/>
  <c r="H56" i="44"/>
  <c r="H57" i="44" s="1"/>
  <c r="H59" i="44" s="1"/>
  <c r="H78" i="44" s="1"/>
  <c r="D33" i="71"/>
  <c r="J43" i="8"/>
  <c r="A68" i="65"/>
  <c r="A69" i="65" s="1"/>
  <c r="A70" i="65" s="1"/>
  <c r="A71" i="65" s="1"/>
  <c r="A72" i="65" s="1"/>
  <c r="A73" i="65" s="1"/>
  <c r="A74" i="65" s="1"/>
  <c r="A75" i="65" s="1"/>
  <c r="A76" i="65" s="1"/>
  <c r="A77" i="65" s="1"/>
  <c r="A78" i="65" s="1"/>
  <c r="A79" i="65" s="1"/>
  <c r="A80" i="65" s="1"/>
  <c r="A81" i="65" s="1"/>
  <c r="A82" i="65" s="1"/>
  <c r="A83" i="65" s="1"/>
  <c r="A84" i="65" s="1"/>
  <c r="A85" i="65" s="1"/>
  <c r="A86" i="65" s="1"/>
  <c r="A87" i="65" s="1"/>
  <c r="A88" i="65" s="1"/>
  <c r="A89" i="65" s="1"/>
  <c r="A90" i="65" s="1"/>
  <c r="A91" i="65" s="1"/>
  <c r="A92" i="65" s="1"/>
  <c r="A93" i="65" s="1"/>
  <c r="A94" i="65" s="1"/>
  <c r="A95" i="65" s="1"/>
  <c r="A96" i="65" s="1"/>
  <c r="A97" i="65" s="1"/>
  <c r="A98" i="65" s="1"/>
  <c r="A99" i="65" s="1"/>
  <c r="A100" i="65" s="1"/>
  <c r="A101" i="65" s="1"/>
  <c r="A102" i="65" s="1"/>
  <c r="A103" i="65" s="1"/>
  <c r="A104" i="65" s="1"/>
  <c r="A105" i="65" s="1"/>
  <c r="A106" i="65" s="1"/>
  <c r="A107" i="65" s="1"/>
  <c r="A108" i="65" s="1"/>
  <c r="A109" i="65" s="1"/>
  <c r="A110" i="65" s="1"/>
  <c r="A111" i="65" s="1"/>
  <c r="A112" i="65" s="1"/>
  <c r="A113" i="65" s="1"/>
  <c r="A114" i="65" s="1"/>
  <c r="A115" i="65" s="1"/>
  <c r="A116" i="65" s="1"/>
  <c r="A117" i="65" s="1"/>
  <c r="A118" i="65" s="1"/>
  <c r="A119" i="65" s="1"/>
  <c r="A120" i="65" s="1"/>
  <c r="A121" i="65" s="1"/>
  <c r="A122" i="65" s="1"/>
  <c r="B133" i="65"/>
  <c r="A32" i="57"/>
  <c r="A33" i="57" s="1"/>
  <c r="G212" i="61"/>
  <c r="D17" i="56"/>
  <c r="E170" i="46"/>
  <c r="E28" i="57"/>
  <c r="E33" i="57" s="1"/>
  <c r="E40" i="57" s="1"/>
  <c r="E43" i="57" s="1"/>
  <c r="E222" i="61"/>
  <c r="E224" i="61" s="1"/>
  <c r="E225" i="61" s="1"/>
  <c r="E228" i="61" s="1"/>
  <c r="K130" i="1" s="1"/>
  <c r="F116" i="46"/>
  <c r="I116" i="46" s="1"/>
  <c r="F119" i="46"/>
  <c r="H119" i="46" s="1"/>
  <c r="F118" i="46"/>
  <c r="I118" i="46" s="1"/>
  <c r="M212" i="61"/>
  <c r="N212" i="61"/>
  <c r="J212" i="61"/>
  <c r="B9" i="65"/>
  <c r="F75" i="65"/>
  <c r="I117" i="46"/>
  <c r="H117" i="46"/>
  <c r="M147" i="21"/>
  <c r="I151" i="21"/>
  <c r="F150" i="21"/>
  <c r="F145" i="21"/>
  <c r="K154" i="21"/>
  <c r="F151" i="21"/>
  <c r="G146" i="21"/>
  <c r="J152" i="21"/>
  <c r="J154" i="21"/>
  <c r="G149" i="21"/>
  <c r="H154" i="21"/>
  <c r="B132" i="65"/>
  <c r="J209" i="46"/>
  <c r="F125" i="46" s="1"/>
  <c r="L29" i="28"/>
  <c r="K65" i="1" s="1"/>
  <c r="E15" i="2"/>
  <c r="A15" i="2"/>
  <c r="G132" i="46"/>
  <c r="E103" i="21"/>
  <c r="E133" i="21" s="1"/>
  <c r="E136" i="21" s="1"/>
  <c r="M152" i="21"/>
  <c r="A60" i="8"/>
  <c r="H60" i="8"/>
  <c r="H15" i="8"/>
  <c r="H62" i="46"/>
  <c r="H83" i="46" s="1"/>
  <c r="L154" i="21"/>
  <c r="K155" i="21"/>
  <c r="K146" i="21"/>
  <c r="H146" i="21"/>
  <c r="A26" i="26"/>
  <c r="A27" i="26" s="1"/>
  <c r="G25" i="26"/>
  <c r="L150" i="21"/>
  <c r="I152" i="21"/>
  <c r="M151" i="21"/>
  <c r="J146" i="21"/>
  <c r="F152" i="21"/>
  <c r="H152" i="21"/>
  <c r="F154" i="21"/>
  <c r="K151" i="21"/>
  <c r="G153" i="21"/>
  <c r="F155" i="21"/>
  <c r="K150" i="21"/>
  <c r="G150" i="21"/>
  <c r="H150" i="21"/>
  <c r="F148" i="21"/>
  <c r="F149" i="21"/>
  <c r="L144" i="21"/>
  <c r="L13" i="21" s="1"/>
  <c r="F153" i="21"/>
  <c r="I147" i="21"/>
  <c r="K144" i="21"/>
  <c r="K13" i="21" s="1"/>
  <c r="M144" i="21"/>
  <c r="M13" i="21" s="1"/>
  <c r="F144" i="21"/>
  <c r="F13" i="21" s="1"/>
  <c r="L152" i="21"/>
  <c r="J144" i="21"/>
  <c r="M146" i="21"/>
  <c r="M154" i="21"/>
  <c r="K153" i="21"/>
  <c r="I150" i="21"/>
  <c r="G147" i="21"/>
  <c r="G155" i="21"/>
  <c r="H155" i="21"/>
  <c r="H145" i="21"/>
  <c r="H149" i="21"/>
  <c r="H153" i="21"/>
  <c r="H147" i="21"/>
  <c r="H151" i="21"/>
  <c r="M149" i="21"/>
  <c r="K148" i="21"/>
  <c r="I145" i="21"/>
  <c r="I153" i="21"/>
  <c r="G154" i="21"/>
  <c r="E117" i="21"/>
  <c r="N97" i="21"/>
  <c r="E121" i="21"/>
  <c r="N101" i="21"/>
  <c r="G145" i="21"/>
  <c r="K145" i="21"/>
  <c r="L145" i="21"/>
  <c r="L149" i="21"/>
  <c r="L153" i="21"/>
  <c r="L147" i="21"/>
  <c r="L151" i="21"/>
  <c r="L155" i="21"/>
  <c r="G144" i="21"/>
  <c r="I144" i="21"/>
  <c r="E115" i="21"/>
  <c r="N95" i="21"/>
  <c r="E119" i="21"/>
  <c r="N99" i="21"/>
  <c r="L148" i="21"/>
  <c r="J148" i="21"/>
  <c r="J147" i="21"/>
  <c r="J151" i="21"/>
  <c r="J155" i="21"/>
  <c r="J145" i="21"/>
  <c r="J149" i="21"/>
  <c r="J153" i="21"/>
  <c r="M150" i="21"/>
  <c r="K147" i="21"/>
  <c r="I146" i="21"/>
  <c r="I154" i="21"/>
  <c r="G151" i="21"/>
  <c r="H13" i="21"/>
  <c r="M145" i="21"/>
  <c r="M153" i="21"/>
  <c r="K152" i="21"/>
  <c r="I149" i="21"/>
  <c r="G148" i="21"/>
  <c r="N113" i="21"/>
  <c r="I148" i="21"/>
  <c r="M148" i="21"/>
  <c r="H148" i="21"/>
  <c r="F146" i="21"/>
  <c r="J61" i="46"/>
  <c r="C147" i="46" s="1"/>
  <c r="C148" i="46" s="1"/>
  <c r="D147" i="46"/>
  <c r="D148" i="46" s="1"/>
  <c r="K62" i="46"/>
  <c r="G61" i="46"/>
  <c r="G62" i="46" s="1"/>
  <c r="G83" i="46" s="1"/>
  <c r="D166" i="46"/>
  <c r="J80" i="46"/>
  <c r="J81" i="46" s="1"/>
  <c r="K81" i="46"/>
  <c r="D194" i="46"/>
  <c r="A25" i="71"/>
  <c r="A26" i="71" s="1"/>
  <c r="A28" i="26"/>
  <c r="A33" i="44"/>
  <c r="B48" i="44" s="1"/>
  <c r="G64" i="44"/>
  <c r="A18" i="8"/>
  <c r="G22" i="32"/>
  <c r="A84" i="46"/>
  <c r="A85" i="46" s="1"/>
  <c r="A86" i="46" s="1"/>
  <c r="A87" i="46" s="1"/>
  <c r="A37" i="7"/>
  <c r="A38" i="7" s="1"/>
  <c r="A39" i="7" s="1"/>
  <c r="A40" i="7" s="1"/>
  <c r="A41" i="7" s="1"/>
  <c r="A42" i="7" s="1"/>
  <c r="A43" i="7" s="1"/>
  <c r="A44" i="7" s="1"/>
  <c r="A45" i="7" s="1"/>
  <c r="A46" i="7" s="1"/>
  <c r="A54" i="12"/>
  <c r="B40" i="31"/>
  <c r="B35" i="31"/>
  <c r="A10" i="31"/>
  <c r="A22" i="1"/>
  <c r="A23" i="1" s="1"/>
  <c r="A24" i="1" s="1"/>
  <c r="I34" i="1" s="1"/>
  <c r="A48" i="11"/>
  <c r="H41" i="12" s="1"/>
  <c r="A18" i="56"/>
  <c r="A19" i="56" s="1"/>
  <c r="A20" i="56" s="1"/>
  <c r="A26" i="22"/>
  <c r="I15" i="1" s="1"/>
  <c r="G26" i="22"/>
  <c r="A29" i="32"/>
  <c r="A30" i="32" s="1"/>
  <c r="A34" i="32" s="1"/>
  <c r="A62" i="8"/>
  <c r="A64" i="8" s="1"/>
  <c r="A26" i="17"/>
  <c r="A27" i="17" s="1"/>
  <c r="A28" i="17" s="1"/>
  <c r="A29" i="17" s="1"/>
  <c r="H65" i="44" l="1"/>
  <c r="H66" i="44" s="1"/>
  <c r="H79" i="44" s="1"/>
  <c r="J55" i="8"/>
  <c r="K83" i="1"/>
  <c r="C29" i="57"/>
  <c r="C31" i="57" s="1"/>
  <c r="C33" i="57" s="1"/>
  <c r="C40" i="57" s="1"/>
  <c r="C43" i="57" s="1"/>
  <c r="C45" i="57" s="1"/>
  <c r="A34" i="57"/>
  <c r="A35" i="57" s="1"/>
  <c r="A36" i="57" s="1"/>
  <c r="A37" i="57" s="1"/>
  <c r="A38" i="57" s="1"/>
  <c r="A39" i="57" s="1"/>
  <c r="A40" i="57" s="1"/>
  <c r="A41" i="57" s="1"/>
  <c r="A42" i="57" s="1"/>
  <c r="A43" i="57" s="1"/>
  <c r="A44" i="57" s="1"/>
  <c r="A45" i="57" s="1"/>
  <c r="G40" i="57"/>
  <c r="G33" i="57"/>
  <c r="G73" i="44"/>
  <c r="I86" i="64"/>
  <c r="D29" i="57"/>
  <c r="D31" i="57" s="1"/>
  <c r="D33" i="57" s="1"/>
  <c r="D40" i="57" s="1"/>
  <c r="D43" i="57" s="1"/>
  <c r="D45" i="57" s="1"/>
  <c r="B10" i="31" s="1"/>
  <c r="H116" i="46"/>
  <c r="G116" i="46" s="1"/>
  <c r="H118" i="46"/>
  <c r="G118" i="46" s="1"/>
  <c r="I119" i="46"/>
  <c r="G119" i="46" s="1"/>
  <c r="I148" i="1"/>
  <c r="G117" i="46"/>
  <c r="N133" i="21"/>
  <c r="H156" i="21"/>
  <c r="M14" i="21"/>
  <c r="M15" i="21" s="1"/>
  <c r="M16" i="21" s="1"/>
  <c r="M17" i="21" s="1"/>
  <c r="M18" i="21" s="1"/>
  <c r="M19" i="21" s="1"/>
  <c r="M20" i="21" s="1"/>
  <c r="M21" i="21" s="1"/>
  <c r="M22" i="21" s="1"/>
  <c r="M23" i="21" s="1"/>
  <c r="K63" i="1"/>
  <c r="F156" i="21"/>
  <c r="L14" i="21"/>
  <c r="L15" i="21" s="1"/>
  <c r="L16" i="21" s="1"/>
  <c r="L17" i="21" s="1"/>
  <c r="F135" i="46"/>
  <c r="H135" i="46" s="1"/>
  <c r="A47" i="7"/>
  <c r="A48" i="7" s="1"/>
  <c r="G26" i="26"/>
  <c r="G50" i="22"/>
  <c r="F28" i="54"/>
  <c r="G59" i="21"/>
  <c r="G62" i="4"/>
  <c r="G54" i="22"/>
  <c r="G24" i="22"/>
  <c r="G52" i="21"/>
  <c r="G57" i="4"/>
  <c r="I55" i="1"/>
  <c r="A16" i="2"/>
  <c r="A17" i="2" s="1"/>
  <c r="A18" i="2" s="1"/>
  <c r="A19" i="2" s="1"/>
  <c r="A20" i="2" s="1"/>
  <c r="A21" i="2" s="1"/>
  <c r="A22" i="2" s="1"/>
  <c r="K83" i="46"/>
  <c r="G30" i="32"/>
  <c r="G45" i="57"/>
  <c r="G43" i="57"/>
  <c r="G27" i="26"/>
  <c r="A55" i="12"/>
  <c r="A56" i="12" s="1"/>
  <c r="A57" i="12" s="1"/>
  <c r="A58" i="12" s="1"/>
  <c r="A59" i="12" s="1"/>
  <c r="H62" i="8" s="1"/>
  <c r="K156" i="21"/>
  <c r="N119" i="21"/>
  <c r="N115" i="21"/>
  <c r="E123" i="21"/>
  <c r="E147" i="21" s="1"/>
  <c r="G156" i="21"/>
  <c r="G13" i="21"/>
  <c r="G14" i="21" s="1"/>
  <c r="G15" i="21" s="1"/>
  <c r="G16" i="21" s="1"/>
  <c r="G17" i="21" s="1"/>
  <c r="G18" i="21" s="1"/>
  <c r="G19" i="21" s="1"/>
  <c r="G20" i="21" s="1"/>
  <c r="G21" i="21" s="1"/>
  <c r="G22" i="21" s="1"/>
  <c r="G23" i="21" s="1"/>
  <c r="K14" i="21"/>
  <c r="K15" i="21" s="1"/>
  <c r="K16" i="21" s="1"/>
  <c r="K17" i="21" s="1"/>
  <c r="K18" i="21" s="1"/>
  <c r="K19" i="21" s="1"/>
  <c r="K20" i="21" s="1"/>
  <c r="K21" i="21" s="1"/>
  <c r="K22" i="21" s="1"/>
  <c r="K23" i="21" s="1"/>
  <c r="N136" i="21"/>
  <c r="N103" i="21"/>
  <c r="M156" i="21"/>
  <c r="I13" i="21"/>
  <c r="I156" i="21"/>
  <c r="F14" i="21"/>
  <c r="F15" i="21" s="1"/>
  <c r="F16" i="21" s="1"/>
  <c r="F17" i="21" s="1"/>
  <c r="F18" i="21" s="1"/>
  <c r="F19" i="21" s="1"/>
  <c r="F20" i="21" s="1"/>
  <c r="F21" i="21" s="1"/>
  <c r="F22" i="21" s="1"/>
  <c r="F23" i="21" s="1"/>
  <c r="N121" i="21"/>
  <c r="N117" i="21"/>
  <c r="H14" i="21"/>
  <c r="H15" i="21" s="1"/>
  <c r="H16" i="21" s="1"/>
  <c r="H17" i="21" s="1"/>
  <c r="H18" i="21" s="1"/>
  <c r="H19" i="21" s="1"/>
  <c r="H20" i="21" s="1"/>
  <c r="H21" i="21" s="1"/>
  <c r="H22" i="21" s="1"/>
  <c r="H23" i="21" s="1"/>
  <c r="J13" i="21"/>
  <c r="J14" i="21" s="1"/>
  <c r="J15" i="21" s="1"/>
  <c r="J16" i="21" s="1"/>
  <c r="J17" i="21" s="1"/>
  <c r="J18" i="21" s="1"/>
  <c r="J19" i="21" s="1"/>
  <c r="J20" i="21" s="1"/>
  <c r="J21" i="21" s="1"/>
  <c r="J22" i="21" s="1"/>
  <c r="J23" i="21" s="1"/>
  <c r="J25" i="21" s="1"/>
  <c r="J156" i="21"/>
  <c r="L156" i="21"/>
  <c r="B185" i="71"/>
  <c r="B188" i="71"/>
  <c r="J62" i="46"/>
  <c r="J83" i="46" s="1"/>
  <c r="F26" i="71"/>
  <c r="D167" i="46"/>
  <c r="D170" i="46" s="1"/>
  <c r="H166" i="46"/>
  <c r="G166" i="46" s="1"/>
  <c r="C166" i="46"/>
  <c r="A49" i="7"/>
  <c r="A50" i="7" s="1"/>
  <c r="A51" i="7" s="1"/>
  <c r="A52" i="7" s="1"/>
  <c r="A53" i="7" s="1"/>
  <c r="A54" i="7" s="1"/>
  <c r="A55" i="7" s="1"/>
  <c r="F64" i="71"/>
  <c r="A31" i="71"/>
  <c r="A32" i="71" s="1"/>
  <c r="A27" i="22"/>
  <c r="H12" i="8" s="1"/>
  <c r="A26" i="1"/>
  <c r="A30" i="17"/>
  <c r="A68" i="8"/>
  <c r="G68" i="8"/>
  <c r="H64" i="8"/>
  <c r="A35" i="32"/>
  <c r="A36" i="32" s="1"/>
  <c r="A40" i="32" s="1"/>
  <c r="A21" i="56"/>
  <c r="A22" i="56" s="1"/>
  <c r="A23" i="56" s="1"/>
  <c r="A24" i="56" s="1"/>
  <c r="A25" i="56" s="1"/>
  <c r="A26" i="56" s="1"/>
  <c r="A49" i="11"/>
  <c r="A50" i="11" s="1"/>
  <c r="A51" i="11" s="1"/>
  <c r="A60" i="11" s="1"/>
  <c r="I24" i="1"/>
  <c r="B41" i="31"/>
  <c r="B36" i="31"/>
  <c r="A18" i="31"/>
  <c r="E40" i="7"/>
  <c r="A97" i="46"/>
  <c r="A98" i="46" s="1"/>
  <c r="A99" i="46" s="1"/>
  <c r="A100" i="46" s="1"/>
  <c r="A101" i="46" s="1"/>
  <c r="A102" i="46" s="1"/>
  <c r="A103" i="46" s="1"/>
  <c r="A104" i="46" s="1"/>
  <c r="A105" i="46" s="1"/>
  <c r="A106" i="46" s="1"/>
  <c r="A107" i="46" s="1"/>
  <c r="A108" i="46" s="1"/>
  <c r="A109" i="46" s="1"/>
  <c r="A110" i="46" s="1"/>
  <c r="A111" i="46" s="1"/>
  <c r="A112" i="46" s="1"/>
  <c r="A113" i="46" s="1"/>
  <c r="A114" i="46" s="1"/>
  <c r="A115" i="46" s="1"/>
  <c r="A116" i="46" s="1"/>
  <c r="A117" i="46" s="1"/>
  <c r="A118" i="46" s="1"/>
  <c r="A119" i="46" s="1"/>
  <c r="A120" i="46" s="1"/>
  <c r="A121" i="46" s="1"/>
  <c r="A122" i="46" s="1"/>
  <c r="A123" i="46" s="1"/>
  <c r="A124" i="46" s="1"/>
  <c r="A125" i="46" s="1"/>
  <c r="A126" i="46" s="1"/>
  <c r="A127" i="46" s="1"/>
  <c r="A128" i="46" s="1"/>
  <c r="A129" i="46" s="1"/>
  <c r="A130" i="46" s="1"/>
  <c r="A131" i="46" s="1"/>
  <c r="A132" i="46" s="1"/>
  <c r="A133" i="46" s="1"/>
  <c r="A134" i="46" s="1"/>
  <c r="A135" i="46" s="1"/>
  <c r="A136" i="46" s="1"/>
  <c r="A137" i="46" s="1"/>
  <c r="A138" i="46" s="1"/>
  <c r="A139" i="46" s="1"/>
  <c r="A140" i="46" s="1"/>
  <c r="A141" i="46" s="1"/>
  <c r="A142" i="46" s="1"/>
  <c r="A143" i="46" s="1"/>
  <c r="A144" i="46" s="1"/>
  <c r="A145" i="46" s="1"/>
  <c r="A146" i="46" s="1"/>
  <c r="A147" i="46" s="1"/>
  <c r="A148" i="46" s="1"/>
  <c r="A149" i="46" s="1"/>
  <c r="A19" i="8"/>
  <c r="A20" i="8" s="1"/>
  <c r="A21" i="8" s="1"/>
  <c r="A34" i="44"/>
  <c r="G80" i="44"/>
  <c r="A29" i="26"/>
  <c r="G29" i="26"/>
  <c r="C167" i="46" l="1"/>
  <c r="C170" i="46" s="1"/>
  <c r="K75" i="1"/>
  <c r="K80" i="1" s="1"/>
  <c r="B9" i="31"/>
  <c r="A33" i="71"/>
  <c r="A34" i="71" s="1"/>
  <c r="F65" i="71" s="1"/>
  <c r="C36" i="71"/>
  <c r="A46" i="57"/>
  <c r="A47" i="57" s="1"/>
  <c r="G9" i="31"/>
  <c r="G10" i="31"/>
  <c r="A28" i="1"/>
  <c r="A30" i="1" s="1"/>
  <c r="A32" i="1" s="1"/>
  <c r="A34" i="1" s="1"/>
  <c r="I115" i="1" s="1"/>
  <c r="J204" i="46"/>
  <c r="H54" i="12"/>
  <c r="F68" i="12"/>
  <c r="I135" i="46"/>
  <c r="G135" i="46" s="1"/>
  <c r="E154" i="21"/>
  <c r="N154" i="21" s="1"/>
  <c r="E153" i="21"/>
  <c r="N153" i="21" s="1"/>
  <c r="E48" i="7"/>
  <c r="E23" i="2"/>
  <c r="A23" i="2"/>
  <c r="J207" i="46"/>
  <c r="F127" i="46" s="1"/>
  <c r="E155" i="21"/>
  <c r="N155" i="21" s="1"/>
  <c r="L18" i="21"/>
  <c r="L19" i="21" s="1"/>
  <c r="L20" i="21" s="1"/>
  <c r="L21" i="21" s="1"/>
  <c r="L22" i="21" s="1"/>
  <c r="L23" i="21" s="1"/>
  <c r="L25" i="21" s="1"/>
  <c r="E149" i="21"/>
  <c r="N149" i="21" s="1"/>
  <c r="E151" i="21"/>
  <c r="N151" i="21" s="1"/>
  <c r="E144" i="21"/>
  <c r="E13" i="21" s="1"/>
  <c r="B109" i="12"/>
  <c r="A68" i="12"/>
  <c r="E146" i="21"/>
  <c r="E145" i="21"/>
  <c r="N145" i="21" s="1"/>
  <c r="E150" i="21"/>
  <c r="N150" i="21" s="1"/>
  <c r="N123" i="21"/>
  <c r="F25" i="21"/>
  <c r="N147" i="21"/>
  <c r="G25" i="21"/>
  <c r="K25" i="21"/>
  <c r="E148" i="21"/>
  <c r="E152" i="21"/>
  <c r="H25" i="21"/>
  <c r="I14" i="21"/>
  <c r="I15" i="21" s="1"/>
  <c r="I16" i="21" s="1"/>
  <c r="I17" i="21" s="1"/>
  <c r="I18" i="21" s="1"/>
  <c r="I19" i="21" s="1"/>
  <c r="I20" i="21" s="1"/>
  <c r="I21" i="21" s="1"/>
  <c r="I22" i="21" s="1"/>
  <c r="I23" i="21" s="1"/>
  <c r="M25" i="21"/>
  <c r="A19" i="31"/>
  <c r="A20" i="31" s="1"/>
  <c r="A22" i="31" s="1"/>
  <c r="A56" i="7"/>
  <c r="A57" i="7" s="1"/>
  <c r="A58" i="7" s="1"/>
  <c r="A59" i="7" s="1"/>
  <c r="A60" i="7" s="1"/>
  <c r="A61" i="7" s="1"/>
  <c r="E55" i="7" s="1"/>
  <c r="B189" i="71"/>
  <c r="B186" i="71"/>
  <c r="A35" i="71"/>
  <c r="A36" i="71" s="1"/>
  <c r="A23" i="8"/>
  <c r="H29" i="8"/>
  <c r="A30" i="26"/>
  <c r="I125" i="1" s="1"/>
  <c r="G30" i="26"/>
  <c r="H21" i="8"/>
  <c r="D26" i="56"/>
  <c r="G36" i="32"/>
  <c r="A69" i="8"/>
  <c r="A31" i="17"/>
  <c r="A34" i="22"/>
  <c r="A41" i="44"/>
  <c r="A42" i="44" s="1"/>
  <c r="A157" i="46"/>
  <c r="A158" i="46" s="1"/>
  <c r="A159" i="46" s="1"/>
  <c r="A160" i="46" s="1"/>
  <c r="A161" i="46" s="1"/>
  <c r="A162" i="46" s="1"/>
  <c r="A163" i="46" s="1"/>
  <c r="A164" i="46" s="1"/>
  <c r="A165" i="46" s="1"/>
  <c r="A166" i="46" s="1"/>
  <c r="A167" i="46" s="1"/>
  <c r="A168" i="46" s="1"/>
  <c r="A169" i="46" s="1"/>
  <c r="A170" i="46" s="1"/>
  <c r="I124" i="1" s="1"/>
  <c r="A24" i="31"/>
  <c r="A27" i="31" s="1"/>
  <c r="A61" i="11"/>
  <c r="A27" i="56"/>
  <c r="A28" i="56" s="1"/>
  <c r="D28" i="56"/>
  <c r="A41" i="32"/>
  <c r="A42" i="32" s="1"/>
  <c r="K78" i="1" l="1"/>
  <c r="K79" i="1"/>
  <c r="K89" i="1" s="1"/>
  <c r="A39" i="1"/>
  <c r="I35" i="1"/>
  <c r="G40" i="32"/>
  <c r="G14" i="32"/>
  <c r="G34" i="32"/>
  <c r="G28" i="32"/>
  <c r="G20" i="32"/>
  <c r="J118" i="46"/>
  <c r="J117" i="46"/>
  <c r="J116" i="46"/>
  <c r="J119" i="46"/>
  <c r="E20" i="2"/>
  <c r="A37" i="71"/>
  <c r="F34" i="71"/>
  <c r="H55" i="12"/>
  <c r="F69" i="12"/>
  <c r="F93" i="12"/>
  <c r="E97" i="8"/>
  <c r="E14" i="21"/>
  <c r="N14" i="21" s="1"/>
  <c r="N144" i="21"/>
  <c r="A35" i="22"/>
  <c r="A36" i="22" s="1"/>
  <c r="A37" i="22" s="1"/>
  <c r="A38" i="22" s="1"/>
  <c r="A39" i="22" s="1"/>
  <c r="A40" i="22" s="1"/>
  <c r="A41" i="22" s="1"/>
  <c r="A42" i="22" s="1"/>
  <c r="A43" i="22" s="1"/>
  <c r="A44" i="22" s="1"/>
  <c r="A45" i="22" s="1"/>
  <c r="A46" i="22" s="1"/>
  <c r="G49" i="22" s="1"/>
  <c r="A24" i="2"/>
  <c r="E7" i="2"/>
  <c r="K90" i="1"/>
  <c r="H127" i="46"/>
  <c r="I127" i="46"/>
  <c r="I125" i="46"/>
  <c r="H125" i="46"/>
  <c r="A70" i="8"/>
  <c r="G42" i="32"/>
  <c r="A34" i="56"/>
  <c r="A35" i="56" s="1"/>
  <c r="A36" i="56" s="1"/>
  <c r="A37" i="56" s="1"/>
  <c r="A38" i="56" s="1"/>
  <c r="B150" i="65"/>
  <c r="E63" i="7"/>
  <c r="A69" i="12"/>
  <c r="A70" i="12" s="1"/>
  <c r="A71" i="12" s="1"/>
  <c r="A81" i="12" s="1"/>
  <c r="A82" i="12" s="1"/>
  <c r="A83" i="12" s="1"/>
  <c r="A84" i="12" s="1"/>
  <c r="A85" i="12" s="1"/>
  <c r="A86" i="12" s="1"/>
  <c r="N152" i="21"/>
  <c r="N148" i="21"/>
  <c r="N146" i="21"/>
  <c r="E156" i="21"/>
  <c r="N13" i="21"/>
  <c r="I25" i="21"/>
  <c r="B38" i="31"/>
  <c r="H27" i="31"/>
  <c r="G15" i="12"/>
  <c r="G17" i="12" s="1"/>
  <c r="A62" i="7"/>
  <c r="A63" i="7" s="1"/>
  <c r="E59" i="7"/>
  <c r="A38" i="71"/>
  <c r="A41" i="71" s="1"/>
  <c r="A46" i="71" s="1"/>
  <c r="A47" i="71" s="1"/>
  <c r="A48" i="71" s="1"/>
  <c r="A171" i="46"/>
  <c r="B97" i="44"/>
  <c r="A43" i="44"/>
  <c r="A37" i="26"/>
  <c r="G77" i="26" s="1"/>
  <c r="A62" i="11"/>
  <c r="B171" i="46"/>
  <c r="B98" i="44"/>
  <c r="A40" i="1"/>
  <c r="A41" i="1" s="1"/>
  <c r="A32" i="17"/>
  <c r="G70" i="8"/>
  <c r="A24" i="8"/>
  <c r="G91" i="12" s="1"/>
  <c r="K88" i="1" l="1"/>
  <c r="K91" i="1" s="1"/>
  <c r="D25" i="71" s="1"/>
  <c r="D26" i="71" s="1"/>
  <c r="K81" i="1"/>
  <c r="E96" i="8"/>
  <c r="E103" i="8" s="1"/>
  <c r="J42" i="8" s="1"/>
  <c r="E95" i="8"/>
  <c r="H56" i="12"/>
  <c r="F70" i="12"/>
  <c r="E15" i="21"/>
  <c r="N15" i="21" s="1"/>
  <c r="E64" i="7"/>
  <c r="E69" i="7"/>
  <c r="E25" i="2"/>
  <c r="A25" i="2"/>
  <c r="G127" i="46"/>
  <c r="G125" i="46"/>
  <c r="A71" i="8"/>
  <c r="A72" i="8" s="1"/>
  <c r="A73" i="8" s="1"/>
  <c r="H14" i="65" s="1"/>
  <c r="A25" i="8"/>
  <c r="H30" i="8" s="1"/>
  <c r="G53" i="22"/>
  <c r="A64" i="7"/>
  <c r="A65" i="7" s="1"/>
  <c r="B154" i="65"/>
  <c r="B110" i="12"/>
  <c r="A90" i="12"/>
  <c r="N156" i="21"/>
  <c r="E83" i="12"/>
  <c r="F83" i="12" s="1"/>
  <c r="E82" i="12"/>
  <c r="F82" i="12" s="1"/>
  <c r="E81" i="12"/>
  <c r="F81" i="12" s="1"/>
  <c r="K93" i="1"/>
  <c r="I41" i="1"/>
  <c r="D51" i="7"/>
  <c r="G39" i="12"/>
  <c r="G40" i="12"/>
  <c r="G41" i="12"/>
  <c r="D41" i="71"/>
  <c r="G55" i="12"/>
  <c r="G56" i="12"/>
  <c r="G54" i="12"/>
  <c r="A53" i="71"/>
  <c r="A54" i="71" s="1"/>
  <c r="A55" i="71" s="1"/>
  <c r="F66" i="71"/>
  <c r="A33" i="17"/>
  <c r="A34" i="17" s="1"/>
  <c r="A35" i="17" s="1"/>
  <c r="A36" i="17" s="1"/>
  <c r="A37" i="17" s="1"/>
  <c r="A38" i="17" s="1"/>
  <c r="A39" i="17" s="1"/>
  <c r="A40" i="17" s="1"/>
  <c r="A41" i="17" s="1"/>
  <c r="A42" i="17" s="1"/>
  <c r="A43" i="17" s="1"/>
  <c r="A44" i="17" s="1"/>
  <c r="A45" i="17" s="1"/>
  <c r="A46" i="17" s="1"/>
  <c r="A47" i="17" s="1"/>
  <c r="A48" i="17" s="1"/>
  <c r="A49" i="17" s="1"/>
  <c r="A50" i="17" s="1"/>
  <c r="A51" i="17" s="1"/>
  <c r="G44" i="44"/>
  <c r="A44" i="44"/>
  <c r="A43" i="1"/>
  <c r="A44" i="1" s="1"/>
  <c r="A49" i="22"/>
  <c r="A63" i="11"/>
  <c r="A64" i="11" s="1"/>
  <c r="A65" i="11" s="1"/>
  <c r="A72" i="11" s="1"/>
  <c r="A73" i="11" s="1"/>
  <c r="A74" i="11" s="1"/>
  <c r="A75" i="11" s="1"/>
  <c r="A76" i="11" s="1"/>
  <c r="A77" i="11" s="1"/>
  <c r="A78" i="11" s="1"/>
  <c r="A79" i="11" s="1"/>
  <c r="A80" i="11" s="1"/>
  <c r="A81" i="11" s="1"/>
  <c r="A82" i="11" s="1"/>
  <c r="A83" i="11" s="1"/>
  <c r="A84" i="11" s="1"/>
  <c r="A38" i="26"/>
  <c r="A39" i="26" s="1"/>
  <c r="A40" i="26" s="1"/>
  <c r="A41" i="26" s="1"/>
  <c r="A42" i="26" s="1"/>
  <c r="A43" i="26" s="1"/>
  <c r="C78" i="26" s="1"/>
  <c r="A39" i="56"/>
  <c r="A40" i="56" s="1"/>
  <c r="D21" i="7" l="1"/>
  <c r="E98" i="8"/>
  <c r="J33" i="8" s="1"/>
  <c r="E25" i="71"/>
  <c r="E26" i="71" s="1"/>
  <c r="D94" i="71" s="1"/>
  <c r="D32" i="71"/>
  <c r="D34" i="71" s="1"/>
  <c r="E77" i="71" s="1"/>
  <c r="E16" i="21"/>
  <c r="N16" i="21" s="1"/>
  <c r="A26" i="2"/>
  <c r="A27" i="2" s="1"/>
  <c r="A28" i="2" s="1"/>
  <c r="G73" i="8"/>
  <c r="G72" i="8"/>
  <c r="E65" i="7"/>
  <c r="D40" i="56"/>
  <c r="A66" i="7"/>
  <c r="A67" i="7" s="1"/>
  <c r="A68" i="7" s="1"/>
  <c r="A69" i="7" s="1"/>
  <c r="A70" i="7" s="1"/>
  <c r="A50" i="22"/>
  <c r="A51" i="22" s="1"/>
  <c r="H13" i="8" s="1"/>
  <c r="F86" i="12"/>
  <c r="A91" i="12"/>
  <c r="A92" i="12" s="1"/>
  <c r="H46" i="11"/>
  <c r="H47" i="11"/>
  <c r="H48" i="11"/>
  <c r="A52" i="17"/>
  <c r="A53" i="17" s="1"/>
  <c r="A54" i="17" s="1"/>
  <c r="A55" i="17" s="1"/>
  <c r="E14" i="17"/>
  <c r="D22" i="7"/>
  <c r="E32" i="71"/>
  <c r="E34" i="71" s="1"/>
  <c r="E95" i="71" s="1"/>
  <c r="D48" i="71"/>
  <c r="E55" i="71"/>
  <c r="E48" i="71"/>
  <c r="D55" i="71"/>
  <c r="D55" i="7"/>
  <c r="D59" i="7"/>
  <c r="G59" i="12"/>
  <c r="J62" i="8" s="1"/>
  <c r="G44" i="12"/>
  <c r="K135" i="1" s="1"/>
  <c r="D81" i="71"/>
  <c r="D82" i="71"/>
  <c r="D83" i="71"/>
  <c r="D80" i="71"/>
  <c r="D64" i="71"/>
  <c r="D85" i="71"/>
  <c r="D77" i="71"/>
  <c r="D78" i="71"/>
  <c r="D79" i="71"/>
  <c r="D84" i="71"/>
  <c r="A56" i="71"/>
  <c r="A57" i="71" s="1"/>
  <c r="F67" i="71"/>
  <c r="A41" i="56"/>
  <c r="A42" i="56" s="1"/>
  <c r="E21" i="2" s="1"/>
  <c r="D42" i="56"/>
  <c r="A85" i="11"/>
  <c r="G86" i="44"/>
  <c r="A55" i="44"/>
  <c r="A44" i="26"/>
  <c r="A53" i="22"/>
  <c r="A45" i="1"/>
  <c r="E46" i="17"/>
  <c r="E83" i="71" l="1"/>
  <c r="G83" i="71" s="1"/>
  <c r="H83" i="71" s="1"/>
  <c r="D25" i="7"/>
  <c r="E112" i="71" s="1"/>
  <c r="E113" i="71" s="1"/>
  <c r="E114" i="71" s="1"/>
  <c r="E115" i="71" s="1"/>
  <c r="E64" i="71"/>
  <c r="E80" i="71"/>
  <c r="G80" i="71" s="1"/>
  <c r="H80" i="71" s="1"/>
  <c r="E84" i="71"/>
  <c r="D176" i="71" s="1"/>
  <c r="D97" i="71"/>
  <c r="D65" i="71"/>
  <c r="E79" i="71"/>
  <c r="D153" i="71" s="1"/>
  <c r="D102" i="71"/>
  <c r="D98" i="71"/>
  <c r="D96" i="71"/>
  <c r="D100" i="71"/>
  <c r="D95" i="71"/>
  <c r="D101" i="71"/>
  <c r="D99" i="71"/>
  <c r="E81" i="71"/>
  <c r="D155" i="71" s="1"/>
  <c r="E82" i="71"/>
  <c r="D174" i="71" s="1"/>
  <c r="E78" i="71"/>
  <c r="E85" i="71"/>
  <c r="D159" i="71" s="1"/>
  <c r="C172" i="15"/>
  <c r="I149" i="15"/>
  <c r="I102" i="15"/>
  <c r="I75" i="15"/>
  <c r="A64" i="71"/>
  <c r="F48" i="71"/>
  <c r="F55" i="71"/>
  <c r="E17" i="21"/>
  <c r="E18" i="21" s="1"/>
  <c r="E101" i="71"/>
  <c r="E97" i="71"/>
  <c r="E99" i="71"/>
  <c r="E94" i="71"/>
  <c r="E96" i="71"/>
  <c r="E100" i="71"/>
  <c r="E102" i="71"/>
  <c r="E65" i="71"/>
  <c r="E98" i="71"/>
  <c r="E28" i="2"/>
  <c r="A29" i="2"/>
  <c r="A30" i="2" s="1"/>
  <c r="A31" i="2" s="1"/>
  <c r="A32" i="2" s="1"/>
  <c r="A33" i="2" s="1"/>
  <c r="I40" i="1"/>
  <c r="G28" i="26"/>
  <c r="A56" i="17"/>
  <c r="A57" i="17" s="1"/>
  <c r="A58" i="17" s="1"/>
  <c r="D47" i="7"/>
  <c r="D48" i="7" s="1"/>
  <c r="G92" i="12"/>
  <c r="A71" i="7"/>
  <c r="E71" i="7"/>
  <c r="A45" i="26"/>
  <c r="A46" i="26" s="1"/>
  <c r="A47" i="26" s="1"/>
  <c r="A48" i="26" s="1"/>
  <c r="A49" i="26" s="1"/>
  <c r="A50" i="26" s="1"/>
  <c r="C72" i="26"/>
  <c r="A54" i="22"/>
  <c r="A55" i="22" s="1"/>
  <c r="I16" i="1" s="1"/>
  <c r="G51" i="22"/>
  <c r="A93" i="12"/>
  <c r="A94" i="12" s="1"/>
  <c r="G98" i="12" s="1"/>
  <c r="A94" i="11"/>
  <c r="H61" i="11"/>
  <c r="H60" i="11"/>
  <c r="H62" i="11"/>
  <c r="A95" i="11"/>
  <c r="A96" i="11" s="1"/>
  <c r="A97" i="11" s="1"/>
  <c r="A98" i="11" s="1"/>
  <c r="A99" i="11" s="1"/>
  <c r="A100" i="11" s="1"/>
  <c r="A101" i="11" s="1"/>
  <c r="A102" i="11" s="1"/>
  <c r="A103" i="11" s="1"/>
  <c r="A104" i="11" s="1"/>
  <c r="A105" i="11" s="1"/>
  <c r="A106" i="11" s="1"/>
  <c r="A107" i="11" s="1"/>
  <c r="A117" i="11" s="1"/>
  <c r="A65" i="71"/>
  <c r="F78" i="71"/>
  <c r="D67" i="71"/>
  <c r="F95" i="71"/>
  <c r="E67" i="71"/>
  <c r="D88" i="71"/>
  <c r="F94" i="71"/>
  <c r="E66" i="71"/>
  <c r="F77" i="71"/>
  <c r="G77" i="71" s="1"/>
  <c r="D66" i="71"/>
  <c r="E47" i="17"/>
  <c r="A56" i="44"/>
  <c r="A57" i="44" s="1"/>
  <c r="G59" i="44" s="1"/>
  <c r="A46" i="1"/>
  <c r="A47" i="1" s="1"/>
  <c r="A48" i="1" s="1"/>
  <c r="D175" i="71" l="1"/>
  <c r="D157" i="71"/>
  <c r="D128" i="71"/>
  <c r="E177" i="71" s="1"/>
  <c r="D127" i="71"/>
  <c r="E158" i="71" s="1"/>
  <c r="H41" i="44"/>
  <c r="H44" i="44" s="1"/>
  <c r="H86" i="44" s="1"/>
  <c r="D83" i="7"/>
  <c r="D84" i="7" s="1"/>
  <c r="D126" i="71"/>
  <c r="E157" i="71" s="1"/>
  <c r="E138" i="71"/>
  <c r="D122" i="71"/>
  <c r="E171" i="71" s="1"/>
  <c r="D125" i="71"/>
  <c r="E174" i="71" s="1"/>
  <c r="F174" i="71" s="1"/>
  <c r="G174" i="71" s="1"/>
  <c r="D123" i="71"/>
  <c r="E154" i="71" s="1"/>
  <c r="D120" i="71"/>
  <c r="E169" i="71" s="1"/>
  <c r="D121" i="71"/>
  <c r="E152" i="71" s="1"/>
  <c r="D124" i="71"/>
  <c r="E155" i="71" s="1"/>
  <c r="F155" i="71" s="1"/>
  <c r="G155" i="71" s="1"/>
  <c r="G100" i="71"/>
  <c r="H100" i="71" s="1"/>
  <c r="G97" i="71"/>
  <c r="H97" i="71" s="1"/>
  <c r="G84" i="71"/>
  <c r="H84" i="71" s="1"/>
  <c r="D171" i="71"/>
  <c r="D154" i="71"/>
  <c r="G79" i="71"/>
  <c r="H79" i="71" s="1"/>
  <c r="D172" i="71"/>
  <c r="G82" i="71"/>
  <c r="H82" i="71" s="1"/>
  <c r="D158" i="71"/>
  <c r="G81" i="71"/>
  <c r="H81" i="71" s="1"/>
  <c r="D173" i="71"/>
  <c r="G96" i="71"/>
  <c r="H96" i="71" s="1"/>
  <c r="G98" i="71"/>
  <c r="H98" i="71" s="1"/>
  <c r="G101" i="71"/>
  <c r="H101" i="71" s="1"/>
  <c r="D105" i="71"/>
  <c r="D156" i="71"/>
  <c r="G102" i="71"/>
  <c r="H102" i="71" s="1"/>
  <c r="G99" i="71"/>
  <c r="H99" i="71" s="1"/>
  <c r="E88" i="71"/>
  <c r="G85" i="71"/>
  <c r="H85" i="71" s="1"/>
  <c r="D170" i="71"/>
  <c r="D177" i="71"/>
  <c r="C57" i="17"/>
  <c r="A72" i="7"/>
  <c r="A73" i="7" s="1"/>
  <c r="A74" i="7" s="1"/>
  <c r="A75" i="7" s="1"/>
  <c r="A76" i="7" s="1"/>
  <c r="A77" i="7" s="1"/>
  <c r="A78" i="7" s="1"/>
  <c r="A79" i="7" s="1"/>
  <c r="A80" i="7" s="1"/>
  <c r="A81" i="7" s="1"/>
  <c r="A82" i="7" s="1"/>
  <c r="A83" i="7" s="1"/>
  <c r="A84" i="7" s="1"/>
  <c r="A85" i="7" s="1"/>
  <c r="A86" i="7" s="1"/>
  <c r="E88" i="7" s="1"/>
  <c r="N17" i="21"/>
  <c r="A118" i="11"/>
  <c r="A119" i="11" s="1"/>
  <c r="A120" i="11" s="1"/>
  <c r="A121" i="11" s="1"/>
  <c r="A122" i="11" s="1"/>
  <c r="A123" i="11" s="1"/>
  <c r="A124" i="11" s="1"/>
  <c r="A125" i="11" s="1"/>
  <c r="A126" i="11" s="1"/>
  <c r="A127" i="11" s="1"/>
  <c r="A128" i="11" s="1"/>
  <c r="A129" i="11" s="1"/>
  <c r="F69" i="11" s="1"/>
  <c r="B174" i="4"/>
  <c r="D63" i="7"/>
  <c r="D64" i="7" s="1"/>
  <c r="E105" i="71"/>
  <c r="G94" i="71"/>
  <c r="H94" i="71" s="1"/>
  <c r="A87" i="7"/>
  <c r="A88" i="7" s="1"/>
  <c r="A89" i="7" s="1"/>
  <c r="A34" i="2"/>
  <c r="A35" i="2" s="1"/>
  <c r="A36" i="2" s="1"/>
  <c r="C58" i="17"/>
  <c r="I53" i="1"/>
  <c r="G55" i="22"/>
  <c r="A98" i="12"/>
  <c r="G94" i="12"/>
  <c r="E137" i="71"/>
  <c r="N18" i="21"/>
  <c r="E19" i="21"/>
  <c r="A66" i="71"/>
  <c r="D151" i="71"/>
  <c r="D152" i="71"/>
  <c r="E128" i="71"/>
  <c r="E126" i="71"/>
  <c r="E124" i="71"/>
  <c r="E122" i="71"/>
  <c r="E120" i="71"/>
  <c r="E127" i="71"/>
  <c r="E125" i="71"/>
  <c r="E123" i="71"/>
  <c r="E121" i="71"/>
  <c r="D169" i="71"/>
  <c r="G95" i="71"/>
  <c r="H77" i="71"/>
  <c r="G78" i="71"/>
  <c r="E68" i="71"/>
  <c r="E69" i="71" s="1"/>
  <c r="D68" i="71"/>
  <c r="D69" i="71" s="1"/>
  <c r="F88" i="71"/>
  <c r="F105" i="71"/>
  <c r="I44" i="1"/>
  <c r="A58" i="44"/>
  <c r="A59" i="44" s="1"/>
  <c r="G65" i="44"/>
  <c r="A49" i="1"/>
  <c r="A50" i="1" s="1"/>
  <c r="A51" i="1" s="1"/>
  <c r="A52" i="1" s="1"/>
  <c r="C55" i="17" s="1"/>
  <c r="E48" i="17"/>
  <c r="E153" i="71" l="1"/>
  <c r="F153" i="71" s="1"/>
  <c r="G153" i="71" s="1"/>
  <c r="E176" i="71"/>
  <c r="F176" i="71" s="1"/>
  <c r="G176" i="71" s="1"/>
  <c r="E151" i="71"/>
  <c r="F151" i="71" s="1"/>
  <c r="E159" i="71"/>
  <c r="F159" i="71" s="1"/>
  <c r="G159" i="71" s="1"/>
  <c r="E175" i="71"/>
  <c r="F175" i="71" s="1"/>
  <c r="G175" i="71" s="1"/>
  <c r="F157" i="71"/>
  <c r="G157" i="71" s="1"/>
  <c r="E172" i="71"/>
  <c r="D131" i="71"/>
  <c r="E156" i="71"/>
  <c r="F156" i="71" s="1"/>
  <c r="G156" i="71" s="1"/>
  <c r="E173" i="71"/>
  <c r="F173" i="71" s="1"/>
  <c r="G173" i="71" s="1"/>
  <c r="E170" i="71"/>
  <c r="F170" i="71" s="1"/>
  <c r="F154" i="71"/>
  <c r="E73" i="7"/>
  <c r="F171" i="71"/>
  <c r="G171" i="71" s="1"/>
  <c r="F172" i="71"/>
  <c r="G172" i="71" s="1"/>
  <c r="F177" i="71"/>
  <c r="G177" i="71" s="1"/>
  <c r="G88" i="71"/>
  <c r="E89" i="7"/>
  <c r="E79" i="7"/>
  <c r="A137" i="11"/>
  <c r="A138" i="11" s="1"/>
  <c r="A139" i="11" s="1"/>
  <c r="A140" i="11" s="1"/>
  <c r="A141" i="11" s="1"/>
  <c r="A142" i="11" s="1"/>
  <c r="A143" i="11" s="1"/>
  <c r="A144" i="11" s="1"/>
  <c r="A145" i="11" s="1"/>
  <c r="A146" i="11" s="1"/>
  <c r="A147" i="11" s="1"/>
  <c r="A148" i="11" s="1"/>
  <c r="A149" i="11" s="1"/>
  <c r="A157" i="11" s="1"/>
  <c r="D69" i="7"/>
  <c r="G105" i="71"/>
  <c r="D65" i="7"/>
  <c r="A90" i="7"/>
  <c r="A91" i="7" s="1"/>
  <c r="I147" i="1" s="1"/>
  <c r="G89" i="44"/>
  <c r="E35" i="2"/>
  <c r="E36" i="2"/>
  <c r="A37" i="2"/>
  <c r="A38" i="2" s="1"/>
  <c r="A39" i="2" s="1"/>
  <c r="J100" i="46"/>
  <c r="J101" i="46"/>
  <c r="J99" i="46"/>
  <c r="A99" i="12"/>
  <c r="A100" i="12" s="1"/>
  <c r="A101" i="12" s="1"/>
  <c r="A53" i="1"/>
  <c r="A54" i="1" s="1"/>
  <c r="I52" i="1"/>
  <c r="E139" i="71"/>
  <c r="E143" i="71" s="1"/>
  <c r="N19" i="21"/>
  <c r="E20" i="21"/>
  <c r="E131" i="71"/>
  <c r="F158" i="71"/>
  <c r="G158" i="71" s="1"/>
  <c r="G154" i="71"/>
  <c r="F169" i="71"/>
  <c r="D180" i="71"/>
  <c r="F152" i="71"/>
  <c r="G152" i="71" s="1"/>
  <c r="A67" i="71"/>
  <c r="B183" i="71" s="1"/>
  <c r="H78" i="71"/>
  <c r="H88" i="71" s="1"/>
  <c r="H95" i="71"/>
  <c r="H105" i="71" s="1"/>
  <c r="E91" i="7"/>
  <c r="E80" i="7"/>
  <c r="E86" i="7"/>
  <c r="E49" i="17"/>
  <c r="E84" i="7"/>
  <c r="G78" i="44"/>
  <c r="A64" i="44"/>
  <c r="E180" i="71" l="1"/>
  <c r="G170" i="71"/>
  <c r="F180" i="71"/>
  <c r="E162" i="71"/>
  <c r="B187" i="71"/>
  <c r="H69" i="11"/>
  <c r="B190" i="71"/>
  <c r="A158" i="11"/>
  <c r="A159" i="11" s="1"/>
  <c r="A160" i="11" s="1"/>
  <c r="A161" i="11" s="1"/>
  <c r="A162" i="11" s="1"/>
  <c r="A163" i="11" s="1"/>
  <c r="A164" i="11" s="1"/>
  <c r="A165" i="11" s="1"/>
  <c r="A166" i="11" s="1"/>
  <c r="A167" i="11" s="1"/>
  <c r="A168" i="11" s="1"/>
  <c r="A169" i="11" s="1"/>
  <c r="A176" i="11" s="1"/>
  <c r="A177" i="11" s="1"/>
  <c r="A178" i="11" s="1"/>
  <c r="A179" i="11" s="1"/>
  <c r="A180" i="11" s="1"/>
  <c r="A181" i="11" s="1"/>
  <c r="A182" i="11" s="1"/>
  <c r="A183" i="11" s="1"/>
  <c r="A184" i="11" s="1"/>
  <c r="A185" i="11" s="1"/>
  <c r="A186" i="11" s="1"/>
  <c r="A187" i="11" s="1"/>
  <c r="A188" i="11" s="1"/>
  <c r="A195" i="11" s="1"/>
  <c r="A196" i="11" s="1"/>
  <c r="A197" i="11" s="1"/>
  <c r="A198" i="11" s="1"/>
  <c r="A199" i="11" s="1"/>
  <c r="A200" i="11" s="1"/>
  <c r="A201" i="11" s="1"/>
  <c r="A202" i="11" s="1"/>
  <c r="A203" i="11" s="1"/>
  <c r="A204" i="11" s="1"/>
  <c r="A205" i="11" s="1"/>
  <c r="A206" i="11" s="1"/>
  <c r="A207" i="11" s="1"/>
  <c r="A214" i="11" s="1"/>
  <c r="A215" i="11" s="1"/>
  <c r="A216" i="11" s="1"/>
  <c r="A217" i="11" s="1"/>
  <c r="A218" i="11" s="1"/>
  <c r="A219" i="11" s="1"/>
  <c r="A220" i="11" s="1"/>
  <c r="A221" i="11" s="1"/>
  <c r="A222" i="11" s="1"/>
  <c r="A223" i="11" s="1"/>
  <c r="A224" i="11" s="1"/>
  <c r="A225" i="11" s="1"/>
  <c r="A226" i="11" s="1"/>
  <c r="A233" i="11" s="1"/>
  <c r="A234" i="11" s="1"/>
  <c r="A235" i="11" s="1"/>
  <c r="A236" i="11" s="1"/>
  <c r="A237" i="11" s="1"/>
  <c r="A238" i="11" s="1"/>
  <c r="A239" i="11" s="1"/>
  <c r="A240" i="11" s="1"/>
  <c r="A241" i="11" s="1"/>
  <c r="A242" i="11" s="1"/>
  <c r="A243" i="11" s="1"/>
  <c r="A244" i="11" s="1"/>
  <c r="A245" i="11" s="1"/>
  <c r="A252" i="11" s="1"/>
  <c r="A253" i="11" s="1"/>
  <c r="A254" i="11" s="1"/>
  <c r="A255" i="11" s="1"/>
  <c r="A256" i="11" s="1"/>
  <c r="A257" i="11" s="1"/>
  <c r="A258" i="11" s="1"/>
  <c r="A259" i="11" s="1"/>
  <c r="A260" i="11" s="1"/>
  <c r="A261" i="11" s="1"/>
  <c r="A262" i="11" s="1"/>
  <c r="A263" i="11" s="1"/>
  <c r="A264" i="11" s="1"/>
  <c r="A271" i="11" s="1"/>
  <c r="A272" i="11" s="1"/>
  <c r="A273" i="11" s="1"/>
  <c r="A274" i="11" s="1"/>
  <c r="A275" i="11" s="1"/>
  <c r="A276" i="11" s="1"/>
  <c r="A277" i="11" s="1"/>
  <c r="A278" i="11" s="1"/>
  <c r="A279" i="11" s="1"/>
  <c r="A280" i="11" s="1"/>
  <c r="A281" i="11" s="1"/>
  <c r="A282" i="11" s="1"/>
  <c r="A283" i="11" s="1"/>
  <c r="A290" i="11" s="1"/>
  <c r="A291" i="11" s="1"/>
  <c r="A292" i="11" s="1"/>
  <c r="A293" i="11" s="1"/>
  <c r="A294" i="11" s="1"/>
  <c r="A295" i="11" s="1"/>
  <c r="A296" i="11" s="1"/>
  <c r="A297" i="11" s="1"/>
  <c r="A298" i="11" s="1"/>
  <c r="A299" i="11" s="1"/>
  <c r="A300" i="11" s="1"/>
  <c r="A301" i="11" s="1"/>
  <c r="A302" i="11" s="1"/>
  <c r="A307" i="11" s="1"/>
  <c r="A308" i="11" s="1"/>
  <c r="G169" i="71"/>
  <c r="A40" i="2"/>
  <c r="A41" i="2" s="1"/>
  <c r="A42" i="2" s="1"/>
  <c r="I54" i="1"/>
  <c r="G101" i="12"/>
  <c r="A55" i="1"/>
  <c r="A56" i="1" s="1"/>
  <c r="A58" i="1" s="1"/>
  <c r="E142" i="71"/>
  <c r="E144" i="71" s="1"/>
  <c r="N20" i="21"/>
  <c r="E21" i="21"/>
  <c r="F137" i="71"/>
  <c r="A68" i="71"/>
  <c r="B184" i="71" s="1"/>
  <c r="G151" i="71"/>
  <c r="F162" i="71"/>
  <c r="D162" i="71"/>
  <c r="A65" i="44"/>
  <c r="A66" i="44" s="1"/>
  <c r="A67" i="44" s="1"/>
  <c r="A68" i="44" s="1"/>
  <c r="A69" i="44" s="1"/>
  <c r="A70" i="44" s="1"/>
  <c r="G180" i="71" l="1"/>
  <c r="G69" i="11"/>
  <c r="A71" i="44"/>
  <c r="A72" i="44" s="1"/>
  <c r="G25" i="12"/>
  <c r="A309" i="11"/>
  <c r="A312" i="11" s="1"/>
  <c r="A313" i="11" s="1"/>
  <c r="G66" i="44"/>
  <c r="I58" i="1"/>
  <c r="E41" i="2"/>
  <c r="E42" i="2"/>
  <c r="A43" i="2"/>
  <c r="A44" i="2" s="1"/>
  <c r="A45" i="2" s="1"/>
  <c r="J105" i="46"/>
  <c r="I56" i="1"/>
  <c r="E145" i="71"/>
  <c r="D19" i="31" s="1"/>
  <c r="N21" i="21"/>
  <c r="E22" i="21"/>
  <c r="A69" i="71"/>
  <c r="A77" i="71" s="1"/>
  <c r="F69" i="71"/>
  <c r="G162" i="71"/>
  <c r="E51" i="17"/>
  <c r="G79" i="44"/>
  <c r="I129" i="1"/>
  <c r="A63" i="1"/>
  <c r="G72" i="44" l="1"/>
  <c r="A73" i="44"/>
  <c r="A74" i="44" s="1"/>
  <c r="G26" i="12"/>
  <c r="A314" i="11"/>
  <c r="A317" i="11" s="1"/>
  <c r="A318" i="11" s="1"/>
  <c r="A46" i="2"/>
  <c r="A47" i="2" s="1"/>
  <c r="A48" i="2" s="1"/>
  <c r="E19" i="31"/>
  <c r="N22" i="21"/>
  <c r="E23" i="21"/>
  <c r="A78" i="71"/>
  <c r="A79" i="71" s="1"/>
  <c r="A80" i="71" s="1"/>
  <c r="A81" i="71" s="1"/>
  <c r="A82" i="71" s="1"/>
  <c r="A83" i="71" s="1"/>
  <c r="A84" i="71" s="1"/>
  <c r="A85" i="71" s="1"/>
  <c r="A86" i="71" s="1"/>
  <c r="A87" i="71" s="1"/>
  <c r="I88" i="71" s="1"/>
  <c r="A64" i="1"/>
  <c r="G74" i="44" l="1"/>
  <c r="G81" i="44"/>
  <c r="A77" i="44"/>
  <c r="A78" i="44" s="1"/>
  <c r="A79" i="44" s="1"/>
  <c r="A80" i="44" s="1"/>
  <c r="A81" i="44" s="1"/>
  <c r="A82" i="44" s="1"/>
  <c r="G27" i="12"/>
  <c r="A319" i="11"/>
  <c r="A320" i="11" s="1"/>
  <c r="A323" i="11" s="1"/>
  <c r="A324" i="11" s="1"/>
  <c r="A325" i="11" s="1"/>
  <c r="A326" i="11" s="1"/>
  <c r="A327" i="11" s="1"/>
  <c r="A330" i="11" s="1"/>
  <c r="A331" i="11" s="1"/>
  <c r="A332" i="11" s="1"/>
  <c r="A335" i="11" s="1"/>
  <c r="A336" i="11" s="1"/>
  <c r="A337" i="11" s="1"/>
  <c r="A340" i="11" s="1"/>
  <c r="A341" i="11" s="1"/>
  <c r="A342" i="11" s="1"/>
  <c r="A345" i="11" s="1"/>
  <c r="A346" i="11" s="1"/>
  <c r="A347" i="11" s="1"/>
  <c r="A350" i="11" s="1"/>
  <c r="A351" i="11" s="1"/>
  <c r="A352" i="11" s="1"/>
  <c r="A355" i="11" s="1"/>
  <c r="A356" i="11" s="1"/>
  <c r="A357" i="11" s="1"/>
  <c r="A360" i="11" s="1"/>
  <c r="A361" i="11" s="1"/>
  <c r="A362" i="11" s="1"/>
  <c r="A365" i="11" s="1"/>
  <c r="A366" i="11" s="1"/>
  <c r="A367" i="11" s="1"/>
  <c r="E47" i="2"/>
  <c r="E48" i="2"/>
  <c r="A49" i="2"/>
  <c r="A50" i="2" s="1"/>
  <c r="A51" i="2" s="1"/>
  <c r="J106" i="46"/>
  <c r="N23" i="21"/>
  <c r="E25" i="21"/>
  <c r="A88" i="71"/>
  <c r="A94" i="71" s="1"/>
  <c r="B192" i="71"/>
  <c r="A65" i="1"/>
  <c r="G87" i="44" l="1"/>
  <c r="A86" i="44"/>
  <c r="A87" i="44" s="1"/>
  <c r="A88" i="44" s="1"/>
  <c r="A89" i="44" s="1"/>
  <c r="A90" i="44" s="1"/>
  <c r="A91" i="44" s="1"/>
  <c r="A92" i="44" s="1"/>
  <c r="I156" i="1" s="1"/>
  <c r="N25" i="21"/>
  <c r="J18" i="8" s="1"/>
  <c r="A52" i="2"/>
  <c r="A53" i="2" s="1"/>
  <c r="A54" i="2" s="1"/>
  <c r="A95" i="71"/>
  <c r="A96" i="71" s="1"/>
  <c r="A97" i="71" s="1"/>
  <c r="A98" i="71" s="1"/>
  <c r="A99" i="71" s="1"/>
  <c r="A100" i="71" s="1"/>
  <c r="A101" i="71" s="1"/>
  <c r="A102" i="71" s="1"/>
  <c r="A103" i="71" s="1"/>
  <c r="A104" i="71" s="1"/>
  <c r="A105" i="71" s="1"/>
  <c r="A111" i="71" s="1"/>
  <c r="A68" i="1"/>
  <c r="I83" i="1"/>
  <c r="B100" i="44" l="1"/>
  <c r="G92" i="44"/>
  <c r="G90" i="44"/>
  <c r="E54" i="2"/>
  <c r="E53" i="2"/>
  <c r="A55" i="2"/>
  <c r="A56" i="2" s="1"/>
  <c r="A57" i="2" s="1"/>
  <c r="J139" i="46"/>
  <c r="J108" i="46"/>
  <c r="J140" i="46"/>
  <c r="J138" i="46"/>
  <c r="I105" i="71"/>
  <c r="A112" i="71"/>
  <c r="A113" i="71" s="1"/>
  <c r="F114" i="71" s="1"/>
  <c r="A69" i="1"/>
  <c r="A70" i="1" s="1"/>
  <c r="A58" i="2" l="1"/>
  <c r="A59" i="2" s="1"/>
  <c r="A60" i="2" s="1"/>
  <c r="F113" i="71"/>
  <c r="A114" i="71"/>
  <c r="A115" i="71" s="1"/>
  <c r="A120" i="71" s="1"/>
  <c r="F138" i="71"/>
  <c r="A73" i="1"/>
  <c r="I75" i="1" s="1"/>
  <c r="I84" i="1"/>
  <c r="E59" i="2" l="1"/>
  <c r="E60" i="2"/>
  <c r="A61" i="2"/>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J143" i="46"/>
  <c r="J109" i="46"/>
  <c r="F115" i="71"/>
  <c r="A121" i="71"/>
  <c r="A122" i="71" s="1"/>
  <c r="A123" i="71" s="1"/>
  <c r="A124" i="71" s="1"/>
  <c r="A125" i="71" s="1"/>
  <c r="A126" i="71" s="1"/>
  <c r="A127" i="71" s="1"/>
  <c r="A128" i="71" s="1"/>
  <c r="A129" i="71" s="1"/>
  <c r="A130" i="71" s="1"/>
  <c r="A131" i="71" s="1"/>
  <c r="A137" i="71" s="1"/>
  <c r="A75" i="1"/>
  <c r="I80" i="1" s="1"/>
  <c r="A138" i="71" l="1"/>
  <c r="A139" i="71" s="1"/>
  <c r="F131" i="71"/>
  <c r="B193" i="71"/>
  <c r="A78" i="1"/>
  <c r="I78" i="1"/>
  <c r="I79" i="1"/>
  <c r="F139" i="71" l="1"/>
  <c r="A140" i="71"/>
  <c r="A141" i="71" s="1"/>
  <c r="A142" i="71" s="1"/>
  <c r="A143" i="71" s="1"/>
  <c r="A144" i="71" s="1"/>
  <c r="A145" i="71" s="1"/>
  <c r="B37" i="31" s="1"/>
  <c r="A79" i="1"/>
  <c r="I88" i="1"/>
  <c r="A151" i="71" l="1"/>
  <c r="A152" i="71" s="1"/>
  <c r="A153" i="71" s="1"/>
  <c r="A154" i="71" s="1"/>
  <c r="A155" i="71" s="1"/>
  <c r="A156" i="71" s="1"/>
  <c r="A157" i="71" s="1"/>
  <c r="A158" i="71" s="1"/>
  <c r="A159" i="71" s="1"/>
  <c r="A160" i="71" s="1"/>
  <c r="A161" i="71" s="1"/>
  <c r="A162" i="71" s="1"/>
  <c r="A169" i="71" s="1"/>
  <c r="A170" i="71" s="1"/>
  <c r="A171" i="71" s="1"/>
  <c r="A172" i="71" s="1"/>
  <c r="A173" i="71" s="1"/>
  <c r="A174" i="71" s="1"/>
  <c r="A175" i="71" s="1"/>
  <c r="A176" i="71" s="1"/>
  <c r="A177" i="71" s="1"/>
  <c r="A178" i="71" s="1"/>
  <c r="A179" i="71" s="1"/>
  <c r="A180" i="71" s="1"/>
  <c r="F142" i="71"/>
  <c r="F145" i="71"/>
  <c r="F144" i="71"/>
  <c r="F143" i="71"/>
  <c r="A80" i="1"/>
  <c r="F97" i="8" s="1"/>
  <c r="I89" i="1"/>
  <c r="G93" i="12" l="1"/>
  <c r="I15" i="12"/>
  <c r="A83" i="1"/>
  <c r="A84" i="1" s="1"/>
  <c r="A85" i="1" s="1"/>
  <c r="I81" i="1"/>
  <c r="G100" i="12" l="1"/>
  <c r="F84" i="8"/>
  <c r="I90" i="1"/>
  <c r="E65" i="2"/>
  <c r="E66" i="2"/>
  <c r="A88" i="1"/>
  <c r="A89" i="1" s="1"/>
  <c r="F96" i="8" s="1"/>
  <c r="E21" i="7" l="1"/>
  <c r="F95" i="8"/>
  <c r="J121" i="46"/>
  <c r="A90" i="1"/>
  <c r="I93" i="1" s="1"/>
  <c r="E71" i="2" l="1"/>
  <c r="I91" i="1"/>
  <c r="A91" i="1"/>
  <c r="F25" i="71" l="1"/>
  <c r="E72" i="2"/>
  <c r="J122" i="46"/>
  <c r="A93" i="1"/>
  <c r="I95" i="1"/>
  <c r="F32" i="71" l="1"/>
  <c r="E22" i="7"/>
  <c r="I116" i="1"/>
  <c r="E77" i="2"/>
  <c r="A95" i="1"/>
  <c r="E78" i="2" l="1"/>
  <c r="J132" i="46"/>
  <c r="A100" i="1"/>
  <c r="I131" i="1"/>
  <c r="A101" i="1" l="1"/>
  <c r="A102" i="1" s="1"/>
  <c r="F33" i="71" l="1"/>
  <c r="I16" i="12"/>
  <c r="H43" i="8"/>
  <c r="E23" i="7"/>
  <c r="G56" i="44"/>
  <c r="I117" i="1"/>
  <c r="E84" i="2"/>
  <c r="E83" i="2"/>
  <c r="J133" i="46"/>
  <c r="I102" i="1"/>
  <c r="A105" i="1"/>
  <c r="E89" i="2" l="1"/>
  <c r="A106" i="1"/>
  <c r="A107" i="1" s="1"/>
  <c r="A108" i="1" s="1"/>
  <c r="I108" i="1" l="1"/>
  <c r="H44" i="8"/>
  <c r="I118" i="1"/>
  <c r="E90" i="2"/>
  <c r="J134" i="46"/>
  <c r="A110" i="1"/>
  <c r="A112" i="1" s="1"/>
  <c r="H45" i="8" s="1"/>
  <c r="I132" i="1" l="1"/>
  <c r="A124" i="1"/>
  <c r="I110" i="1"/>
  <c r="A125" i="1" l="1"/>
  <c r="H49" i="8" s="1"/>
  <c r="H48" i="8"/>
  <c r="E96" i="2"/>
  <c r="E95" i="2"/>
  <c r="J136" i="46"/>
  <c r="A126" i="1" l="1"/>
  <c r="H51" i="8" s="1"/>
  <c r="E72" i="7"/>
  <c r="I17" i="1"/>
  <c r="E101" i="2"/>
  <c r="A127" i="1"/>
  <c r="H52" i="8" s="1"/>
  <c r="E102" i="2" l="1"/>
  <c r="J141" i="46"/>
  <c r="A128" i="1"/>
  <c r="H53" i="8" s="1"/>
  <c r="A129" i="1" l="1"/>
  <c r="H54" i="8" s="1"/>
  <c r="E108" i="2" l="1"/>
  <c r="E107" i="2"/>
  <c r="J145" i="46"/>
  <c r="A130" i="1"/>
  <c r="H55" i="8" s="1"/>
  <c r="A131" i="1" l="1"/>
  <c r="A132" i="1" s="1"/>
  <c r="A133" i="1" s="1"/>
  <c r="H58" i="8" s="1"/>
  <c r="E113" i="2" l="1"/>
  <c r="E114" i="2"/>
  <c r="J161" i="46"/>
  <c r="A134" i="1"/>
  <c r="A135" i="1" l="1"/>
  <c r="I136" i="1" s="1"/>
  <c r="H59" i="8"/>
  <c r="A136" i="1" l="1"/>
  <c r="A138" i="1" s="1"/>
  <c r="A139" i="1" s="1"/>
  <c r="G88" i="44" s="1"/>
  <c r="E120" i="2"/>
  <c r="E119" i="2"/>
  <c r="J162" i="46"/>
  <c r="I141" i="1"/>
  <c r="A141" i="1" l="1"/>
  <c r="I146" i="1" s="1"/>
  <c r="I139" i="1"/>
  <c r="E70" i="7"/>
  <c r="I138" i="1"/>
  <c r="A146" i="1"/>
  <c r="A147" i="1" s="1"/>
  <c r="A148" i="1" s="1"/>
  <c r="A149" i="1" s="1"/>
  <c r="A150" i="1" s="1"/>
  <c r="A152" i="1" s="1"/>
  <c r="J163" i="46"/>
  <c r="E125" i="2" l="1"/>
  <c r="E126" i="2"/>
  <c r="A155" i="1"/>
  <c r="I155" i="1"/>
  <c r="I152" i="1"/>
  <c r="A156" i="1" l="1"/>
  <c r="A157" i="1" s="1"/>
  <c r="G4" i="31" s="1"/>
  <c r="I157" i="1" l="1"/>
  <c r="K53" i="1" l="1"/>
  <c r="F58" i="17"/>
  <c r="F115" i="46"/>
  <c r="I115" i="46" s="1"/>
  <c r="F129" i="46"/>
  <c r="I129" i="46" s="1"/>
  <c r="F130" i="46"/>
  <c r="I130" i="46" s="1"/>
  <c r="F128" i="46"/>
  <c r="I128" i="46" s="1"/>
  <c r="F114" i="46"/>
  <c r="I114" i="46" s="1"/>
  <c r="F97" i="46"/>
  <c r="I97" i="46" s="1"/>
  <c r="K54" i="1" l="1"/>
  <c r="H97" i="46"/>
  <c r="G97" i="46" s="1"/>
  <c r="H114" i="46"/>
  <c r="G114" i="46" s="1"/>
  <c r="H129" i="46"/>
  <c r="G129" i="46" s="1"/>
  <c r="I148" i="46"/>
  <c r="H128" i="46"/>
  <c r="G128" i="46" s="1"/>
  <c r="H130" i="46"/>
  <c r="G130" i="46" s="1"/>
  <c r="H115" i="46"/>
  <c r="G115" i="46" s="1"/>
  <c r="C198" i="46" l="1"/>
  <c r="H147" i="46" l="1"/>
  <c r="G147" i="46" s="1"/>
  <c r="G148" i="46" s="1"/>
  <c r="H148" i="46" l="1"/>
  <c r="F160" i="46"/>
  <c r="I160" i="46" s="1"/>
  <c r="F159" i="46"/>
  <c r="I159" i="46" s="1"/>
  <c r="F158" i="46"/>
  <c r="I158" i="46" s="1"/>
  <c r="F164" i="46"/>
  <c r="I164" i="46" s="1"/>
  <c r="F157" i="46"/>
  <c r="I157" i="46" s="1"/>
  <c r="I167" i="46" l="1"/>
  <c r="I170" i="46" s="1"/>
  <c r="H160" i="46"/>
  <c r="G160" i="46" s="1"/>
  <c r="H157" i="46"/>
  <c r="G157" i="46" s="1"/>
  <c r="H164" i="46"/>
  <c r="G164" i="46" s="1"/>
  <c r="H158" i="46"/>
  <c r="G158" i="46" s="1"/>
  <c r="H159" i="46"/>
  <c r="G159" i="46" s="1"/>
  <c r="G167" i="46" l="1"/>
  <c r="H167" i="46"/>
  <c r="H170" i="46" s="1"/>
  <c r="G170" i="46" l="1"/>
  <c r="K124" i="1" s="1"/>
  <c r="G7" i="2"/>
  <c r="G15" i="2" s="1"/>
  <c r="H86" i="64" l="1"/>
  <c r="H87" i="64" s="1"/>
  <c r="F94" i="64" s="1"/>
  <c r="F95" i="64" s="1"/>
  <c r="K127" i="1" s="1"/>
  <c r="G37" i="80"/>
  <c r="G38" i="80" s="1"/>
  <c r="J50" i="8" s="1"/>
  <c r="H73" i="44"/>
  <c r="G31" i="79"/>
  <c r="G32" i="79" s="1"/>
  <c r="I26" i="79"/>
  <c r="G38" i="79"/>
  <c r="G39" i="79" s="1"/>
  <c r="I38" i="79"/>
  <c r="I31" i="79"/>
  <c r="G26" i="79"/>
  <c r="G27" i="79" s="1"/>
  <c r="H149" i="15"/>
  <c r="H150" i="15" s="1"/>
  <c r="H75" i="15"/>
  <c r="H76" i="15" s="1"/>
  <c r="H102" i="15"/>
  <c r="H103" i="15" s="1"/>
  <c r="G25" i="2"/>
  <c r="F50" i="22"/>
  <c r="F51" i="22" s="1"/>
  <c r="J13" i="8" s="1"/>
  <c r="F62" i="4"/>
  <c r="F63" i="4" s="1"/>
  <c r="K10" i="1" s="1"/>
  <c r="D28" i="54"/>
  <c r="D29" i="54" s="1"/>
  <c r="D38" i="54" s="1"/>
  <c r="F26" i="26"/>
  <c r="F27" i="26" s="1"/>
  <c r="F54" i="22"/>
  <c r="F55" i="22" s="1"/>
  <c r="K16" i="1" s="1"/>
  <c r="F59" i="21"/>
  <c r="F60" i="21" s="1"/>
  <c r="K23" i="1" s="1"/>
  <c r="K55" i="1"/>
  <c r="F24" i="22"/>
  <c r="F52" i="21"/>
  <c r="F53" i="21" s="1"/>
  <c r="J20" i="8" s="1"/>
  <c r="J21" i="8" s="1"/>
  <c r="E28" i="54"/>
  <c r="E29" i="54" s="1"/>
  <c r="E38" i="54" s="1"/>
  <c r="K11" i="1" s="1"/>
  <c r="F57" i="4"/>
  <c r="F58" i="4" s="1"/>
  <c r="J7" i="8" s="1"/>
  <c r="G23" i="2"/>
  <c r="J48" i="8"/>
  <c r="K56" i="1" l="1"/>
  <c r="K24" i="1"/>
  <c r="J52" i="8"/>
  <c r="I39" i="79"/>
  <c r="K39" i="79" s="1"/>
  <c r="I32" i="79"/>
  <c r="I18" i="79" s="1"/>
  <c r="I27" i="79"/>
  <c r="K27" i="79" s="1"/>
  <c r="G19" i="79"/>
  <c r="G17" i="79"/>
  <c r="G18" i="79"/>
  <c r="H74" i="44"/>
  <c r="H81" i="44" s="1"/>
  <c r="H82" i="44" s="1"/>
  <c r="H87" i="44" s="1"/>
  <c r="H91" i="44" s="1"/>
  <c r="G28" i="2"/>
  <c r="F27" i="22"/>
  <c r="J12" i="8" s="1"/>
  <c r="F26" i="22"/>
  <c r="K15" i="1" s="1"/>
  <c r="D41" i="54"/>
  <c r="J8" i="8" s="1"/>
  <c r="K32" i="79" l="1"/>
  <c r="I19" i="79"/>
  <c r="K19" i="79" s="1"/>
  <c r="K18" i="79"/>
  <c r="I17" i="79"/>
  <c r="G20" i="79"/>
  <c r="G164" i="15"/>
  <c r="G165" i="15" s="1"/>
  <c r="E165" i="15" s="1"/>
  <c r="G102" i="15"/>
  <c r="G103" i="15" s="1"/>
  <c r="D103" i="15" s="1"/>
  <c r="D11" i="15" s="1"/>
  <c r="G149" i="15"/>
  <c r="G150" i="15" s="1"/>
  <c r="G75" i="15"/>
  <c r="G76" i="15" s="1"/>
  <c r="D76" i="15" s="1"/>
  <c r="D10" i="15" s="1"/>
  <c r="K40" i="1"/>
  <c r="F28" i="26"/>
  <c r="F29" i="26" s="1"/>
  <c r="F30" i="26" s="1"/>
  <c r="K125" i="1" s="1"/>
  <c r="K17" i="1" s="1"/>
  <c r="K41" i="1" l="1"/>
  <c r="I20" i="79"/>
  <c r="K9" i="79" s="1"/>
  <c r="K31" i="1" s="1"/>
  <c r="K17" i="79"/>
  <c r="K20" i="79" s="1"/>
  <c r="K10" i="79" s="1"/>
  <c r="J26" i="8" s="1"/>
  <c r="D150" i="15"/>
  <c r="D12" i="15" s="1"/>
  <c r="D13" i="15"/>
  <c r="D72" i="7"/>
  <c r="J49" i="8"/>
  <c r="J14" i="8" l="1"/>
  <c r="J15" i="8" s="1"/>
  <c r="K58" i="1"/>
  <c r="D165" i="15"/>
  <c r="D14" i="15"/>
  <c r="D24" i="15" s="1"/>
  <c r="J23" i="8" s="1"/>
  <c r="K18" i="1"/>
  <c r="J29" i="8" l="1"/>
  <c r="J41" i="8" s="1"/>
  <c r="K129" i="1"/>
  <c r="K26" i="1"/>
  <c r="J34" i="8" l="1"/>
  <c r="J56" i="8" s="1"/>
  <c r="J38" i="8"/>
  <c r="J57" i="8" s="1"/>
  <c r="F90" i="12"/>
  <c r="F92" i="12" s="1"/>
  <c r="F94" i="12" s="1"/>
  <c r="F98" i="12" s="1"/>
  <c r="F101" i="12" s="1"/>
  <c r="K34" i="1"/>
  <c r="K95" i="1" s="1"/>
  <c r="J54" i="8"/>
  <c r="J60" i="8" l="1"/>
  <c r="J64" i="8" s="1"/>
  <c r="E68" i="8" s="1"/>
  <c r="K131" i="1"/>
  <c r="K110" i="1"/>
  <c r="K132" i="1" l="1"/>
  <c r="E70" i="8"/>
  <c r="E72" i="8"/>
  <c r="K136" i="1" l="1"/>
  <c r="E73" i="8"/>
  <c r="E14" i="65" s="1"/>
  <c r="E30" i="65" s="1"/>
  <c r="H30" i="65" s="1"/>
  <c r="D70" i="7" l="1"/>
  <c r="D71" i="7" s="1"/>
  <c r="D73" i="7" s="1"/>
  <c r="D79" i="7" s="1"/>
  <c r="D80" i="7" s="1"/>
  <c r="D86" i="7" s="1"/>
  <c r="K138" i="1"/>
  <c r="K139" i="1"/>
  <c r="E26" i="65"/>
  <c r="H26" i="65" s="1"/>
  <c r="E25" i="65"/>
  <c r="H25" i="65" s="1"/>
  <c r="E35" i="65"/>
  <c r="H35" i="65" s="1"/>
  <c r="E24" i="65"/>
  <c r="H24" i="65" s="1"/>
  <c r="J24" i="65" s="1"/>
  <c r="K24" i="65" s="1"/>
  <c r="L24" i="65" s="1"/>
  <c r="E33" i="65"/>
  <c r="H33" i="65" s="1"/>
  <c r="E27" i="65"/>
  <c r="H27" i="65" s="1"/>
  <c r="E32" i="65"/>
  <c r="H32" i="65" s="1"/>
  <c r="E31" i="65"/>
  <c r="H31" i="65" s="1"/>
  <c r="E34" i="65"/>
  <c r="H34" i="65" s="1"/>
  <c r="E28" i="65"/>
  <c r="H28" i="65" s="1"/>
  <c r="E29" i="65"/>
  <c r="H29" i="65" s="1"/>
  <c r="K141" i="1" l="1"/>
  <c r="C6" i="9" s="1"/>
  <c r="H88" i="44"/>
  <c r="J25" i="65"/>
  <c r="K25" i="65" s="1"/>
  <c r="L25" i="65" s="1"/>
  <c r="J26" i="65" s="1"/>
  <c r="K26" i="65" s="1"/>
  <c r="L26" i="65" s="1"/>
  <c r="D88" i="7"/>
  <c r="D89" i="7"/>
  <c r="K146" i="1" l="1"/>
  <c r="J27" i="65"/>
  <c r="K27" i="65" s="1"/>
  <c r="L27" i="65" s="1"/>
  <c r="J28" i="65" s="1"/>
  <c r="D91" i="7"/>
  <c r="K147" i="1" s="1"/>
  <c r="H89" i="44"/>
  <c r="H90" i="44" s="1"/>
  <c r="H92" i="44" s="1"/>
  <c r="K156" i="1" s="1"/>
  <c r="K152" i="1" l="1"/>
  <c r="D4" i="81" s="1"/>
  <c r="K28" i="65"/>
  <c r="L28" i="65" s="1"/>
  <c r="C7" i="9"/>
  <c r="C10" i="9" s="1"/>
  <c r="D16" i="81" l="1"/>
  <c r="L16" i="81" s="1"/>
  <c r="D24" i="81"/>
  <c r="L24" i="81" s="1"/>
  <c r="D20" i="81"/>
  <c r="D23" i="81"/>
  <c r="D19" i="81"/>
  <c r="D25" i="81"/>
  <c r="L25" i="81" s="1"/>
  <c r="D18" i="81"/>
  <c r="D22" i="81"/>
  <c r="D12" i="81"/>
  <c r="D15" i="81"/>
  <c r="D13" i="81"/>
  <c r="D17" i="81"/>
  <c r="L17" i="81" s="1"/>
  <c r="D26" i="81"/>
  <c r="D21" i="81"/>
  <c r="J29" i="65"/>
  <c r="K29" i="65" s="1"/>
  <c r="L29" i="65" s="1"/>
  <c r="J30" i="65" s="1"/>
  <c r="K155" i="1"/>
  <c r="C37" i="81" l="1"/>
  <c r="E37" i="81" s="1"/>
  <c r="I55" i="81" s="1"/>
  <c r="E55" i="81" s="1"/>
  <c r="L22" i="81"/>
  <c r="C38" i="81"/>
  <c r="E38" i="81" s="1"/>
  <c r="I56" i="81" s="1"/>
  <c r="E56" i="81" s="1"/>
  <c r="L23" i="81"/>
  <c r="K13" i="81"/>
  <c r="M14" i="81" s="1"/>
  <c r="H36" i="81"/>
  <c r="J36" i="81" s="1"/>
  <c r="L18" i="81"/>
  <c r="L20" i="81"/>
  <c r="H38" i="81"/>
  <c r="J38" i="81" s="1"/>
  <c r="C36" i="81"/>
  <c r="E36" i="81" s="1"/>
  <c r="I54" i="81" s="1"/>
  <c r="L21" i="81"/>
  <c r="D48" i="81"/>
  <c r="K15" i="81"/>
  <c r="D59" i="81"/>
  <c r="K26" i="81"/>
  <c r="D46" i="81"/>
  <c r="D28" i="81"/>
  <c r="K12" i="81"/>
  <c r="L19" i="81"/>
  <c r="H37" i="81"/>
  <c r="J37" i="81" s="1"/>
  <c r="K157" i="1"/>
  <c r="K30" i="65"/>
  <c r="L30" i="65" s="1"/>
  <c r="J31" i="65" s="1"/>
  <c r="G59" i="81" l="1"/>
  <c r="C59" i="81"/>
  <c r="I57" i="81"/>
  <c r="I49" i="81"/>
  <c r="E49" i="81" s="1"/>
  <c r="D49" i="81" s="1"/>
  <c r="E54" i="81"/>
  <c r="I50" i="81"/>
  <c r="E50" i="81" s="1"/>
  <c r="D50" i="81" s="1"/>
  <c r="I58" i="81"/>
  <c r="E58" i="81" s="1"/>
  <c r="D58" i="81" s="1"/>
  <c r="D54" i="81"/>
  <c r="D51" i="81"/>
  <c r="H54" i="81"/>
  <c r="D56" i="81"/>
  <c r="C56" i="81" s="1"/>
  <c r="D53" i="81"/>
  <c r="H56" i="81"/>
  <c r="H55" i="81"/>
  <c r="D52" i="81"/>
  <c r="D55" i="81"/>
  <c r="C55" i="81" s="1"/>
  <c r="C46" i="81"/>
  <c r="G46" i="81"/>
  <c r="G48" i="81"/>
  <c r="C48" i="81"/>
  <c r="N14" i="81"/>
  <c r="L14" i="81" s="1"/>
  <c r="I47" i="81" s="1"/>
  <c r="E47" i="81" s="1"/>
  <c r="H47" i="81" s="1"/>
  <c r="B4" i="31"/>
  <c r="D18" i="31" s="1"/>
  <c r="K31" i="65"/>
  <c r="L31" i="65" s="1"/>
  <c r="J32" i="65" s="1"/>
  <c r="C54" i="81" l="1"/>
  <c r="H52" i="81"/>
  <c r="C52" i="81"/>
  <c r="C49" i="81"/>
  <c r="H49" i="81"/>
  <c r="C58" i="81"/>
  <c r="H58" i="81"/>
  <c r="E57" i="81"/>
  <c r="D57" i="81" s="1"/>
  <c r="K57" i="81"/>
  <c r="D47" i="81"/>
  <c r="H51" i="81"/>
  <c r="C51" i="81"/>
  <c r="H50" i="81"/>
  <c r="C50" i="81"/>
  <c r="H53" i="81"/>
  <c r="C53" i="81"/>
  <c r="D20" i="31"/>
  <c r="E18" i="31"/>
  <c r="E20" i="31" s="1"/>
  <c r="F18" i="31"/>
  <c r="F20" i="31" s="1"/>
  <c r="K32" i="65"/>
  <c r="L32" i="65" s="1"/>
  <c r="D61" i="81" l="1"/>
  <c r="E61" i="81"/>
  <c r="B8" i="31" s="1"/>
  <c r="H57" i="81"/>
  <c r="J57" i="81" s="1"/>
  <c r="C57" i="81"/>
  <c r="C47" i="81"/>
  <c r="G47" i="81"/>
  <c r="J33" i="65"/>
  <c r="K33" i="65" s="1"/>
  <c r="L33" i="65" s="1"/>
  <c r="J34" i="65" s="1"/>
  <c r="C61" i="81" l="1"/>
  <c r="K34" i="65"/>
  <c r="L34" i="65" s="1"/>
  <c r="J35" i="65" l="1"/>
  <c r="K35" i="65" s="1"/>
  <c r="L35" i="65" s="1"/>
  <c r="J36" i="65" s="1"/>
  <c r="K36" i="65" l="1"/>
  <c r="L36" i="65" s="1"/>
  <c r="E24" i="31"/>
  <c r="E27" i="31" s="1"/>
  <c r="D24" i="31"/>
  <c r="D27" i="31" s="1"/>
  <c r="F24" i="31"/>
  <c r="F27" i="31" s="1"/>
  <c r="J37" i="65" l="1"/>
  <c r="K37" i="65" s="1"/>
  <c r="L37" i="65" s="1"/>
  <c r="J38" i="65" s="1"/>
  <c r="E20" i="32"/>
  <c r="E22" i="32" s="1"/>
  <c r="E40" i="32"/>
  <c r="E42" i="32" s="1"/>
  <c r="E14" i="32"/>
  <c r="E16" i="32" s="1"/>
  <c r="E34" i="32"/>
  <c r="E36" i="32" s="1"/>
  <c r="E28" i="32"/>
  <c r="E30" i="32" s="1"/>
  <c r="K38" i="65" l="1"/>
  <c r="L38" i="65" s="1"/>
  <c r="J39" i="65" s="1"/>
  <c r="K39" i="65" l="1"/>
  <c r="L39" i="65" s="1"/>
  <c r="J40" i="65" s="1"/>
  <c r="K40" i="65" l="1"/>
  <c r="L40" i="65" s="1"/>
  <c r="J41" i="65" l="1"/>
  <c r="K41" i="65" s="1"/>
  <c r="L41" i="65" s="1"/>
  <c r="J42" i="65" s="1"/>
  <c r="K42" i="65" l="1"/>
  <c r="L42" i="65" s="1"/>
  <c r="J43" i="65" l="1"/>
  <c r="K43" i="65" s="1"/>
  <c r="L43" i="65" s="1"/>
  <c r="J44" i="65" s="1"/>
  <c r="K44" i="65" l="1"/>
  <c r="L44" i="65" s="1"/>
  <c r="J45" i="65" l="1"/>
  <c r="K45" i="65" l="1"/>
  <c r="L45" i="65" s="1"/>
  <c r="J46" i="65" l="1"/>
  <c r="K46" i="65" l="1"/>
  <c r="L46" i="65" s="1"/>
  <c r="J47" i="65" l="1"/>
  <c r="K47" i="65" l="1"/>
  <c r="L47" i="65" s="1"/>
  <c r="F56" i="65" s="1"/>
  <c r="H56" i="65" l="1"/>
  <c r="I56" i="65" s="1"/>
  <c r="J56" i="65" l="1"/>
  <c r="F57" i="65" s="1"/>
  <c r="H57" i="65" s="1"/>
  <c r="I57" i="65" l="1"/>
  <c r="J57" i="65" l="1"/>
  <c r="F58" i="65" s="1"/>
  <c r="H58" i="65" s="1"/>
  <c r="I58" i="65" s="1"/>
  <c r="J58" i="65" s="1"/>
  <c r="F59" i="65" s="1"/>
  <c r="H59" i="65" s="1"/>
  <c r="I59" i="65" s="1"/>
  <c r="J59" i="65" s="1"/>
  <c r="F60" i="65" s="1"/>
  <c r="H60" i="65" s="1"/>
  <c r="I60" i="65" s="1"/>
  <c r="J60" i="65" s="1"/>
  <c r="F61" i="65" s="1"/>
  <c r="H61" i="65" s="1"/>
  <c r="I61" i="65" s="1"/>
  <c r="J61" i="65" s="1"/>
  <c r="F62" i="65" s="1"/>
  <c r="H62" i="65" s="1"/>
  <c r="I62" i="65" s="1"/>
  <c r="J62" i="65" s="1"/>
  <c r="F63" i="65" s="1"/>
  <c r="H63" i="65" s="1"/>
  <c r="I63" i="65" s="1"/>
  <c r="J63" i="65" s="1"/>
  <c r="F64" i="65" s="1"/>
  <c r="H64" i="65" s="1"/>
  <c r="I64" i="65" s="1"/>
  <c r="J64" i="65" s="1"/>
  <c r="F65" i="65" s="1"/>
  <c r="H65" i="65" l="1"/>
  <c r="I65" i="65" s="1"/>
  <c r="J65" i="65" s="1"/>
  <c r="F66" i="65" s="1"/>
  <c r="H66" i="65" s="1"/>
  <c r="I66" i="65" s="1"/>
  <c r="J66" i="65" s="1"/>
  <c r="F67" i="65" s="1"/>
  <c r="H67" i="65" s="1"/>
  <c r="I67" i="65" l="1"/>
  <c r="J67" i="65" s="1"/>
</calcChain>
</file>

<file path=xl/sharedStrings.xml><?xml version="1.0" encoding="utf-8"?>
<sst xmlns="http://schemas.openxmlformats.org/spreadsheetml/2006/main" count="6533" uniqueCount="3036">
  <si>
    <t>True-Up</t>
  </si>
  <si>
    <t>CWIP</t>
  </si>
  <si>
    <t>Balances</t>
  </si>
  <si>
    <t>In Service</t>
  </si>
  <si>
    <t>Total:</t>
  </si>
  <si>
    <t>Income Taxes</t>
  </si>
  <si>
    <t>Calculation of Components of Working Capital</t>
  </si>
  <si>
    <t xml:space="preserve">Prepayments is an allocated portion of Total Prepayments based </t>
  </si>
  <si>
    <t>Incentive</t>
  </si>
  <si>
    <t>ROE Adder</t>
  </si>
  <si>
    <t>13-Month Avg.</t>
  </si>
  <si>
    <t>Revenue Credits</t>
  </si>
  <si>
    <t>FERC</t>
  </si>
  <si>
    <t>Rate</t>
  </si>
  <si>
    <t>HV</t>
  </si>
  <si>
    <t>LV</t>
  </si>
  <si>
    <t>FICA</t>
  </si>
  <si>
    <t>Inputs are shaded yellow</t>
  </si>
  <si>
    <t>Forecast Period</t>
  </si>
  <si>
    <t>Monthly</t>
  </si>
  <si>
    <t>Retail</t>
  </si>
  <si>
    <t>Revenues</t>
  </si>
  <si>
    <t>in Revenue</t>
  </si>
  <si>
    <t>Interest</t>
  </si>
  <si>
    <t>Calculation of Components of Cost of Capital Rate</t>
  </si>
  <si>
    <t>Cost of Preferred Stock</t>
  </si>
  <si>
    <t>Debt</t>
  </si>
  <si>
    <t>Preferred Stock</t>
  </si>
  <si>
    <t>Equity</t>
  </si>
  <si>
    <t>True Up Adjustment</t>
  </si>
  <si>
    <t>Excess (-) or</t>
  </si>
  <si>
    <t>Shortfall (+)</t>
  </si>
  <si>
    <t>True Up Adjustment:</t>
  </si>
  <si>
    <t>SCE Records</t>
  </si>
  <si>
    <t>FF1 207.104g</t>
  </si>
  <si>
    <t>Apportionment</t>
  </si>
  <si>
    <t>Factor</t>
  </si>
  <si>
    <t>California</t>
  </si>
  <si>
    <t>New Mexico</t>
  </si>
  <si>
    <t>Arizona</t>
  </si>
  <si>
    <t>D.C.</t>
  </si>
  <si>
    <t>State</t>
  </si>
  <si>
    <t>Statutory</t>
  </si>
  <si>
    <t>1) Federal Income Tax rate</t>
  </si>
  <si>
    <t>Federal</t>
  </si>
  <si>
    <t>2) Composite State Income Tax Rate</t>
  </si>
  <si>
    <t>Fed Ins Cont Amt -- Current</t>
  </si>
  <si>
    <t>FICA/OASDI Emp Incntv.</t>
  </si>
  <si>
    <t>FICA/HIT Emp Incntv.</t>
  </si>
  <si>
    <t>Long-Term Debt Cost Percentage</t>
  </si>
  <si>
    <t>Preferred Stock Amount -- Account 204</t>
  </si>
  <si>
    <t>Cost of Preferred Stock -- Account 437</t>
  </si>
  <si>
    <t>Preferred Stock Cost Percentage</t>
  </si>
  <si>
    <t>Common Stock Equity Amount</t>
  </si>
  <si>
    <t>Less Preferred Stock Amount -- Account 204</t>
  </si>
  <si>
    <t>Total Capital</t>
  </si>
  <si>
    <t>Preferred Stock Amount</t>
  </si>
  <si>
    <t>Capital Percentages</t>
  </si>
  <si>
    <t>Common Stock Capital Percentage</t>
  </si>
  <si>
    <t>Weighted Cost of Long Term Debt</t>
  </si>
  <si>
    <t>Weighted Cost of Preferred Stock</t>
  </si>
  <si>
    <t>Weighted Cost of Common Stock</t>
  </si>
  <si>
    <t>Cost of Capital Rate</t>
  </si>
  <si>
    <t>Return on Capital: Rate Base times Cost of Capital Rate</t>
  </si>
  <si>
    <t>Network Upgrade Credits</t>
  </si>
  <si>
    <t>Network Upgrade Interest Expense</t>
  </si>
  <si>
    <t>Transmission Plant Allocation Factor</t>
  </si>
  <si>
    <t>Total General Plant</t>
  </si>
  <si>
    <t>Total Electric Miscellaneous Intangible Plant</t>
  </si>
  <si>
    <t>Electric Miscellaneous Intangible Plant</t>
  </si>
  <si>
    <t>Property Taxes</t>
  </si>
  <si>
    <t>Total Electric Payroll Tax Expense</t>
  </si>
  <si>
    <t>PRIOR YEAR TRANSMISSION REVENUE REQUIREMENT</t>
  </si>
  <si>
    <t>Prior Year</t>
  </si>
  <si>
    <t>Jan</t>
  </si>
  <si>
    <t>Feb</t>
  </si>
  <si>
    <t>Mar</t>
  </si>
  <si>
    <t>Apr</t>
  </si>
  <si>
    <t>Jun</t>
  </si>
  <si>
    <t>Jul</t>
  </si>
  <si>
    <t>Aug</t>
  </si>
  <si>
    <t>Sep</t>
  </si>
  <si>
    <t>Oct</t>
  </si>
  <si>
    <t>Nov</t>
  </si>
  <si>
    <t>Dec</t>
  </si>
  <si>
    <t>HV/LV</t>
  </si>
  <si>
    <t>---</t>
  </si>
  <si>
    <t>Revenue</t>
  </si>
  <si>
    <t>Prior Year Incentive Adder =</t>
  </si>
  <si>
    <t>Other Taxes</t>
  </si>
  <si>
    <t xml:space="preserve"> = LV Allocation Factor</t>
  </si>
  <si>
    <t xml:space="preserve"> = HV Allocation Factor</t>
  </si>
  <si>
    <t>SCE Retail Standby Rate Revenue</t>
  </si>
  <si>
    <t>TRR Values</t>
  </si>
  <si>
    <t>Average BOY/EOY Value:</t>
  </si>
  <si>
    <t>Beginning of year ("BOY") amount</t>
  </si>
  <si>
    <t>c) Income Taxes</t>
  </si>
  <si>
    <t>Return on Capital</t>
  </si>
  <si>
    <t xml:space="preserve">Enter positive </t>
  </si>
  <si>
    <t>Miscellaneous General Expense</t>
  </si>
  <si>
    <t>End of Year ("EOY") amount</t>
  </si>
  <si>
    <t>Working Capital</t>
  </si>
  <si>
    <t>Materials and Supplies</t>
  </si>
  <si>
    <t>Prepayments</t>
  </si>
  <si>
    <t>Transmission Wages and Salaries Allocation Factor</t>
  </si>
  <si>
    <t>Transmission Plant Allocation Factor:</t>
  </si>
  <si>
    <t>Prior Year TRR</t>
  </si>
  <si>
    <t>True-Up Adjustment</t>
  </si>
  <si>
    <t>Subtotal:</t>
  </si>
  <si>
    <t>Calculation of Accumulated Deferred Income Taxes</t>
  </si>
  <si>
    <t>Account</t>
  </si>
  <si>
    <t>Description</t>
  </si>
  <si>
    <t>O&amp;M Expense</t>
  </si>
  <si>
    <t>A&amp;G Salaries</t>
  </si>
  <si>
    <t>Office Supplies and Expenses</t>
  </si>
  <si>
    <t>A&amp;G Expenses Transferred</t>
  </si>
  <si>
    <t>Outside Services Employed</t>
  </si>
  <si>
    <t>Property Insurance</t>
  </si>
  <si>
    <t>Injuries and Damages</t>
  </si>
  <si>
    <t>Employee Pensions and Benefits</t>
  </si>
  <si>
    <t>Franchise Requirements</t>
  </si>
  <si>
    <t>Regulatory Commission Expenses</t>
  </si>
  <si>
    <t>Duplicate Charges</t>
  </si>
  <si>
    <t>General Advertising Expense</t>
  </si>
  <si>
    <t>Rents</t>
  </si>
  <si>
    <t>Maintenance of General Plant</t>
  </si>
  <si>
    <t>Acct.</t>
  </si>
  <si>
    <t>Excluded</t>
  </si>
  <si>
    <t>FF1 323.181b</t>
  </si>
  <si>
    <t>FF1 323.182b</t>
  </si>
  <si>
    <t>FF1 323.183b</t>
  </si>
  <si>
    <t>FF1 323.184b</t>
  </si>
  <si>
    <t>FF1 323.185b</t>
  </si>
  <si>
    <t>FF1 323.186b</t>
  </si>
  <si>
    <t>FF1 323.187b</t>
  </si>
  <si>
    <t>FF1 323.188b</t>
  </si>
  <si>
    <t>FF1 323.189b</t>
  </si>
  <si>
    <t>FF1 323.190b</t>
  </si>
  <si>
    <t>FF1 323.191b</t>
  </si>
  <si>
    <t>FF1 323.192b</t>
  </si>
  <si>
    <t>FF1 323.193b</t>
  </si>
  <si>
    <t>FF1 323.196b</t>
  </si>
  <si>
    <t>Total A&amp;G Expenses:</t>
  </si>
  <si>
    <t>Transmission Wages and Salaries Allocation Factor:</t>
  </si>
  <si>
    <t xml:space="preserve"> = Wholesale Base TRR</t>
  </si>
  <si>
    <t xml:space="preserve"> = Total Wholesale TRBAA</t>
  </si>
  <si>
    <t xml:space="preserve"> = HV Wholesale TRBAA</t>
  </si>
  <si>
    <t xml:space="preserve"> = LV Wholesale TRBAA</t>
  </si>
  <si>
    <t xml:space="preserve"> = Total Standby Transmission Revenues</t>
  </si>
  <si>
    <t>TOTAL</t>
  </si>
  <si>
    <t>Wholesale TRBAA:</t>
  </si>
  <si>
    <t>SCE's wholesale rates are as follows:</t>
  </si>
  <si>
    <t>1) Low Voltage Access Charge</t>
  </si>
  <si>
    <t>2) Low Voltage Wheeling Access Charge</t>
  </si>
  <si>
    <t>3) High Voltage Utility-Specific Rate</t>
  </si>
  <si>
    <t>4) HV Existing Contracts Access Charge</t>
  </si>
  <si>
    <t>5) LV Existing Contracts Access Charge</t>
  </si>
  <si>
    <t>Calculation of Low Voltage Access Charge:</t>
  </si>
  <si>
    <t>per kWh</t>
  </si>
  <si>
    <t>Calculation of Low Voltage Wheeling Access Charge:</t>
  </si>
  <si>
    <t>Calculation of High Voltage Utility Specific Rate:</t>
  </si>
  <si>
    <t>(used by ISO in billing of ISO TAC)</t>
  </si>
  <si>
    <t>SCE HV TRR =</t>
  </si>
  <si>
    <t>Calculation of High Voltage Existing Contracts Access Charge:</t>
  </si>
  <si>
    <t>MW</t>
  </si>
  <si>
    <t>Calculation of Low Voltage Existing Contracts Access Charge:</t>
  </si>
  <si>
    <t>Wholesale Base TRR:</t>
  </si>
  <si>
    <t>Determination of Incentive Adders Components of the TRR</t>
  </si>
  <si>
    <t>Negative amount</t>
  </si>
  <si>
    <t>Rate Base Item</t>
  </si>
  <si>
    <t>Method</t>
  </si>
  <si>
    <t>Calculation</t>
  </si>
  <si>
    <t>BOY/EOY Avg.</t>
  </si>
  <si>
    <t>EOY Value:</t>
  </si>
  <si>
    <t>Transmission Plant Held for Future Use</t>
  </si>
  <si>
    <t>2) Calculation of Prepayments</t>
  </si>
  <si>
    <t>Adjustment</t>
  </si>
  <si>
    <t>1) Calculation of Materials and Supplies</t>
  </si>
  <si>
    <t>FF1 111.57d</t>
  </si>
  <si>
    <t>FF1 111.57c</t>
  </si>
  <si>
    <t>Prepayments:</t>
  </si>
  <si>
    <t>Accumulated Depreciation Reserve</t>
  </si>
  <si>
    <t>Accumulated Deferred Income Taxes</t>
  </si>
  <si>
    <t>General Plant</t>
  </si>
  <si>
    <t>Accumulated Depreciation Reserve Balances</t>
  </si>
  <si>
    <t>Southern California Edison Company</t>
  </si>
  <si>
    <t>Formula Transmission Rate</t>
  </si>
  <si>
    <t>Notes</t>
  </si>
  <si>
    <t xml:space="preserve">FERC Form 1 Reference </t>
  </si>
  <si>
    <t>or Instruction</t>
  </si>
  <si>
    <t>Value</t>
  </si>
  <si>
    <t>Cash Working Capital</t>
  </si>
  <si>
    <t>Rate Base</t>
  </si>
  <si>
    <t>TRR Component</t>
  </si>
  <si>
    <t>Amount</t>
  </si>
  <si>
    <t>RATE BASE</t>
  </si>
  <si>
    <t>RETURN AND CAPITALIZATION CALCULATIONS</t>
  </si>
  <si>
    <t>INCOME TAXES</t>
  </si>
  <si>
    <t>Source</t>
  </si>
  <si>
    <t>December</t>
  </si>
  <si>
    <t>January</t>
  </si>
  <si>
    <t>February</t>
  </si>
  <si>
    <t>April</t>
  </si>
  <si>
    <t>May</t>
  </si>
  <si>
    <t xml:space="preserve">June </t>
  </si>
  <si>
    <t>July</t>
  </si>
  <si>
    <t>August</t>
  </si>
  <si>
    <t>September</t>
  </si>
  <si>
    <t xml:space="preserve">October </t>
  </si>
  <si>
    <t>November</t>
  </si>
  <si>
    <t>October</t>
  </si>
  <si>
    <t>Month</t>
  </si>
  <si>
    <t>Year</t>
  </si>
  <si>
    <t>Data</t>
  </si>
  <si>
    <t>March</t>
  </si>
  <si>
    <t>Total</t>
  </si>
  <si>
    <t>Totals:</t>
  </si>
  <si>
    <t>Forecast</t>
  </si>
  <si>
    <t>Period</t>
  </si>
  <si>
    <t>Transmission Wages and Salary Allocation Factor</t>
  </si>
  <si>
    <t>ADIT</t>
  </si>
  <si>
    <t>Calculation of Allocation Factors</t>
  </si>
  <si>
    <t xml:space="preserve">1) The Prior Year TRR component is the TRR associated with the Prior Year (most recent calendar year).  </t>
  </si>
  <si>
    <t>Cumulative</t>
  </si>
  <si>
    <t>Reference</t>
  </si>
  <si>
    <t>Bonds -- Account 221</t>
  </si>
  <si>
    <t>Less Reacquired Bonds -- Account 222</t>
  </si>
  <si>
    <t>Other Long Term Debt -- Account 224</t>
  </si>
  <si>
    <t>Long Term Debt Amount</t>
  </si>
  <si>
    <t>Amortization of Debt Discount and Expense -- Account 428</t>
  </si>
  <si>
    <t>Interest on Long-Term Debt -- Account 427</t>
  </si>
  <si>
    <t>Amortization of Loss on Reacquired Debt -- Account 428.1</t>
  </si>
  <si>
    <t>Enter negative</t>
  </si>
  <si>
    <t>Less Amort. of Gain on Reacquired Debt -- Account 429.1</t>
  </si>
  <si>
    <t>Total Proprietary Capital</t>
  </si>
  <si>
    <t>See Note 2</t>
  </si>
  <si>
    <t>See Note 1</t>
  </si>
  <si>
    <t>SCE Return on Equity</t>
  </si>
  <si>
    <t>Federal Income Tax Rate</t>
  </si>
  <si>
    <t>Used for Tax calculation</t>
  </si>
  <si>
    <t>Where:</t>
  </si>
  <si>
    <t>RB = Rate Base</t>
  </si>
  <si>
    <t>CTR = Composite Tax Rate</t>
  </si>
  <si>
    <t>CO = Credits and Other</t>
  </si>
  <si>
    <t>Annual Cost of Capital Components</t>
  </si>
  <si>
    <t>CWIP:</t>
  </si>
  <si>
    <t>Yes</t>
  </si>
  <si>
    <t>ROE adder:</t>
  </si>
  <si>
    <t>No</t>
  </si>
  <si>
    <t>Tehachapi</t>
  </si>
  <si>
    <t>Project</t>
  </si>
  <si>
    <t>1) Rancho Vista</t>
  </si>
  <si>
    <t>2) Tehachapi</t>
  </si>
  <si>
    <t>End-of-Year</t>
  </si>
  <si>
    <t>13-Month</t>
  </si>
  <si>
    <t>Average</t>
  </si>
  <si>
    <t>Notes:</t>
  </si>
  <si>
    <t>Franchise Fee Expense:</t>
  </si>
  <si>
    <t>From</t>
  </si>
  <si>
    <t>To</t>
  </si>
  <si>
    <t>FF Factor</t>
  </si>
  <si>
    <t>U Factor</t>
  </si>
  <si>
    <t>Note:</t>
  </si>
  <si>
    <t>Total Wages and Salaries</t>
  </si>
  <si>
    <t>Less Total A&amp;G Wages and Salaries</t>
  </si>
  <si>
    <t>Transmission W&amp;S Allocation Factor:</t>
  </si>
  <si>
    <t>CWIP Plant</t>
  </si>
  <si>
    <t>b) EOY calculation</t>
  </si>
  <si>
    <t>Total Prepayments</t>
  </si>
  <si>
    <t>Working Capital amounts</t>
  </si>
  <si>
    <t>Plant Balances For Incentive Projects Receiving either ROE Incentives ("Transmission Incentive Plant")</t>
  </si>
  <si>
    <t>or CWIP ("CWIP Plant")</t>
  </si>
  <si>
    <t>Input data is shaded yellow</t>
  </si>
  <si>
    <t>A) Summary of Incentive Project plant balances receiving ROE incentives</t>
  </si>
  <si>
    <t>("Transmission Incentive Plant") and/or CWIP ("CWIP Plant") and calculation</t>
  </si>
  <si>
    <t>Portion</t>
  </si>
  <si>
    <t>Depreciation Expense</t>
  </si>
  <si>
    <t>OTHER TAXES</t>
  </si>
  <si>
    <t>Payroll Taxes Expense</t>
  </si>
  <si>
    <t>Cost of Long Term Debt</t>
  </si>
  <si>
    <t>Long Term Debt Cost Percentage</t>
  </si>
  <si>
    <t>Long Term Debt Capital Percentage</t>
  </si>
  <si>
    <t>Preferred Stock Capital Percentage</t>
  </si>
  <si>
    <t>Composite Tax Rate</t>
  </si>
  <si>
    <t>State Income Tax Rate</t>
  </si>
  <si>
    <t>Calculation of Cost of Capital Rate</t>
  </si>
  <si>
    <t>Calculation of Credits and Other:</t>
  </si>
  <si>
    <t>Credits and Other</t>
  </si>
  <si>
    <t>Income Taxes:</t>
  </si>
  <si>
    <t>Component of Prior Year TRR:</t>
  </si>
  <si>
    <t>A&amp;G Expense</t>
  </si>
  <si>
    <t>Prior Year Incentive Adder</t>
  </si>
  <si>
    <t>TOTAL BASE TRANSMISSION REVENUE REQUIREMENT</t>
  </si>
  <si>
    <t>For Retail Purposes</t>
  </si>
  <si>
    <t>Calculation of Long Term Debt Amount</t>
  </si>
  <si>
    <t>Calculation of Cost of Long-Term Debt</t>
  </si>
  <si>
    <t>Calculation of Common Stock Equity Amount</t>
  </si>
  <si>
    <t>Less Amortization of Premium on Debt -- Account 429</t>
  </si>
  <si>
    <t>Forecast Plant Additions:</t>
  </si>
  <si>
    <t>AFCR:</t>
  </si>
  <si>
    <t>1) Calculation of Incremental Return on Equity Factor</t>
  </si>
  <si>
    <t>2) Determination of multiplicative factors for use in calculating Incentive Adders:</t>
  </si>
  <si>
    <t>3) Calculation of Prior Year Incentive Adder (EOY)</t>
  </si>
  <si>
    <t>Multiplicative</t>
  </si>
  <si>
    <t>Adder</t>
  </si>
  <si>
    <t>Working Capital Amounts</t>
  </si>
  <si>
    <t>Accumulated Depreciation Reserve Amounts</t>
  </si>
  <si>
    <t>True Up</t>
  </si>
  <si>
    <t>Calculation of Administrative and General Expense</t>
  </si>
  <si>
    <t>Income Tax Rate =</t>
  </si>
  <si>
    <t>Composite State</t>
  </si>
  <si>
    <t>See Note 3</t>
  </si>
  <si>
    <t>MWh</t>
  </si>
  <si>
    <t>FF1 354.28b</t>
  </si>
  <si>
    <t>FF1 354.27b</t>
  </si>
  <si>
    <t>Uncollectibles Expense</t>
  </si>
  <si>
    <t>Franchise Fees Expense</t>
  </si>
  <si>
    <t>Difference</t>
  </si>
  <si>
    <t>(1/(1-CTR))</t>
  </si>
  <si>
    <t>Composite Tax Rate ("CTR")</t>
  </si>
  <si>
    <t>for apportionment factors and state tax rates.</t>
  </si>
  <si>
    <t xml:space="preserve">Determination of amount of Abandoned Plant and Abandoned Plant Amortization Expense </t>
  </si>
  <si>
    <t>Abandoned Plant Amortization Expense</t>
  </si>
  <si>
    <t>Less Account  924:</t>
  </si>
  <si>
    <t>Property Insurance portion of A&amp;G:</t>
  </si>
  <si>
    <t>Administrative and General Expenses:</t>
  </si>
  <si>
    <t>The Incremental Return on Equity Factor is the incremental Prior Year TRR expressed per 100 basis points of</t>
  </si>
  <si>
    <t>Incremental</t>
  </si>
  <si>
    <t>of balances needed to determine the following:</t>
  </si>
  <si>
    <t>TIP Net Plant</t>
  </si>
  <si>
    <t>EOY</t>
  </si>
  <si>
    <t xml:space="preserve">Multiplicative factors are used to calculate the Incentive Adders on an Transmission Incentive Project specific basis.  </t>
  </si>
  <si>
    <t>Cells shaded yellow are input cells</t>
  </si>
  <si>
    <t>Wages and Salaries AF:</t>
  </si>
  <si>
    <t>General and Intangible Plant is an allocated portion of Total G&amp;I Plant based on the Trans. W&amp;S Allocation Factor</t>
  </si>
  <si>
    <t>General + Intangible Plant:</t>
  </si>
  <si>
    <t>Distribution</t>
  </si>
  <si>
    <t>Transmission</t>
  </si>
  <si>
    <t>G + I Depreciation Reserve</t>
  </si>
  <si>
    <t>General + Intangible Plant Depreciation Reserve</t>
  </si>
  <si>
    <t>Transmission Wages and Salaries AF:</t>
  </si>
  <si>
    <t>Upon Commission approval of recovery of abandoned plant costs for a specific project or projects, SCE will</t>
  </si>
  <si>
    <t>Abandoned Plant Amortization Expense:</t>
  </si>
  <si>
    <t>Abandoned Plant</t>
  </si>
  <si>
    <t>Abandoned Plant (EOY):</t>
  </si>
  <si>
    <t>Abandoned Plant (BOY/EOY Average):</t>
  </si>
  <si>
    <t>Initially Abandoned Plant Amortization Expense and Abandoned Plant are both zero.</t>
  </si>
  <si>
    <t>complete this worksheet in accordance with that Order.</t>
  </si>
  <si>
    <t>General Plant + Electric Miscellaneous Intangible Plant</t>
  </si>
  <si>
    <t>Incremental Forecast Period TRR</t>
  </si>
  <si>
    <t xml:space="preserve">Line </t>
  </si>
  <si>
    <t>1) Transmission Plant - ISO</t>
  </si>
  <si>
    <t>2) Distribution Plant - ISO</t>
  </si>
  <si>
    <t>Average value:</t>
  </si>
  <si>
    <t>Expense</t>
  </si>
  <si>
    <t>Forecast Gross Load:</t>
  </si>
  <si>
    <t>Sum of above</t>
  </si>
  <si>
    <t>per kW</t>
  </si>
  <si>
    <t>1) Transmission Depreciation Reserve - ISO</t>
  </si>
  <si>
    <t xml:space="preserve"> </t>
  </si>
  <si>
    <t>Line</t>
  </si>
  <si>
    <t>Income Tax Adjustment to the TRR:</t>
  </si>
  <si>
    <t>Wholesale South Georgia</t>
  </si>
  <si>
    <t>ISO Transmission Wages and Salaries</t>
  </si>
  <si>
    <t>Transmission Plant - ISO</t>
  </si>
  <si>
    <t>Distribution Plant - ISO</t>
  </si>
  <si>
    <t>SCE Retail Sales at ISO Grid level:</t>
  </si>
  <si>
    <t>Pump Load forecast:</t>
  </si>
  <si>
    <t>Line 1 + Line 2</t>
  </si>
  <si>
    <t>1) Tehachapi</t>
  </si>
  <si>
    <t>2) Devers-Colorado River</t>
  </si>
  <si>
    <t>3) Eldorado-Ivanpah</t>
  </si>
  <si>
    <t>1) Forecast Plant Additions * AFCR</t>
  </si>
  <si>
    <t>2) Forecast Period Incremental CWIP * AFCR for CWIP</t>
  </si>
  <si>
    <t>Devers to</t>
  </si>
  <si>
    <t>Colorado River</t>
  </si>
  <si>
    <t>Ivanpah</t>
  </si>
  <si>
    <t>Eldorado</t>
  </si>
  <si>
    <t>Col 2</t>
  </si>
  <si>
    <t>Col 3</t>
  </si>
  <si>
    <t>Col 4</t>
  </si>
  <si>
    <t>Col 5</t>
  </si>
  <si>
    <t>Col 6</t>
  </si>
  <si>
    <t>Col 7</t>
  </si>
  <si>
    <t>Yellow shaded cells are Input Data</t>
  </si>
  <si>
    <t>2) Calculation of IFP TRR</t>
  </si>
  <si>
    <t>AFCR * Forecast Plant Additions:</t>
  </si>
  <si>
    <t>AFCRCWIP:</t>
  </si>
  <si>
    <t>AFCRCWIP * FP Incremental CWIP:</t>
  </si>
  <si>
    <t>Forecast Period Incremental CWIP:</t>
  </si>
  <si>
    <t>Incremental Forecast Period TRR:</t>
  </si>
  <si>
    <t xml:space="preserve">Transmission Incentive Project plant balances and CWIP Plant may affect the following: </t>
  </si>
  <si>
    <t>Other</t>
  </si>
  <si>
    <t>Gains and Losses on Transmission Plant Held for Future Use -- Land</t>
  </si>
  <si>
    <t>Col 1</t>
  </si>
  <si>
    <t>Note 1</t>
  </si>
  <si>
    <t>Note 2</t>
  </si>
  <si>
    <t>Depreciation Expense for Distribution Plant - ISO</t>
  </si>
  <si>
    <t>Other Regulatory Assets/Liabilities</t>
  </si>
  <si>
    <t>where:</t>
  </si>
  <si>
    <t>CSCP = Common Stock Capital Percentage</t>
  </si>
  <si>
    <t>Above formula</t>
  </si>
  <si>
    <t>FF1 117.62c</t>
  </si>
  <si>
    <t>FF1 117.63c</t>
  </si>
  <si>
    <t>FF1 117.64c</t>
  </si>
  <si>
    <t>FF1 117.65c</t>
  </si>
  <si>
    <t>FF1 117.66c</t>
  </si>
  <si>
    <t>FF1 118.29c</t>
  </si>
  <si>
    <t>Calculation of Composite State Income Tax Rate for the Prior Year:</t>
  </si>
  <si>
    <t xml:space="preserve">The Final True Up Adjustment begins on the month after the last True Up Adjustment and extends through the termination date of </t>
  </si>
  <si>
    <t>this formula transmission rate.</t>
  </si>
  <si>
    <t>The Final True Up Adjustment shall be calculated as above, with interest to the termination date of the Formula Transmission Rate.</t>
  </si>
  <si>
    <t>Calculation of SCE Retail Transmission Rates</t>
  </si>
  <si>
    <t>Abandoned</t>
  </si>
  <si>
    <t>Plant</t>
  </si>
  <si>
    <t>Amort.</t>
  </si>
  <si>
    <t xml:space="preserve">Abandoned Plant Amortization Expense for each project represents the annual amortization of abandoned costs </t>
  </si>
  <si>
    <t>that the Order approves as an annual expense.</t>
  </si>
  <si>
    <t>Abandoned Plant for each project represents the amount of costs that the Order approves for inclusion in Rate Base.</t>
  </si>
  <si>
    <t xml:space="preserve">Amount for </t>
  </si>
  <si>
    <t>Instructions:</t>
  </si>
  <si>
    <t>1) Upon Commission approval of recovery of abandoned plant costs for a project:</t>
  </si>
  <si>
    <t>Abandoned Plant (BOY):</t>
  </si>
  <si>
    <t>BOY</t>
  </si>
  <si>
    <t>c) Sum project-specific amounts for each project and enter in lines 1, 2, and 3 for the Prior Year at issue.</t>
  </si>
  <si>
    <t>2) Add additional projects if necessary in same format.</t>
  </si>
  <si>
    <t>Abandoned Plant Amortization Expense amounts in Accordance with the Order.</t>
  </si>
  <si>
    <t>If table can not be filled out completely, fill out at least through the Prior Year at issue.</t>
  </si>
  <si>
    <t>Sum of projects below for PY.</t>
  </si>
  <si>
    <t>intended to be placed under the Operational Control of the ISO, plus an allocated amount of any General</t>
  </si>
  <si>
    <t>FF1 page 214</t>
  </si>
  <si>
    <t>End of Year Balance</t>
  </si>
  <si>
    <t>Beginning of Year Balance</t>
  </si>
  <si>
    <t>General Plant Held for Future Use</t>
  </si>
  <si>
    <t>Electric Plant Held for Future Use, with the allocation factor being the Transmission Wages and Salaries AF.</t>
  </si>
  <si>
    <t>1) For any Electric Plant Held for Future Use intended to be placed under the Operational Control of the ISO,</t>
  </si>
  <si>
    <t>Operational Control of the ISO.</t>
  </si>
  <si>
    <t>Plant intended to be placed under the Operational Control of the ISO:</t>
  </si>
  <si>
    <t>All other Electric Plant Held for Future Use not intended to be placed under the Operational Control of the ISO:</t>
  </si>
  <si>
    <t>of Plant</t>
  </si>
  <si>
    <t>Type</t>
  </si>
  <si>
    <t>Portion for Transmission PHFU:</t>
  </si>
  <si>
    <t>Transmission PHFU:</t>
  </si>
  <si>
    <t>Total Electric PHFU</t>
  </si>
  <si>
    <t>Average of BOY and EOY</t>
  </si>
  <si>
    <t>1) Input most recent available Apportionment Factors.</t>
  </si>
  <si>
    <t>Prior</t>
  </si>
  <si>
    <t>Tax Rate ("STR")</t>
  </si>
  <si>
    <t>Income Tax</t>
  </si>
  <si>
    <t>Rate ("CSITR")</t>
  </si>
  <si>
    <t>for the applicable Prior Year</t>
  </si>
  <si>
    <t>Calculation of Income Tax Rates</t>
  </si>
  <si>
    <t>Rate ("FITR")</t>
  </si>
  <si>
    <t>Factors ("AFs")</t>
  </si>
  <si>
    <t>The IFP TRR is equal to the sum of:</t>
  </si>
  <si>
    <t>approval received subsequent to an SCE Section 205 filing requesting such treatment.</t>
  </si>
  <si>
    <t xml:space="preserve">SCE shall include a non-zero amount of Other Regulatory Assets/Liabilities only with Commission </t>
  </si>
  <si>
    <t>Other Regulatory Assets/Liabilities (EOY):</t>
  </si>
  <si>
    <t>Description of Issue</t>
  </si>
  <si>
    <t>Resulting in Other Regulatory</t>
  </si>
  <si>
    <t>Asset/Liability</t>
  </si>
  <si>
    <t>Issue #1</t>
  </si>
  <si>
    <t>Issue #2</t>
  </si>
  <si>
    <t>Issue #3</t>
  </si>
  <si>
    <t>Other Reg</t>
  </si>
  <si>
    <t>Regulatory</t>
  </si>
  <si>
    <t>costs through this formula transmission rate:</t>
  </si>
  <si>
    <t>2) Add additional lines as necessary for additional issues.</t>
  </si>
  <si>
    <t>Total Substation</t>
  </si>
  <si>
    <t>Land</t>
  </si>
  <si>
    <t>Total Substation and Land</t>
  </si>
  <si>
    <t>Lines</t>
  </si>
  <si>
    <t>Total Lines</t>
  </si>
  <si>
    <t>Substation</t>
  </si>
  <si>
    <t>Land:</t>
  </si>
  <si>
    <t>Structures:</t>
  </si>
  <si>
    <t>Total Structures</t>
  </si>
  <si>
    <t>Transmission Plant Study</t>
  </si>
  <si>
    <t>ISO</t>
  </si>
  <si>
    <t>ISO %</t>
  </si>
  <si>
    <t>of Total</t>
  </si>
  <si>
    <t>B) Plant Classified as Distribution in  FERC Form 1:</t>
  </si>
  <si>
    <t>Total Transmission</t>
  </si>
  <si>
    <t>Data Source</t>
  </si>
  <si>
    <t>FF1 207.49g</t>
  </si>
  <si>
    <t>FF1 207.50g</t>
  </si>
  <si>
    <t>FF1 207.48g</t>
  </si>
  <si>
    <t>FF1 207.51g</t>
  </si>
  <si>
    <t>FF1 207.52g</t>
  </si>
  <si>
    <t>FF1 207.53g</t>
  </si>
  <si>
    <t>FF1 207.54g</t>
  </si>
  <si>
    <t>FF1 207.55g</t>
  </si>
  <si>
    <t>FF1 207.56g</t>
  </si>
  <si>
    <t>FF1 207.60g</t>
  </si>
  <si>
    <t>FF1 207.61g</t>
  </si>
  <si>
    <t>FF1 207.62g</t>
  </si>
  <si>
    <t>1) Total transmission does not include account 359.1 "Asset Retirement Costs for Transmission Plant"</t>
  </si>
  <si>
    <t>Input cells are shaded yellow</t>
  </si>
  <si>
    <t>less FF1 207.57g (Asset Retirement Costs for Transmission Plant).</t>
  </si>
  <si>
    <t>1) Perform annual Transmission Study pursuant to instructions in tariff.</t>
  </si>
  <si>
    <t>2) Only accounts 360-362 included as there is no ISO plant in any other Distribution accounts.</t>
  </si>
  <si>
    <t>Total on this line is also equal to FF1 207.58g (Total Transmission Plant)</t>
  </si>
  <si>
    <t>Structures</t>
  </si>
  <si>
    <t>Substations:</t>
  </si>
  <si>
    <t>Total Lines and Substations</t>
  </si>
  <si>
    <t>Derivation of High Voltage and Low Voltage Gross Plant Percentages</t>
  </si>
  <si>
    <t>LV Transmission Lines</t>
  </si>
  <si>
    <t>Total ISO</t>
  </si>
  <si>
    <t>Gross Plant</t>
  </si>
  <si>
    <t>HV Land</t>
  </si>
  <si>
    <t>LV Land</t>
  </si>
  <si>
    <t>Transformers</t>
  </si>
  <si>
    <t>Classification of Facility:</t>
  </si>
  <si>
    <t>HV Substations (&gt;= 200 kV)</t>
  </si>
  <si>
    <t>Lines:</t>
  </si>
  <si>
    <t>Determination of HV and LV Gross Plant Percentages for ISO Transmission Plant in accordance with ISO Tariff Appendix F, Schedule 3, Section 12.</t>
  </si>
  <si>
    <t>Voltage</t>
  </si>
  <si>
    <t>High</t>
  </si>
  <si>
    <t>Low</t>
  </si>
  <si>
    <t>Gross Plant Percentages (Prior Year):</t>
  </si>
  <si>
    <t>Total Determined HV/LV:</t>
  </si>
  <si>
    <t>Straddling Transformers</t>
  </si>
  <si>
    <t>From above Line 12</t>
  </si>
  <si>
    <t>Sum of lines 18 and 19</t>
  </si>
  <si>
    <t>Percent of Total</t>
  </si>
  <si>
    <t>Total HV and LV Gross Plant for Prior Year</t>
  </si>
  <si>
    <t>Total HV and LV Gross Plant for REP</t>
  </si>
  <si>
    <t>A) Total ISO Plant from Prior Year</t>
  </si>
  <si>
    <t>B) Gross Plant Percentage for the Rate Effective Period:</t>
  </si>
  <si>
    <t>FERC Form 1</t>
  </si>
  <si>
    <t>Total Amount Excluded</t>
  </si>
  <si>
    <t>Shareholder</t>
  </si>
  <si>
    <t>Franchise</t>
  </si>
  <si>
    <t>Requirements</t>
  </si>
  <si>
    <t>PBOPs</t>
  </si>
  <si>
    <t>Authorized PBOPs expense amount:</t>
  </si>
  <si>
    <t>Prior Year FF1 PBOPs expense:</t>
  </si>
  <si>
    <t>Note 1: Itemization of exclusions</t>
  </si>
  <si>
    <t>PBOPs Expense Exclusion:</t>
  </si>
  <si>
    <t>Note 3: PBOPs Exclusion Calculation</t>
  </si>
  <si>
    <t>through the Franchise Fees Expense item.</t>
  </si>
  <si>
    <t>See instruction #4</t>
  </si>
  <si>
    <t>1) Summary of True Up Adjustment calculation:</t>
  </si>
  <si>
    <t>4) True Up Adjustment</t>
  </si>
  <si>
    <t>a) Enter CWIP mechanism final balance in first True Up Adjustment calculation in accordance with tariff protocols.</t>
  </si>
  <si>
    <t>IREF =</t>
  </si>
  <si>
    <t>Multiplicative factor for each project is the ratio of its ROE adder to 1%.</t>
  </si>
  <si>
    <t>IREF, the Multiplicative Factor, and the million $ of Prior Year Incentive Rate Base.</t>
  </si>
  <si>
    <t>2) Sum project-specific Incentive Adders to yield the total Prior Year Incentive Adder.</t>
  </si>
  <si>
    <t>Transmission Plant Held for Future Use shall be amounts of Electric Plant Held for Future Use (account 105)</t>
  </si>
  <si>
    <t>Gain or Loss on Transmission Plant Held for Future Use --- Land</t>
  </si>
  <si>
    <t>Calculation of Gain or Loss on Transmission Plant Held for Future Use -- Land</t>
  </si>
  <si>
    <t>2) Input STR for the Prior Year</t>
  </si>
  <si>
    <t>3) FF and U Factors</t>
  </si>
  <si>
    <t>1) Approved Franchise Fee Factor(s)</t>
  </si>
  <si>
    <t>FF1 263.2 (see note to left)</t>
  </si>
  <si>
    <t>FF1 263 (see note to left)</t>
  </si>
  <si>
    <t>Sum of Column 2 below</t>
  </si>
  <si>
    <t>a) Fill in Description for issue in above table.</t>
  </si>
  <si>
    <t>b) Enter costs in columns 1-3 in above table for the applicable Prior Year.</t>
  </si>
  <si>
    <t>Actual</t>
  </si>
  <si>
    <t>Including previous year True Up Adjustment.</t>
  </si>
  <si>
    <t>First Project:</t>
  </si>
  <si>
    <t>Fill in Name</t>
  </si>
  <si>
    <t>…</t>
  </si>
  <si>
    <t>2nd Project:</t>
  </si>
  <si>
    <t>(BOY value is EOY value from previous year)</t>
  </si>
  <si>
    <t>3) Add additional years past 2035 if necessary.</t>
  </si>
  <si>
    <t>2a</t>
  </si>
  <si>
    <t>2b</t>
  </si>
  <si>
    <t>2c</t>
  </si>
  <si>
    <t>2d</t>
  </si>
  <si>
    <t>2e</t>
  </si>
  <si>
    <t>2f</t>
  </si>
  <si>
    <t>2g</t>
  </si>
  <si>
    <t>2h</t>
  </si>
  <si>
    <t>BOY amount will be EOY value from previous year FERC Form 1, EOY amount will be in current year FF1.</t>
  </si>
  <si>
    <t>Sum of above lines</t>
  </si>
  <si>
    <t>Generation</t>
  </si>
  <si>
    <t>Public</t>
  </si>
  <si>
    <t>Purpose</t>
  </si>
  <si>
    <t>Retail Base</t>
  </si>
  <si>
    <t>"Total Sales to Ultimate Consumers" from FERC Form 1 Page 300, Line 10, Column b:</t>
  </si>
  <si>
    <t>See Note 6</t>
  </si>
  <si>
    <t>See Note 7</t>
  </si>
  <si>
    <t>= C2 - C3 + C 4</t>
  </si>
  <si>
    <t>Any other Base Transmission Revenue or refunds  is included in "Other".</t>
  </si>
  <si>
    <t>Sum of left</t>
  </si>
  <si>
    <t>1) If additional projects receive ROE adders, add to end of lists, and include in calculation</t>
  </si>
  <si>
    <t>of each Incentive Adder.</t>
  </si>
  <si>
    <t xml:space="preserve">Prior </t>
  </si>
  <si>
    <t>Rancho</t>
  </si>
  <si>
    <t>Vista</t>
  </si>
  <si>
    <t xml:space="preserve">Total TIP </t>
  </si>
  <si>
    <t xml:space="preserve">Net Plant </t>
  </si>
  <si>
    <t xml:space="preserve">Prior Year CWIP and Forecast Period Incremental CWIP by Project </t>
  </si>
  <si>
    <t>Col 8</t>
  </si>
  <si>
    <t>Total CWIP</t>
  </si>
  <si>
    <t>13 Month Averages:</t>
  </si>
  <si>
    <t>to include CWIP in Rate Base.</t>
  </si>
  <si>
    <t>Lugo-Pisgah/</t>
  </si>
  <si>
    <t>Red Bluff</t>
  </si>
  <si>
    <t>3) Devers-Colorado R</t>
  </si>
  <si>
    <t>columns</t>
  </si>
  <si>
    <t>or Other</t>
  </si>
  <si>
    <t>Exclusions</t>
  </si>
  <si>
    <t>2) The Incremental Forecast Period TRR is the component of Base TRR associated with forecast additions to in-service</t>
  </si>
  <si>
    <t>These components represent the following costs that SCE incurs:</t>
  </si>
  <si>
    <t>the municipality.</t>
  </si>
  <si>
    <t xml:space="preserve">1) Franchise Fees represent payments that SCE makes to municipal entities for the right to locate facilities within </t>
  </si>
  <si>
    <t>FF1 227.12c</t>
  </si>
  <si>
    <t>FF1 227.12b</t>
  </si>
  <si>
    <t xml:space="preserve">Materials and Supplies is the amount of  total Account 154 Materials and Supplies </t>
  </si>
  <si>
    <t>times the Transmission Wages and Salaries AF</t>
  </si>
  <si>
    <t>A</t>
  </si>
  <si>
    <t>B</t>
  </si>
  <si>
    <t>C</t>
  </si>
  <si>
    <t>D</t>
  </si>
  <si>
    <t>E</t>
  </si>
  <si>
    <t>F</t>
  </si>
  <si>
    <t>G</t>
  </si>
  <si>
    <t>H</t>
  </si>
  <si>
    <t>I</t>
  </si>
  <si>
    <t>J</t>
  </si>
  <si>
    <t>K</t>
  </si>
  <si>
    <t>L</t>
  </si>
  <si>
    <t>M</t>
  </si>
  <si>
    <t>N</t>
  </si>
  <si>
    <t>Traditional OOR</t>
  </si>
  <si>
    <t>GRSM</t>
  </si>
  <si>
    <t>Other Ratemaking</t>
  </si>
  <si>
    <t>FERC ACCT</t>
  </si>
  <si>
    <t>ACCT</t>
  </si>
  <si>
    <t>ACCT DESCRIPTION</t>
  </si>
  <si>
    <t>DOLLARS</t>
  </si>
  <si>
    <t>Category</t>
  </si>
  <si>
    <t>Non-ISO</t>
  </si>
  <si>
    <t>A/P</t>
  </si>
  <si>
    <t>Threshold [10]</t>
  </si>
  <si>
    <t>1a</t>
  </si>
  <si>
    <t>4191110</t>
  </si>
  <si>
    <t>1b</t>
  </si>
  <si>
    <t>4191115</t>
  </si>
  <si>
    <t>Residential Late Payment</t>
  </si>
  <si>
    <t>1c</t>
  </si>
  <si>
    <t>4191120</t>
  </si>
  <si>
    <t>Non-Residential Late Payment</t>
  </si>
  <si>
    <t>450 Total</t>
  </si>
  <si>
    <t>4a</t>
  </si>
  <si>
    <t>4182110</t>
  </si>
  <si>
    <t>Recover Unauthorized Use/Non-Energy</t>
  </si>
  <si>
    <t>4b</t>
  </si>
  <si>
    <t>4182115</t>
  </si>
  <si>
    <t>Miscellaneous Service Revenue - Ownership Cost</t>
  </si>
  <si>
    <t>4c</t>
  </si>
  <si>
    <t>4192110</t>
  </si>
  <si>
    <t>Miscellaneous Service Revenues</t>
  </si>
  <si>
    <t>4d</t>
  </si>
  <si>
    <t>4192115</t>
  </si>
  <si>
    <t>Returned Check Charges</t>
  </si>
  <si>
    <t>4e</t>
  </si>
  <si>
    <t>4192125</t>
  </si>
  <si>
    <t>Service Reconnection Charges</t>
  </si>
  <si>
    <t>4f</t>
  </si>
  <si>
    <t>4192130</t>
  </si>
  <si>
    <t>Service Establishment Charge</t>
  </si>
  <si>
    <t>4g</t>
  </si>
  <si>
    <t>4192140</t>
  </si>
  <si>
    <t>Field Collection Charges</t>
  </si>
  <si>
    <t>4h</t>
  </si>
  <si>
    <t>4192510</t>
  </si>
  <si>
    <t>Quickcheck Revenue</t>
  </si>
  <si>
    <t>P</t>
  </si>
  <si>
    <t>4i</t>
  </si>
  <si>
    <t>4192910</t>
  </si>
  <si>
    <t>PUC Reimbursement Fee-Elect</t>
  </si>
  <si>
    <t>451 Total</t>
  </si>
  <si>
    <t>7a</t>
  </si>
  <si>
    <t>7b</t>
  </si>
  <si>
    <t>7c</t>
  </si>
  <si>
    <t>4183110</t>
  </si>
  <si>
    <t>Sales of Water &amp; Water Power - San Joaquin</t>
  </si>
  <si>
    <t>4183115</t>
  </si>
  <si>
    <t>Sales of Water &amp; Water Power - Headwater</t>
  </si>
  <si>
    <t>453 Total</t>
  </si>
  <si>
    <t>10a</t>
  </si>
  <si>
    <t>10b</t>
  </si>
  <si>
    <t>10c</t>
  </si>
  <si>
    <t>10d</t>
  </si>
  <si>
    <t>4184110</t>
  </si>
  <si>
    <t>Joint Pole - Tariffed Conduit Rental</t>
  </si>
  <si>
    <t>10e</t>
  </si>
  <si>
    <t>4184112</t>
  </si>
  <si>
    <t>Joint Pole - Tariffed Pole Rental - Cable Cos.</t>
  </si>
  <si>
    <t>10f</t>
  </si>
  <si>
    <t>4184114</t>
  </si>
  <si>
    <t>Joint Pole - Tariffed Process &amp; Eng Fees - Cable</t>
  </si>
  <si>
    <t>10g</t>
  </si>
  <si>
    <t>4184116</t>
  </si>
  <si>
    <t>Joint Pole - Tariffed Process &amp; Eng Fees - Conduit</t>
  </si>
  <si>
    <t>10h</t>
  </si>
  <si>
    <t>4184118</t>
  </si>
  <si>
    <t>Joint Pole - Pl Attchmnt Audit - Undoc P&amp;E Fee</t>
  </si>
  <si>
    <t>10i</t>
  </si>
  <si>
    <t>4184510</t>
  </si>
  <si>
    <t>Joint Pole - Non-Tariffed Pole Rental</t>
  </si>
  <si>
    <t>10j</t>
  </si>
  <si>
    <t>4184512</t>
  </si>
  <si>
    <t>Joint Pole - Non-Tariff Process &amp; Engineering Fees</t>
  </si>
  <si>
    <t>10k</t>
  </si>
  <si>
    <t>4184514</t>
  </si>
  <si>
    <t>Joint Pole - Non-Tariff Requests for Information</t>
  </si>
  <si>
    <t>10l</t>
  </si>
  <si>
    <t>4184516</t>
  </si>
  <si>
    <t>Oil And Gas Royalties</t>
  </si>
  <si>
    <t>10m</t>
  </si>
  <si>
    <t>4184518</t>
  </si>
  <si>
    <t>10n</t>
  </si>
  <si>
    <t>4184810</t>
  </si>
  <si>
    <t>Facility Cost -EIX/Nonutility</t>
  </si>
  <si>
    <t>6, 12</t>
  </si>
  <si>
    <t>10o</t>
  </si>
  <si>
    <t>4184815</t>
  </si>
  <si>
    <t>Facility Cost- Utility</t>
  </si>
  <si>
    <t>10p</t>
  </si>
  <si>
    <t>4184820</t>
  </si>
  <si>
    <t>Rent Billed to Non-Utility Affiliates</t>
  </si>
  <si>
    <t>10q</t>
  </si>
  <si>
    <t>4184825</t>
  </si>
  <si>
    <t>Rent Billed to Utility Affiliates</t>
  </si>
  <si>
    <t>10r</t>
  </si>
  <si>
    <t>4194110</t>
  </si>
  <si>
    <t>Meter Leasing Revenue</t>
  </si>
  <si>
    <t>10s</t>
  </si>
  <si>
    <t>4194115</t>
  </si>
  <si>
    <t>Company Financed Added Facilities</t>
  </si>
  <si>
    <t>10t</t>
  </si>
  <si>
    <t>4194120</t>
  </si>
  <si>
    <t>Company Financed Interconnect Facilities</t>
  </si>
  <si>
    <t>10u</t>
  </si>
  <si>
    <t>4194130</t>
  </si>
  <si>
    <t>SCE Financed Added Faclty</t>
  </si>
  <si>
    <t>10v</t>
  </si>
  <si>
    <t>4194135</t>
  </si>
  <si>
    <t>Interconnect Facility Finance Charge</t>
  </si>
  <si>
    <t>10w</t>
  </si>
  <si>
    <t>4204515</t>
  </si>
  <si>
    <t>Operating Land &amp; Facilities Rent Revenue</t>
  </si>
  <si>
    <t>4867020</t>
  </si>
  <si>
    <t>Nonoperating Misc Land &amp; Facilities Rent</t>
  </si>
  <si>
    <t>454 Total</t>
  </si>
  <si>
    <t>12a</t>
  </si>
  <si>
    <t>12b</t>
  </si>
  <si>
    <t>12c</t>
  </si>
  <si>
    <t>12d</t>
  </si>
  <si>
    <t>4186114</t>
  </si>
  <si>
    <t>Energy Related Services</t>
  </si>
  <si>
    <t>4186118</t>
  </si>
  <si>
    <t>Distribution Miscellaneous Electric Revenues</t>
  </si>
  <si>
    <t>4186120</t>
  </si>
  <si>
    <t>Added Facilities - One Time Charge</t>
  </si>
  <si>
    <t>12e</t>
  </si>
  <si>
    <t>4186122</t>
  </si>
  <si>
    <t>Building Rental - Nev Power/Mohave Cr</t>
  </si>
  <si>
    <t>12f</t>
  </si>
  <si>
    <t>4186126</t>
  </si>
  <si>
    <t>Service Fee - Optimal Bill Prd</t>
  </si>
  <si>
    <t>12g</t>
  </si>
  <si>
    <t>4186128</t>
  </si>
  <si>
    <t>Miscellaneous Revenues</t>
  </si>
  <si>
    <t>12h</t>
  </si>
  <si>
    <t>4186130</t>
  </si>
  <si>
    <t>Tule Power Plant - Revenue</t>
  </si>
  <si>
    <t>12i</t>
  </si>
  <si>
    <t>4186150</t>
  </si>
  <si>
    <t>Utility Subs Labor Markup</t>
  </si>
  <si>
    <t>12j</t>
  </si>
  <si>
    <t>4186155</t>
  </si>
  <si>
    <t>Non Utility Subs Labor Markup</t>
  </si>
  <si>
    <t>12k</t>
  </si>
  <si>
    <t>4186162</t>
  </si>
  <si>
    <t>Reliant Eng FSA Ann Pymnt-Mandalay</t>
  </si>
  <si>
    <t>12l</t>
  </si>
  <si>
    <t>4186164</t>
  </si>
  <si>
    <t>Reliant Eng FSA Ann Pymnt-Ormond Beach</t>
  </si>
  <si>
    <t>12m</t>
  </si>
  <si>
    <t>4186166</t>
  </si>
  <si>
    <t>Reliant Eng FSA Ann Pymnt-Etiwanda</t>
  </si>
  <si>
    <t>12n</t>
  </si>
  <si>
    <t>4186168</t>
  </si>
  <si>
    <t>Reliant Eng FSA Ann Pymnt-Ellwood</t>
  </si>
  <si>
    <t>12o</t>
  </si>
  <si>
    <t>4186170</t>
  </si>
  <si>
    <t>Reliant Eng FSA Ann Pymnt-Coolwater</t>
  </si>
  <si>
    <t>12p</t>
  </si>
  <si>
    <t>4186194</t>
  </si>
  <si>
    <t>Property License Fee revenue</t>
  </si>
  <si>
    <t>12q</t>
  </si>
  <si>
    <t>4186512</t>
  </si>
  <si>
    <t>Revenue From Recreation, Fish &amp; Wildlife</t>
  </si>
  <si>
    <t>12r</t>
  </si>
  <si>
    <t>4186514</t>
  </si>
  <si>
    <t>Mapping Services</t>
  </si>
  <si>
    <t>12s</t>
  </si>
  <si>
    <t>4186518</t>
  </si>
  <si>
    <t>Enhanced Pump Test Revenue</t>
  </si>
  <si>
    <t>12t</t>
  </si>
  <si>
    <t>4186520</t>
  </si>
  <si>
    <t>RTTC Revenue</t>
  </si>
  <si>
    <t>12u</t>
  </si>
  <si>
    <t>4186524</t>
  </si>
  <si>
    <t>Revenue From Scrap Paper - General Office</t>
  </si>
  <si>
    <t>12v</t>
  </si>
  <si>
    <t>4186528</t>
  </si>
  <si>
    <t>CTAC Revenues</t>
  </si>
  <si>
    <t>12w</t>
  </si>
  <si>
    <t>4186530</t>
  </si>
  <si>
    <t>AGTAC Revenues</t>
  </si>
  <si>
    <t>12x</t>
  </si>
  <si>
    <t>Other Inc/erd Party DC-ESM</t>
  </si>
  <si>
    <t>12y</t>
  </si>
  <si>
    <t>3rd Party-Div Tmg-Cr PPD training</t>
  </si>
  <si>
    <t>12z</t>
  </si>
  <si>
    <t>4186716</t>
  </si>
  <si>
    <t>ADT Vendor Service Revenue</t>
  </si>
  <si>
    <t>12aa</t>
  </si>
  <si>
    <t>4186718</t>
  </si>
  <si>
    <t>Read Water Meters - Irvine Ranch</t>
  </si>
  <si>
    <t>12bb</t>
  </si>
  <si>
    <t>4186720</t>
  </si>
  <si>
    <t>Read Water Meters - Rancho California</t>
  </si>
  <si>
    <t>12cc</t>
  </si>
  <si>
    <t>4186722</t>
  </si>
  <si>
    <t>Read Water Meters - Long Beach</t>
  </si>
  <si>
    <t>12dd</t>
  </si>
  <si>
    <t>4186730</t>
  </si>
  <si>
    <t>SSID Transformer Repair Services Revenue</t>
  </si>
  <si>
    <t>12ee</t>
  </si>
  <si>
    <t>4186815</t>
  </si>
  <si>
    <t>Employee Transfer/Affiliate Fee</t>
  </si>
  <si>
    <t>12ff</t>
  </si>
  <si>
    <t>4186910</t>
  </si>
  <si>
    <t>ITCC/CIAC Revenues</t>
  </si>
  <si>
    <t>12gg</t>
  </si>
  <si>
    <t>4186912</t>
  </si>
  <si>
    <t>12hh</t>
  </si>
  <si>
    <t>4186914</t>
  </si>
  <si>
    <t>12ii</t>
  </si>
  <si>
    <t>4186916</t>
  </si>
  <si>
    <t>Offset to Revenue from NDT Earnings/Realized</t>
  </si>
  <si>
    <t>12jj</t>
  </si>
  <si>
    <t>4186918</t>
  </si>
  <si>
    <t>Offset to Revenue from FAS 115 FMV</t>
  </si>
  <si>
    <t>12kk</t>
  </si>
  <si>
    <t>4186920</t>
  </si>
  <si>
    <t>12ll</t>
  </si>
  <si>
    <t>4186922</t>
  </si>
  <si>
    <t>Offset to Revenue from FAS 115-1 Gains &amp; Loss</t>
  </si>
  <si>
    <t>12mm</t>
  </si>
  <si>
    <t>4188712</t>
  </si>
  <si>
    <t>Power Supply Installations - IMS</t>
  </si>
  <si>
    <t>12nn</t>
  </si>
  <si>
    <t>4188714</t>
  </si>
  <si>
    <t>Consulting Fees - IMS</t>
  </si>
  <si>
    <t>12oo</t>
  </si>
  <si>
    <t>4188818</t>
  </si>
  <si>
    <t>FTR Auction Revenue</t>
  </si>
  <si>
    <t>12pp</t>
  </si>
  <si>
    <t>4196105</t>
  </si>
  <si>
    <t>DA Revenue</t>
  </si>
  <si>
    <t>12qq</t>
  </si>
  <si>
    <t>4196154</t>
  </si>
  <si>
    <t>Direct Access Monthly Customer Charges</t>
  </si>
  <si>
    <t>12rr</t>
  </si>
  <si>
    <t>4196158</t>
  </si>
  <si>
    <t>EDBL Customer Finance Added Facilities</t>
  </si>
  <si>
    <t>12ss</t>
  </si>
  <si>
    <t>4196162</t>
  </si>
  <si>
    <t>SCE Energy Manager Fee Based Services</t>
  </si>
  <si>
    <t>12tt</t>
  </si>
  <si>
    <t>4196166</t>
  </si>
  <si>
    <t>SCE Energy Manager Fee Based Services Adj</t>
  </si>
  <si>
    <t>12uu</t>
  </si>
  <si>
    <t>4196172</t>
  </si>
  <si>
    <t>Off Grid Photo Voltaic Revenues</t>
  </si>
  <si>
    <t>12vv</t>
  </si>
  <si>
    <t>4196174</t>
  </si>
  <si>
    <t>Scheduling/Dispatch Revenues</t>
  </si>
  <si>
    <t>12ww</t>
  </si>
  <si>
    <t>4196176</t>
  </si>
  <si>
    <t>Interconnect Facilities Charges-Customer Financed</t>
  </si>
  <si>
    <t>12xx</t>
  </si>
  <si>
    <t>4196178</t>
  </si>
  <si>
    <t>Interconnect Facilities Charges - SCE Financed</t>
  </si>
  <si>
    <t>12yy</t>
  </si>
  <si>
    <t>4196184</t>
  </si>
  <si>
    <t>DMS Service Fees</t>
  </si>
  <si>
    <t>12zz</t>
  </si>
  <si>
    <t>4196188</t>
  </si>
  <si>
    <t>CCA - Information Fees</t>
  </si>
  <si>
    <t>4206515</t>
  </si>
  <si>
    <t>456 Total</t>
  </si>
  <si>
    <t>15a</t>
  </si>
  <si>
    <t>4188112</t>
  </si>
  <si>
    <t>Trans of Elec of Others - Pasadena</t>
  </si>
  <si>
    <t>15b</t>
  </si>
  <si>
    <t>4188114</t>
  </si>
  <si>
    <t>FTS PPU/Non-ISO</t>
  </si>
  <si>
    <t>15c</t>
  </si>
  <si>
    <t>4188116</t>
  </si>
  <si>
    <t>FTS Non-PPU/Non-ISO</t>
  </si>
  <si>
    <t>15d</t>
  </si>
  <si>
    <t>4188812</t>
  </si>
  <si>
    <t>ISO-Wheeling Revenue - Low Voltage</t>
  </si>
  <si>
    <t>15e</t>
  </si>
  <si>
    <t>4188814</t>
  </si>
  <si>
    <t>ISO-Wheeling Revenue - High Voltage</t>
  </si>
  <si>
    <t>15f</t>
  </si>
  <si>
    <t>4188816</t>
  </si>
  <si>
    <t>ISO-Congestion Revenue</t>
  </si>
  <si>
    <t>15g</t>
  </si>
  <si>
    <t>4198110</t>
  </si>
  <si>
    <t>Transmission of Elec of Others</t>
  </si>
  <si>
    <t>15h</t>
  </si>
  <si>
    <t>4198112</t>
  </si>
  <si>
    <t>WDAT</t>
  </si>
  <si>
    <t>15i</t>
  </si>
  <si>
    <t>4198114</t>
  </si>
  <si>
    <t>Radial Line Rev-Base Cost - Reliant Coolwater</t>
  </si>
  <si>
    <t>15j</t>
  </si>
  <si>
    <t>4198115</t>
  </si>
  <si>
    <t>High Voltage Trans Access Rev (Existing Contracts)</t>
  </si>
  <si>
    <t>15k</t>
  </si>
  <si>
    <t>4198116</t>
  </si>
  <si>
    <t>Radial Line Rev-Base Cost - Reliant Ormond Beach</t>
  </si>
  <si>
    <t>15l</t>
  </si>
  <si>
    <t>4198118</t>
  </si>
  <si>
    <t>Radial Line Rev-O&amp;M - AES Huntington Beach</t>
  </si>
  <si>
    <t>15m</t>
  </si>
  <si>
    <t>4198120</t>
  </si>
  <si>
    <t>Radial Line Rev-O&amp;M - Reliant Mandalay</t>
  </si>
  <si>
    <t>15n</t>
  </si>
  <si>
    <t>4198122</t>
  </si>
  <si>
    <t>Radial Line Rev-O&amp;M - Reliant Coolwater</t>
  </si>
  <si>
    <t>15o</t>
  </si>
  <si>
    <t>4198124</t>
  </si>
  <si>
    <t>Radial Line Rev-O&amp;M - Ormond Beach</t>
  </si>
  <si>
    <t>15p</t>
  </si>
  <si>
    <t>4198126</t>
  </si>
  <si>
    <t>High Desert Tie-Line Rental Rev</t>
  </si>
  <si>
    <t>15q</t>
  </si>
  <si>
    <t>4198128</t>
  </si>
  <si>
    <t>Scheduling/Dispatch Revenues (CSS)</t>
  </si>
  <si>
    <t>15r</t>
  </si>
  <si>
    <t>4198130</t>
  </si>
  <si>
    <t>Inland Empire CRT Tie-Line EX</t>
  </si>
  <si>
    <t>15s</t>
  </si>
  <si>
    <t>4198910</t>
  </si>
  <si>
    <t>Reliability Service Revenue - Non-PTO's</t>
  </si>
  <si>
    <t>456.1 Total</t>
  </si>
  <si>
    <t>18a</t>
  </si>
  <si>
    <t>457.1 Total</t>
  </si>
  <si>
    <t>21a</t>
  </si>
  <si>
    <t>457.2 Total</t>
  </si>
  <si>
    <t>Edison Carrier Solutions (ECS)</t>
  </si>
  <si>
    <t>24a</t>
  </si>
  <si>
    <t>ECS - Pass Pole Attachments</t>
  </si>
  <si>
    <t>24b</t>
  </si>
  <si>
    <t>ECS - Distribution Facilities</t>
  </si>
  <si>
    <t>24c</t>
  </si>
  <si>
    <t>ECS - Dark Fiber</t>
  </si>
  <si>
    <t>24d</t>
  </si>
  <si>
    <t>ECS - SCE Net Fiber</t>
  </si>
  <si>
    <t>24e</t>
  </si>
  <si>
    <t>ECS - Transmission Right of Way</t>
  </si>
  <si>
    <t>24f</t>
  </si>
  <si>
    <t>ECS - Wholesale FCC</t>
  </si>
  <si>
    <t>24g</t>
  </si>
  <si>
    <t>24h</t>
  </si>
  <si>
    <t>ECS - EU FCC Rev</t>
  </si>
  <si>
    <t>24i</t>
  </si>
  <si>
    <t>ECS - Cell Site Rent and Use (Active)</t>
  </si>
  <si>
    <t>24j</t>
  </si>
  <si>
    <t>ECS - Cell Site Reimbursable (Active)</t>
  </si>
  <si>
    <t>24k</t>
  </si>
  <si>
    <t>ECS - Communication Sites</t>
  </si>
  <si>
    <t>24l</t>
  </si>
  <si>
    <t>ECS - Cell Site Rent and Use (Passive)</t>
  </si>
  <si>
    <t>24m</t>
  </si>
  <si>
    <t>ECS - Cell Site Reimbursable (Passive)</t>
  </si>
  <si>
    <t>24n</t>
  </si>
  <si>
    <t>ECS - Micro Cell</t>
  </si>
  <si>
    <t>24o</t>
  </si>
  <si>
    <t>ECS - End User Universal Service Fund Fee</t>
  </si>
  <si>
    <t>417 ECS Total</t>
  </si>
  <si>
    <t>417 Other</t>
  </si>
  <si>
    <t>Subsidiaries</t>
  </si>
  <si>
    <t>28a</t>
  </si>
  <si>
    <t>ESI (Gross Revenues - Active)</t>
  </si>
  <si>
    <t>2,9</t>
  </si>
  <si>
    <t>28b</t>
  </si>
  <si>
    <t>ESI (Gross Revenues - Passive)</t>
  </si>
  <si>
    <t>28c</t>
  </si>
  <si>
    <t>Mono Power Company</t>
  </si>
  <si>
    <t>28d</t>
  </si>
  <si>
    <t>SCE Capital Company</t>
  </si>
  <si>
    <t>418.1 Subsidiaries Total</t>
  </si>
  <si>
    <t>Totals</t>
  </si>
  <si>
    <t>Ratepayers' Share of Threshold Revenue</t>
  </si>
  <si>
    <t>= Line 32K</t>
  </si>
  <si>
    <t>see Note 11</t>
  </si>
  <si>
    <t xml:space="preserve">ISO Ratepayers' Share of Threshold Revenue </t>
  </si>
  <si>
    <t>Total Active Incremental Revenue</t>
  </si>
  <si>
    <t>= Sum Active categories in column L</t>
  </si>
  <si>
    <t>Ratepayers' Share of Active Incremental Revenue</t>
  </si>
  <si>
    <t>Total Passive Incremental Revenue</t>
  </si>
  <si>
    <t>= Sum Passive categories in column L</t>
  </si>
  <si>
    <t>Ratepayers' Share of Passive Incremental Revenue</t>
  </si>
  <si>
    <t>Total Ratepayers' Share of Incremental Revenue</t>
  </si>
  <si>
    <t>ISO Ratepayers' Share of Incremental Revenue (%)</t>
  </si>
  <si>
    <t xml:space="preserve">ISO Ratepayers' Share of Incremental Revenue </t>
  </si>
  <si>
    <t>1-</t>
  </si>
  <si>
    <t>2-</t>
  </si>
  <si>
    <t>3-</t>
  </si>
  <si>
    <t>Generation related.</t>
  </si>
  <si>
    <t>4-</t>
  </si>
  <si>
    <t>5-</t>
  </si>
  <si>
    <t>ISO transmission system related.</t>
  </si>
  <si>
    <t>6-</t>
  </si>
  <si>
    <t>Subject to balancing account treatment</t>
  </si>
  <si>
    <t>7-</t>
  </si>
  <si>
    <t>ISO Allocator =</t>
  </si>
  <si>
    <t>8-</t>
  </si>
  <si>
    <t xml:space="preserve">ISO portion of Traditional OOR relates to monthly revenues received from customers for facilities that are part of the ISO network.  </t>
  </si>
  <si>
    <t>9-</t>
  </si>
  <si>
    <t>Edison ESI is a subsidiary company.  Gross revenues are not reported in FF-1, only net earnings.  Net Earnings for ESI are reported on Acct 418.1, pg 225.5e.</t>
  </si>
  <si>
    <t>10-</t>
  </si>
  <si>
    <t>The first $16,671,389 million in gross revenues generated by GRSM activities are automatically classified as Threshold Revenue.</t>
  </si>
  <si>
    <t>11-</t>
  </si>
  <si>
    <t>12-</t>
  </si>
  <si>
    <t>13-</t>
  </si>
  <si>
    <t>14-</t>
  </si>
  <si>
    <t>Gains and Losses on Trans. Plant Held for Future Use -- Land</t>
  </si>
  <si>
    <t>Total Revenue Credits:</t>
  </si>
  <si>
    <t>Prior Year CWIP is the amount of Construction Work In Progress for projects that have received Commission approval</t>
  </si>
  <si>
    <t>Col 9</t>
  </si>
  <si>
    <t>Calculations:</t>
  </si>
  <si>
    <t>See Note 4</t>
  </si>
  <si>
    <t>See Note 5</t>
  </si>
  <si>
    <t>=C7 + C8</t>
  </si>
  <si>
    <t>Previous</t>
  </si>
  <si>
    <t>wo Interest</t>
  </si>
  <si>
    <t>TRR</t>
  </si>
  <si>
    <t>with Interest</t>
  </si>
  <si>
    <t>Beginning</t>
  </si>
  <si>
    <t>Ending</t>
  </si>
  <si>
    <t>Balance</t>
  </si>
  <si>
    <t>5) Final True Up Adjustment</t>
  </si>
  <si>
    <t>3) Enter monthly interest rates in accordance with interest rate specified in the regulations of FERC at</t>
  </si>
  <si>
    <t>d) Any Base Transmission Revenue not attributable to this formula.</t>
  </si>
  <si>
    <t>1) Depreciation Expense for Transmission Plant - ISO</t>
  </si>
  <si>
    <t>Col 10</t>
  </si>
  <si>
    <t>Account:</t>
  </si>
  <si>
    <t>1) Calculation of Depreciation Expense for Transmission Plant - ISO</t>
  </si>
  <si>
    <t>Col 11</t>
  </si>
  <si>
    <t>Monthly Depreciation Expense for Transmission Plant - ISO by FERC Account:</t>
  </si>
  <si>
    <t>Balances for Transmission Plant - ISO during the Prior Year, including December of previous year:</t>
  </si>
  <si>
    <t>Total Annual Depreciation Expense for Transmission Plant - ISO:</t>
  </si>
  <si>
    <t>(equals sum of monthly amounts)</t>
  </si>
  <si>
    <t>Total General Plant Depreciation Expense</t>
  </si>
  <si>
    <t>Total Intangible Plant Depreciation Expense</t>
  </si>
  <si>
    <t>FF1 336.10f</t>
  </si>
  <si>
    <t>FF1 336.1f</t>
  </si>
  <si>
    <t>Sum of Total General and Total Intangible Depreciation Expense</t>
  </si>
  <si>
    <t>General and Intangible Depreciation Expense</t>
  </si>
  <si>
    <t>3) General and Intangible Depreciation Expense</t>
  </si>
  <si>
    <t>2) Depreciation Expense for Distribution Plant - ISO</t>
  </si>
  <si>
    <t>Two Incentive Adders are calculated:</t>
  </si>
  <si>
    <t>a) The Prior Year Incentive Adder is a component of the Prior Year TRR.</t>
  </si>
  <si>
    <t xml:space="preserve"> = Sum of all</t>
  </si>
  <si>
    <t>Whirlwind</t>
  </si>
  <si>
    <t>Expansion</t>
  </si>
  <si>
    <t>Col 12</t>
  </si>
  <si>
    <t xml:space="preserve">Colorado </t>
  </si>
  <si>
    <t>River</t>
  </si>
  <si>
    <t>Kramer</t>
  </si>
  <si>
    <t>South of</t>
  </si>
  <si>
    <t>West of</t>
  </si>
  <si>
    <t>Devers</t>
  </si>
  <si>
    <t>1) Enter recorded amounts of CWIP during Prior Year on Lines 1-13, 15-27 (including December of year previous to Prior Year).</t>
  </si>
  <si>
    <t>1) Summary of CWIP Plant in Prior Year and Forecast Period</t>
  </si>
  <si>
    <t>1) Rate Base in Prior Year</t>
  </si>
  <si>
    <t>Net Plant</t>
  </si>
  <si>
    <t>b) Annual Fixed Charge Rate ("AFCR")</t>
  </si>
  <si>
    <t>Net Plant:</t>
  </si>
  <si>
    <t>1) Calculation of Annual Fixed Charge Rates:</t>
  </si>
  <si>
    <t>4) Lugo-Pisgah</t>
  </si>
  <si>
    <t>5) Red Bluff</t>
  </si>
  <si>
    <t>6) Whirlwind Substation Exp.</t>
  </si>
  <si>
    <t>7) Colorado River Sub. Exp.</t>
  </si>
  <si>
    <t>8) South of Kramer</t>
  </si>
  <si>
    <t>9) West of Devers</t>
  </si>
  <si>
    <t>4) Prior Year TIP Net Plant In Service</t>
  </si>
  <si>
    <t>Additions</t>
  </si>
  <si>
    <t>to Prior Year</t>
  </si>
  <si>
    <t>year previous</t>
  </si>
  <si>
    <t>←December of</t>
  </si>
  <si>
    <t>2) Calculation of Depreciation Expense for Distribution Plant - ISO</t>
  </si>
  <si>
    <t>Distribution Plant - ISO BOY</t>
  </si>
  <si>
    <t>Distribution Plant - ISO EOY</t>
  </si>
  <si>
    <t>Average BOY/EOY :</t>
  </si>
  <si>
    <t xml:space="preserve">Total is sum of Depreciation Expense for accounts </t>
  </si>
  <si>
    <t>360, 361, and 362</t>
  </si>
  <si>
    <t>3) Calculation of Depreciation Expense for General Plant and Intangible Plant</t>
  </si>
  <si>
    <t>Depreciation Expense:</t>
  </si>
  <si>
    <t>Depreciation Rates</t>
  </si>
  <si>
    <t>Less</t>
  </si>
  <si>
    <t>Removal</t>
  </si>
  <si>
    <t>Salvage</t>
  </si>
  <si>
    <t>Cost</t>
  </si>
  <si>
    <t>Fee Land</t>
  </si>
  <si>
    <t>Easements</t>
  </si>
  <si>
    <t>Structures and Improvements</t>
  </si>
  <si>
    <t>Station Equipment</t>
  </si>
  <si>
    <t>Poles and Fixtures</t>
  </si>
  <si>
    <t>Overhead Conductors and Devices</t>
  </si>
  <si>
    <t>Underground Conduit</t>
  </si>
  <si>
    <t>Underground Conductors and Devices</t>
  </si>
  <si>
    <t>Roads and Trails</t>
  </si>
  <si>
    <t>Land and Land Rights</t>
  </si>
  <si>
    <t>3) General Plant</t>
  </si>
  <si>
    <t>Office Furniture</t>
  </si>
  <si>
    <t>4) Intangible Plant</t>
  </si>
  <si>
    <t>Hydro Relicensing</t>
  </si>
  <si>
    <t>Radio Frequency</t>
  </si>
  <si>
    <t>Other Intangibles</t>
  </si>
  <si>
    <t>Cap Soft 5yr</t>
  </si>
  <si>
    <t>Cap Soft 7yr</t>
  </si>
  <si>
    <t>Cap Soft 10yr</t>
  </si>
  <si>
    <t>Cap Soft 15yr</t>
  </si>
  <si>
    <t>CLTD = Weighted Cost of Long Term Debt</t>
  </si>
  <si>
    <t>COS = Weighted Cost of Common and Preferred Stock</t>
  </si>
  <si>
    <t>AFCRCWIP =</t>
  </si>
  <si>
    <t>Composite Tax Rate:</t>
  </si>
  <si>
    <t>expressed as a percent.</t>
  </si>
  <si>
    <t>AFCR = (Prior Year TRR - CWIP-related costs) / Net Plant</t>
  </si>
  <si>
    <t>ISO Transmission Plant</t>
  </si>
  <si>
    <t>3) ISO Transmission Plant</t>
  </si>
  <si>
    <t>ISO Transmission Plant is the sum of "Transmission Plant - ISO" and "Distribution Plant - ISO"</t>
  </si>
  <si>
    <t xml:space="preserve">Transmission Depreciation Reserve - ISO </t>
  </si>
  <si>
    <t xml:space="preserve">Distribution Depreciation Reserve - ISO </t>
  </si>
  <si>
    <t>Transmission Plant - ISO:</t>
  </si>
  <si>
    <t>Distribution Plant - ISO:</t>
  </si>
  <si>
    <t>c) Compare costs in (a) to revenues in (b) on a monthly basis and determine "Cumulative Excess (-) or Shortfall (+) in Revenue with Interest".</t>
  </si>
  <si>
    <t>One-Time and</t>
  </si>
  <si>
    <t>wo Interest for</t>
  </si>
  <si>
    <t>for Current</t>
  </si>
  <si>
    <t>Current Month</t>
  </si>
  <si>
    <t>See Note 8</t>
  </si>
  <si>
    <t>See Note 9</t>
  </si>
  <si>
    <t>See Note 10</t>
  </si>
  <si>
    <t>=C3 + C4</t>
  </si>
  <si>
    <t>See Note 11</t>
  </si>
  <si>
    <t>=C5 + C6</t>
  </si>
  <si>
    <t>= - C4</t>
  </si>
  <si>
    <t>Received (+)/</t>
  </si>
  <si>
    <t>Amortization</t>
  </si>
  <si>
    <t>Returned (-)</t>
  </si>
  <si>
    <t>Total Amortization in Rate Effective Period (See Instruction #4):</t>
  </si>
  <si>
    <t>Shortfall or Excess Revenue in Prior Year:</t>
  </si>
  <si>
    <t>TRR AAF</t>
  </si>
  <si>
    <t>See Note 13</t>
  </si>
  <si>
    <t>Enter with the same sign as in previous Informational Update.  If there is no Previous Period True Up Adjustment, then enter $0 in these cells.</t>
  </si>
  <si>
    <t>SCE shall also include that difference in the True Up Adjustment, including interest, at the first opportunity, in accordance with tariff protocols.</t>
  </si>
  <si>
    <t>Actual Retail Base Transmission Revenues for any months not included in True Up Period.</t>
  </si>
  <si>
    <t>3) "Actual Retail Base Transmission Revenues" are SCE retail transmission revenues attributable to this formula transmission rate.</t>
  </si>
  <si>
    <t>4) The "Previous Period True Up Adjustment" are the values of the "True Up Adjustment Received/Returned" in the previous Informational Filing (Same sign).</t>
  </si>
  <si>
    <t>6) "Cumulative Excess (-) or Shortfall (+) in Revenue wo Interest for Current Month" is: 1) in month 1, the amount in Column 5;</t>
  </si>
  <si>
    <t>and 2) in subsequent months is the amount in Column 9 for previous month plus the current month amount in Column 5.</t>
  </si>
  <si>
    <t>7) Interest for Current Month is calculated on average of beginning and ending balances (Column 9 previous month and Column 7 current month).</t>
  </si>
  <si>
    <t>(First month average is 1/2 of ending balance).</t>
  </si>
  <si>
    <t>Transmission Dep. Reserve - ISO:</t>
  </si>
  <si>
    <t>Distribution Dep. Reserve - ISO:</t>
  </si>
  <si>
    <t>Determination of Net Plant:</t>
  </si>
  <si>
    <t>a) Annual Fixed Charge Rate for CWIP ("AFCRCWIP")</t>
  </si>
  <si>
    <t>Calculation of Incremental Forecast Period TRR ("IFPTRR")</t>
  </si>
  <si>
    <t>NETWORK UPGRADE CREDIT AND INTEREST EXPENSE</t>
  </si>
  <si>
    <t>Outstanding Network Upgrade Credits Recorded in FERC Acct 252</t>
  </si>
  <si>
    <t>Acct 252 Other</t>
  </si>
  <si>
    <t>Total Acct 252</t>
  </si>
  <si>
    <t>FF-1 total for Acct 252 - Customer Advances for Construction 
 (Must equal Line 3)</t>
  </si>
  <si>
    <t>FF-1 total for Acct 252 - Customer Advances for Construction 
(Must equal Line 7)</t>
  </si>
  <si>
    <t>FF1 113.56c</t>
  </si>
  <si>
    <t>Average Outstanding Network Upgrade Credits Beginning and End of Year</t>
  </si>
  <si>
    <t>Interest On Network Upgrade Credits Recorded in FERC Acct 242</t>
  </si>
  <si>
    <t>Acct 242 Other</t>
  </si>
  <si>
    <t>Total Acct 242</t>
  </si>
  <si>
    <t>FF-1 total for Acct 242 - Miscellaneous Current and Accrued Liabilities
(Must equal Line 12)</t>
  </si>
  <si>
    <t>FF1 113.48c</t>
  </si>
  <si>
    <t>Wtd. Cost of Long Term Debt:</t>
  </si>
  <si>
    <t>Wtd. Cost of Common + Pref. Stock:</t>
  </si>
  <si>
    <t>The AFCR is calculated by dividing the Prior Year TRR (without CWIP related costs)</t>
  </si>
  <si>
    <t>by Net Plant:</t>
  </si>
  <si>
    <t>Overview</t>
  </si>
  <si>
    <t>ROR</t>
  </si>
  <si>
    <t>Depreciation</t>
  </si>
  <si>
    <t>DepRates</t>
  </si>
  <si>
    <t>PlantInService</t>
  </si>
  <si>
    <t>PlantStudy</t>
  </si>
  <si>
    <t>PHFU</t>
  </si>
  <si>
    <t>AbandonedPlant</t>
  </si>
  <si>
    <t>IncentivePlant</t>
  </si>
  <si>
    <t>IncentiveAdder</t>
  </si>
  <si>
    <t>PlantAdditions</t>
  </si>
  <si>
    <t>IFPTRR</t>
  </si>
  <si>
    <t>TrueUpAdjust</t>
  </si>
  <si>
    <t>WorkCap</t>
  </si>
  <si>
    <t>AccDep</t>
  </si>
  <si>
    <t>OandM</t>
  </si>
  <si>
    <t>AandG</t>
  </si>
  <si>
    <t>pursuant to Commission acceptance of an SCE FPA Section 205 filing to revise the authorized PBOPs expense,</t>
  </si>
  <si>
    <t>(Sum of Col 1 to Col 4)</t>
  </si>
  <si>
    <t>Beginning of Year Balances are from December of the year previous to the Prior Year.</t>
  </si>
  <si>
    <t>1) Beginning of Year Balances: (Note 1)</t>
  </si>
  <si>
    <t>2) End of Year Balances: (Note 2)</t>
  </si>
  <si>
    <t>End of Year Balances are from December of the Prior Year.</t>
  </si>
  <si>
    <t>100% Abandoned Plant:</t>
  </si>
  <si>
    <t>A) Rancho Vista Incentives Received:</t>
  </si>
  <si>
    <t>B) Tehachapi Incentives Received:</t>
  </si>
  <si>
    <t>Cite:</t>
  </si>
  <si>
    <t>C) Devers to  Colorado River Incentives Received:</t>
  </si>
  <si>
    <t>D) Devers to  Palo Verde 2 Incentives Received:</t>
  </si>
  <si>
    <t>E) Eldorado Ivanpah Incentives Received:</t>
  </si>
  <si>
    <t>F) Lugo Pisgah Incentives Received:</t>
  </si>
  <si>
    <t>G) Red Bluff Incentives Received:</t>
  </si>
  <si>
    <t>H) Whirlwind Substation Expansion Incentives Received:</t>
  </si>
  <si>
    <t>I) Colorado River Substation Expansion Incentives Received:</t>
  </si>
  <si>
    <t>J) South of Kramer Incentives Received:</t>
  </si>
  <si>
    <t>K) West of Devers Incentives Received:</t>
  </si>
  <si>
    <t>L) Future Incentive Projects</t>
  </si>
  <si>
    <t>Commission decision.</t>
  </si>
  <si>
    <t>in accordance with the tariff protocols.  Accordingly, any amount different than the authorized PBOPs</t>
  </si>
  <si>
    <t>RevenueCredits</t>
  </si>
  <si>
    <t>NUCs</t>
  </si>
  <si>
    <t>RegAssets</t>
  </si>
  <si>
    <t>FFU</t>
  </si>
  <si>
    <t>Allocators</t>
  </si>
  <si>
    <t>TaxRates</t>
  </si>
  <si>
    <t>WholesaleTRRs</t>
  </si>
  <si>
    <t>Wholesale Rates</t>
  </si>
  <si>
    <t>HVLV</t>
  </si>
  <si>
    <t>GrossLoad</t>
  </si>
  <si>
    <t>RetailRates</t>
  </si>
  <si>
    <t>ROE incentive, for each million dollars of Incentive Net Plant.  It is calculated according to the following formula:</t>
  </si>
  <si>
    <t>1) Calculation of Transmission Wages and Salaries Allocation Factor</t>
  </si>
  <si>
    <t>2) Calculation of Transmission Plant Allocation Factor</t>
  </si>
  <si>
    <t xml:space="preserve">Transmission </t>
  </si>
  <si>
    <t>Plant - ISO</t>
  </si>
  <si>
    <t>Total Plant In Service</t>
  </si>
  <si>
    <t>HV and LV Gross Plant Percentages:</t>
  </si>
  <si>
    <t xml:space="preserve">Total Wages and Salaries wo A&amp;G </t>
  </si>
  <si>
    <t>Franchise Fee Factor:</t>
  </si>
  <si>
    <t>Reference:</t>
  </si>
  <si>
    <t>Table of Contents</t>
  </si>
  <si>
    <t>Worksheet Name</t>
  </si>
  <si>
    <t>BaseTRR</t>
  </si>
  <si>
    <t>Base TRR Components.</t>
  </si>
  <si>
    <t>Determination of Capital Structure</t>
  </si>
  <si>
    <t>Calculation of Depreciation Expense</t>
  </si>
  <si>
    <t>Presentation of Depreciation Rates</t>
  </si>
  <si>
    <t xml:space="preserve">Determination of Plant In Service balances </t>
  </si>
  <si>
    <t>Calculation of Abandoned Plant</t>
  </si>
  <si>
    <t>Summary of Incentive Plant balances in the Prior Year</t>
  </si>
  <si>
    <t>Calculation of the Incremental Forecast Period TRR</t>
  </si>
  <si>
    <t>Calculation of the True Up Adjustment</t>
  </si>
  <si>
    <t>Calculation of Accumulated Depreciation</t>
  </si>
  <si>
    <t>Calculation of Operations and Maintenance Expense</t>
  </si>
  <si>
    <t>Calculation of Revenue Credits</t>
  </si>
  <si>
    <t>Calculation of Regulatory Assets/Liabilities and Regulatory Debits</t>
  </si>
  <si>
    <t>Calculation of Composite Tax Rate</t>
  </si>
  <si>
    <t>Calculation of Franchise Fees Factor and Uncollectibles Expense Factor</t>
  </si>
  <si>
    <t>Calculation of components of SCE's Wholesale TRR</t>
  </si>
  <si>
    <t>Calculation of High and Low Voltage percentages of Gross Plant</t>
  </si>
  <si>
    <t>Presentation of forecast Gross Load for wholesale rate calculations</t>
  </si>
  <si>
    <t>Calculation of retail transmission rates</t>
  </si>
  <si>
    <t xml:space="preserve">Calculation of Materials and Supplies and Prepayments </t>
  </si>
  <si>
    <t>Gain negative, loss positive</t>
  </si>
  <si>
    <t>Partial Year</t>
  </si>
  <si>
    <t>Net Gain (Loss) From Purchase and Tender Offers</t>
  </si>
  <si>
    <t>Amortization of Net Gain (Loss)  From Purchases and Tender Offers</t>
  </si>
  <si>
    <t>Amortization Issuance Costs</t>
  </si>
  <si>
    <t>Retail Base TRR:</t>
  </si>
  <si>
    <t>1) Derivation of "Total Demand Rate" and "Total Energy Rate":</t>
  </si>
  <si>
    <t>Note 3</t>
  </si>
  <si>
    <t>CPUC Rate Group</t>
  </si>
  <si>
    <t>12-CP factors</t>
  </si>
  <si>
    <t>Total Allocated costs</t>
  </si>
  <si>
    <t>1d</t>
  </si>
  <si>
    <t>1e</t>
  </si>
  <si>
    <t>1f</t>
  </si>
  <si>
    <t>1g</t>
  </si>
  <si>
    <t>1h</t>
  </si>
  <si>
    <t>1i</t>
  </si>
  <si>
    <t>1j</t>
  </si>
  <si>
    <t>1k</t>
  </si>
  <si>
    <t>1l</t>
  </si>
  <si>
    <t>1m</t>
  </si>
  <si>
    <t>1n</t>
  </si>
  <si>
    <t>Note 4</t>
  </si>
  <si>
    <t>1o</t>
  </si>
  <si>
    <t>Note 5</t>
  </si>
  <si>
    <t>Note 6</t>
  </si>
  <si>
    <t>Note 7</t>
  </si>
  <si>
    <t>13a</t>
  </si>
  <si>
    <t>Note 8</t>
  </si>
  <si>
    <t>Note 11</t>
  </si>
  <si>
    <t>Energy Charge - $/kWh</t>
  </si>
  <si>
    <t>Rate Schedules in each CPUC Rate Group:</t>
  </si>
  <si>
    <t>Rate Schedules included in Each Rate Group in the Rate Effective Period</t>
  </si>
  <si>
    <t>Recorded 12-CP Load Data by Rate Group (MW)</t>
  </si>
  <si>
    <t>Line losses</t>
  </si>
  <si>
    <t>28e</t>
  </si>
  <si>
    <t>28f</t>
  </si>
  <si>
    <t>Calculation of Plant Held for Future Use</t>
  </si>
  <si>
    <t>Plant In Service</t>
  </si>
  <si>
    <t>13-Mo. Avg:</t>
  </si>
  <si>
    <t>Sum C2 - C4</t>
  </si>
  <si>
    <t>Average:</t>
  </si>
  <si>
    <t>G&amp;I Plant</t>
  </si>
  <si>
    <t>c) Any refunds attributable to SCE's previous CWIP TRR cases (Docket Nos. ER08-375, ER09-187, ER10-160, and ER11-1952), not previously returned to customers.</t>
  </si>
  <si>
    <t>Calculation of Network Upgrade Credits and Network Upgrade Interest Expense</t>
  </si>
  <si>
    <t>Forecast Additions to Net Plant</t>
  </si>
  <si>
    <t>Calculation of SCE's Wholesale transmission rates</t>
  </si>
  <si>
    <t>Towers and Fixtures</t>
  </si>
  <si>
    <t xml:space="preserve">1) Upon Commission approval of any incentives for additional projects, add additional projects and provide cite to the </t>
  </si>
  <si>
    <t>General + Elec. Misc. Intangible Plant</t>
  </si>
  <si>
    <t>Late Payment Charge- Comm. &amp; Ind.</t>
  </si>
  <si>
    <t>HV Transmission Lines</t>
  </si>
  <si>
    <t>Schedule</t>
  </si>
  <si>
    <t>TRANSMISSION PLANT HELD FOR FUTURE USE</t>
  </si>
  <si>
    <t>Partial Year TRR Attribution Allocation Factors:</t>
  </si>
  <si>
    <t>3) The True Up Adjustment is a component of the Base TRR that reflects the difference between projected and</t>
  </si>
  <si>
    <t>Initial Prior Year?:</t>
  </si>
  <si>
    <t>If Initial Prior Year, enter "Yes", else "No"</t>
  </si>
  <si>
    <t>Any gain or loss on non-land portions of Transmission Plant Held for Future Use is not included.</t>
  </si>
  <si>
    <t>list on lines 2a, 2b, etc.  Provide description in Column 1.  Note type of plant (land or other) in Column 2.</t>
  </si>
  <si>
    <t>Under "Source" (Column 5), state the line number on FERC Form 1 page 214 from which the amount is derived.</t>
  </si>
  <si>
    <t xml:space="preserve">3) Add additional lines 2 i, j, k, etc. as necessary to include additional projects intended to be placed under the </t>
  </si>
  <si>
    <t>See Note 2.</t>
  </si>
  <si>
    <t>General</t>
  </si>
  <si>
    <t>Intangible</t>
  </si>
  <si>
    <t>FF1 206.99.b and 204.5b</t>
  </si>
  <si>
    <t>b) EOY G&amp;I Plant</t>
  </si>
  <si>
    <t xml:space="preserve">a) BOY/EOY Average G&amp;I Plant </t>
  </si>
  <si>
    <t>FF1 page 214.47d</t>
  </si>
  <si>
    <t>1) Amount of Line 1 not intended to be placed under the Operational Control of the ISO.</t>
  </si>
  <si>
    <t xml:space="preserve">Accumulated Deferred Income Taxes </t>
  </si>
  <si>
    <t>Reason</t>
  </si>
  <si>
    <t>FF1 277.19k</t>
  </si>
  <si>
    <t>Account 282</t>
  </si>
  <si>
    <t>Account 283</t>
  </si>
  <si>
    <t>Account 190</t>
  </si>
  <si>
    <t>FF1 234.18c</t>
  </si>
  <si>
    <t>Effective State</t>
  </si>
  <si>
    <t>Tax Rate</t>
  </si>
  <si>
    <t>Ratio of SCE</t>
  </si>
  <si>
    <t>Sum C2 - C11</t>
  </si>
  <si>
    <t>Total Distribution</t>
  </si>
  <si>
    <t>FF1 113.56d</t>
  </si>
  <si>
    <t>1) Latest SCE approved sales forecast as of April 15 of each year.</t>
  </si>
  <si>
    <t>2) SCE pump load forecast as of April 15 of each year.</t>
  </si>
  <si>
    <t>1) Prior Year CWIP, Total and by Project</t>
  </si>
  <si>
    <t>Def Operating Land &amp; Facilities Rent Rev</t>
  </si>
  <si>
    <t>FF-1 Total for Account 456.1 - Revenues from Trans. Of Electricity of Others, p300.22b (Must Equal Line 16)</t>
  </si>
  <si>
    <t>FF-1 Total for Acct 450 - Forfeited Discounts, p300.16b (Must Equal Line 2)
(Must Equal Line X)</t>
  </si>
  <si>
    <t>FF-1 Total for Acct 451 - Misc. Service Revenues, p300.17b 
(Must Equal Line 5)</t>
  </si>
  <si>
    <t>FF-1 Total for Acct 453 - Sales of Water and Power, p300.18b
(Must Equal Line 8)</t>
  </si>
  <si>
    <t>FF-1 Total for Acct 454 - Rent from Elec. Property, p300.19b
(Must Equal Line 11)</t>
  </si>
  <si>
    <t>FF-1 Total for Acct 456 - Other electric Revenues, p300.21b
(Must Equal Line 13)</t>
  </si>
  <si>
    <t>FF-1 Total for Account 457.1 - Regional Control Service Revenues, p300.23b (Must Equal Line 19)</t>
  </si>
  <si>
    <t>FF-1 Total for Account 457.2- Miscellaneous Revenues, p300.24b 
(Must Equal Line 22)</t>
  </si>
  <si>
    <t>FF-1 Total for Account 418.1 -Equity in Earnings of Subsidiary Companies, p117.36c (Must Equal Line 29 + 30)</t>
  </si>
  <si>
    <t>FF-1 Total for Account 417 - Revenues From Nonutility Operations  p117.33c (Must Equal Line 25 + 26)</t>
  </si>
  <si>
    <t>Calculation of the Contribution of CWIP to the Base TRR</t>
  </si>
  <si>
    <t>Cost of Capital Rate:</t>
  </si>
  <si>
    <t>Return:</t>
  </si>
  <si>
    <t>ROE Adder %:</t>
  </si>
  <si>
    <t>ROE Adder Tehachapi:</t>
  </si>
  <si>
    <t>ROE Adder DCR:</t>
  </si>
  <si>
    <t>FF Factor:</t>
  </si>
  <si>
    <t>U Factor:</t>
  </si>
  <si>
    <t>2) Summary of Prior Year Incentive Rate Base amounts (EOY Values)</t>
  </si>
  <si>
    <t>d) ROE Incentives:</t>
  </si>
  <si>
    <t>2) Devers to Colorado River</t>
  </si>
  <si>
    <t>2) Contribution from the Incremental Forecast Period TRR</t>
  </si>
  <si>
    <t>b) Return:</t>
  </si>
  <si>
    <t>Tehachapi:</t>
  </si>
  <si>
    <t>Devers to Colorado River:</t>
  </si>
  <si>
    <t>Eldorado Ivanpah:</t>
  </si>
  <si>
    <t>Lugo-Pisgah:</t>
  </si>
  <si>
    <t>Red Bluff:</t>
  </si>
  <si>
    <t>Whirlwind Sub Expansion:</t>
  </si>
  <si>
    <t>Colorado River Sub Expansion:</t>
  </si>
  <si>
    <t>South of Kramer:</t>
  </si>
  <si>
    <t>West of Devers:</t>
  </si>
  <si>
    <t>PY Total Return, Taxes, Incentive:</t>
  </si>
  <si>
    <t>Total without FF&amp;U:</t>
  </si>
  <si>
    <t>Total Contribution of CWIP to Retail Base TRR:</t>
  </si>
  <si>
    <t>Transmission Revenues: (Note 12)</t>
  </si>
  <si>
    <t>13) Only include Base Transmission Revenue attributable to this formula transmission rate.</t>
  </si>
  <si>
    <t>14) Other Transmission Revenue includes the following:</t>
  </si>
  <si>
    <t>12) Only provide if formula was in effect during Prior Year.</t>
  </si>
  <si>
    <t>See Note 14</t>
  </si>
  <si>
    <t>Operations and Maintenance Expenses</t>
  </si>
  <si>
    <t>1) Determination of Adjusted Operations and Maintenance Expenses for each account (Note 1)</t>
  </si>
  <si>
    <t>= C3 + C4</t>
  </si>
  <si>
    <t>= C7 + C8</t>
  </si>
  <si>
    <t>= C10 + C11</t>
  </si>
  <si>
    <t>= C3 + C7</t>
  </si>
  <si>
    <t>= C4 + C8</t>
  </si>
  <si>
    <t>Account/Work Activity  Rev</t>
  </si>
  <si>
    <t>Total Recorded O&amp;M Expenses</t>
  </si>
  <si>
    <t>Adjustments</t>
  </si>
  <si>
    <t>Adjusted Recorded O&amp;M Expenses</t>
  </si>
  <si>
    <t>Labor</t>
  </si>
  <si>
    <t>Non-Labor</t>
  </si>
  <si>
    <t>Transmission Accounts</t>
  </si>
  <si>
    <t>560 - Operations Engineering</t>
  </si>
  <si>
    <t>560 - Sylmar/Palo Verde</t>
  </si>
  <si>
    <t>561.000 Load Dispatching</t>
  </si>
  <si>
    <t>561.100 Load Dispatch-Reliability</t>
  </si>
  <si>
    <t>561.200 Load Dispatch Monitor and Operate Trans. System</t>
  </si>
  <si>
    <t>561.400 Scheduling, System Control and Dispatch Services</t>
  </si>
  <si>
    <t>561.500 Reliability, Planning and Standards Development</t>
  </si>
  <si>
    <t>562 - MOGS Station Expense</t>
  </si>
  <si>
    <t>562 - Operating Transmission Stations</t>
  </si>
  <si>
    <t>562 - Routine Testing and Inspection</t>
  </si>
  <si>
    <t>562 - Sylmar/Palo Verde</t>
  </si>
  <si>
    <t>563 - Inspect and Patrol Line</t>
  </si>
  <si>
    <t>564 - Underground Line Expense</t>
  </si>
  <si>
    <t>565 - Wheeling Costs</t>
  </si>
  <si>
    <t>565 - WAPA Transmission for Remote Service</t>
  </si>
  <si>
    <t>565 - Transmission for Four Corners</t>
  </si>
  <si>
    <t>566 - ISO/RSBA/TSP Balancing Accounts</t>
  </si>
  <si>
    <t>566 - NERC/CIP Compliance</t>
  </si>
  <si>
    <t>566 - Transmission Regulatory Policy</t>
  </si>
  <si>
    <t>566 - FERC Regulation &amp; Contracts</t>
  </si>
  <si>
    <t>566 - Grid Contract Management</t>
  </si>
  <si>
    <t>566 - Sylmar/Palo Verde/Other General Functions</t>
  </si>
  <si>
    <t>567 - Line Rents</t>
  </si>
  <si>
    <t>567 - Morongo Lease</t>
  </si>
  <si>
    <t>567 - Eldorado</t>
  </si>
  <si>
    <t>567 - Sylmar/Palo Verde</t>
  </si>
  <si>
    <t>568 - Maintenance Supervision and Engineering</t>
  </si>
  <si>
    <t>568 - Sylmar/Palo Verde</t>
  </si>
  <si>
    <t>569 - Maintenance of Structures</t>
  </si>
  <si>
    <t>569 - Sylmar/Palo Verde</t>
  </si>
  <si>
    <t>570 - Maintenance of Power Transformers</t>
  </si>
  <si>
    <t>570 - Maintenance of Transmission Circuit Breakers</t>
  </si>
  <si>
    <t>570 - Maintenance of Transmission Voltage Equipment</t>
  </si>
  <si>
    <t>570 - Maintenance of Miscellaneous Transmission Equipment</t>
  </si>
  <si>
    <t>570 - Sylmar/Palo Verde</t>
  </si>
  <si>
    <t>571 - Poles and Structures</t>
  </si>
  <si>
    <t>571 - Insulators and Conductors</t>
  </si>
  <si>
    <t xml:space="preserve">571 - Transmission Line Rights of Way </t>
  </si>
  <si>
    <t>571 - Sylmar/Palo Verde</t>
  </si>
  <si>
    <t>572 - Maintenance of Underground Transmission Lines</t>
  </si>
  <si>
    <t>572 - Sylmar/Palo Verde</t>
  </si>
  <si>
    <t>573 - Provision for Property Damage Expense to Trans. Fac.</t>
  </si>
  <si>
    <t>Total Transmission O&amp;M</t>
  </si>
  <si>
    <t>Distribution Accounts</t>
  </si>
  <si>
    <t>582 - Operation and Relay Protection of Distribution Substations</t>
  </si>
  <si>
    <t>582 - Testing and Inspecting Distribution Substation Equipment</t>
  </si>
  <si>
    <t>590 - Maintenance Supervision and Engineering</t>
  </si>
  <si>
    <t>591 - Maintenance of Structures</t>
  </si>
  <si>
    <t>592 - Maintenance of Distribution Transformers</t>
  </si>
  <si>
    <t>592 - Maintenance of Distribution Circuit Breakers</t>
  </si>
  <si>
    <t>592 - Maintenance of Distribution Voltage Control Equipment</t>
  </si>
  <si>
    <t>592 - Maintenance of Miscellaneous Distribution Equipment</t>
  </si>
  <si>
    <t>Accounts with no ISO Distribution Costs</t>
  </si>
  <si>
    <t>Total Distribution O&amp;M</t>
  </si>
  <si>
    <t>Total Transmission and Distribution O&amp;M</t>
  </si>
  <si>
    <t>Total Transmission O&amp;M Expenses in FERC Form 1:</t>
  </si>
  <si>
    <t>FF1 321.112b</t>
  </si>
  <si>
    <t>Total Distribution O&amp;M Expenses in FERC Form 1:</t>
  </si>
  <si>
    <t>From C9 above</t>
  </si>
  <si>
    <t>From C10 above</t>
  </si>
  <si>
    <t>From C11 above</t>
  </si>
  <si>
    <t>ISO O&amp;M Expenses</t>
  </si>
  <si>
    <t>Total Transmission - ISO O&amp;M</t>
  </si>
  <si>
    <t>Total Distribution - ISO O&amp;M</t>
  </si>
  <si>
    <t>1) "Adjusted Operations and Maintenance Expenses for each account" are the total amounts of O&amp;M costs booked to each Transmission or Distribution account, less adjustments as noted.</t>
  </si>
  <si>
    <t>2) Reasons for excluded amounts:</t>
  </si>
  <si>
    <t>A: Exclude entire amount, all attributable to CAISO costs recovered in Energy Resource Recovery Account.</t>
  </si>
  <si>
    <t>B: Exclude amount related to MOGS Station Expense.</t>
  </si>
  <si>
    <t>C: Exclude amount attributable to CAISO costs recovered in Energy Resource Recovery Account.</t>
  </si>
  <si>
    <t>D: Exclude amount recovered through to Reliability Services Balancing Account, the Transmission Access Charge Balancing Account Adjustment,</t>
  </si>
  <si>
    <t>3) Input most recent available ratios based on</t>
  </si>
  <si>
    <t xml:space="preserve">      taxable income from state return filings.</t>
  </si>
  <si>
    <t>Remaining Electric Payroll Tax Expense to Allocate</t>
  </si>
  <si>
    <t>BOY:</t>
  </si>
  <si>
    <t>EOY:</t>
  </si>
  <si>
    <t>BOY/EOY Average:</t>
  </si>
  <si>
    <t xml:space="preserve">Depreciation </t>
  </si>
  <si>
    <t>Reserve</t>
  </si>
  <si>
    <t>a) Average BOY/EOY General and Intangible Depreciation Reserve</t>
  </si>
  <si>
    <t>Total G+I Dep. Reserve on Average BOY/EOY basis:</t>
  </si>
  <si>
    <t>G + I Plant Dep. Reserve (BOY/EOY Average):</t>
  </si>
  <si>
    <t>Total G+I Dep. Reserve on Average EOY basis:</t>
  </si>
  <si>
    <t>G + I Plant Dep. Reserve (EOY):</t>
  </si>
  <si>
    <t>Calculation of Wholesale Difference to the Base TRR</t>
  </si>
  <si>
    <t xml:space="preserve">The Wholesale Difference to the Base TRR represents the amount by which the Wholesale Base TRR differs as </t>
  </si>
  <si>
    <t>If the annual amortization affects Income Taxes, there is an additional annual Income Tax Effect.  The table</t>
  </si>
  <si>
    <t>summarizes these impacts for each item:</t>
  </si>
  <si>
    <t xml:space="preserve">Expense </t>
  </si>
  <si>
    <t>(Amortization)</t>
  </si>
  <si>
    <t>Tax Impact</t>
  </si>
  <si>
    <t>a) Depreciation</t>
  </si>
  <si>
    <t>b) Taxes Deferred -Make Up Adjustment (South Georgia)</t>
  </si>
  <si>
    <t>d) Taxes Deferred - Acct. 282 ACRS/MACRS</t>
  </si>
  <si>
    <t>e) Uncollectibles Expense</t>
  </si>
  <si>
    <t>1) Calculation of Wholesale Rate Base Difference and Wholesale Rate Base Adjustment</t>
  </si>
  <si>
    <t>a) Quantification of the Initial 2010 Wholesale Rate Base Difference and annual change</t>
  </si>
  <si>
    <t>The difference between Retail and Wholesale Rate Base is attributable to the following four items, with</t>
  </si>
  <si>
    <t>with the Initial Prior Year 2010 Rate Base differences and annual changes as follows:</t>
  </si>
  <si>
    <t>2010 Rate Base</t>
  </si>
  <si>
    <t>Annual</t>
  </si>
  <si>
    <t>(Wholesale</t>
  </si>
  <si>
    <t>Change</t>
  </si>
  <si>
    <t>less Retail)</t>
  </si>
  <si>
    <t>1) Accumulated Depreciation</t>
  </si>
  <si>
    <t>Fixed values</t>
  </si>
  <si>
    <t>2) Taxes Deferred - Make Up Adjustment</t>
  </si>
  <si>
    <t>4) Taxes Deferred - Acct. 282 ACRS/MACRS</t>
  </si>
  <si>
    <t>b) Quantification of the Wholesale Rate Base Adjustment</t>
  </si>
  <si>
    <t>the Wholesale Rate Base Difference for the Prior Year.</t>
  </si>
  <si>
    <t>Notes/Instructions</t>
  </si>
  <si>
    <t>Fixed Charge Rate</t>
  </si>
  <si>
    <t>Wholesale Rate Base Difference for Prior Year</t>
  </si>
  <si>
    <t>Wholesale Rate Base Adjustment</t>
  </si>
  <si>
    <t>a) Calculation of the Wholesale South Georgia Income Tax Adjustment to the TRR</t>
  </si>
  <si>
    <t>South Georgia Amortization</t>
  </si>
  <si>
    <t>Total Expense Difference:</t>
  </si>
  <si>
    <t>3) Calculation of the Wholesale Difference to the Base TRR</t>
  </si>
  <si>
    <t>Expense Difference</t>
  </si>
  <si>
    <t>Wholesale Difference to the Base TRR:</t>
  </si>
  <si>
    <t>Notes/Instructions:</t>
  </si>
  <si>
    <t>1) Fixed Charge Rate of capital and income tax costs associated with $1 of Rate Base</t>
  </si>
  <si>
    <t>is defined elsewhere in this formula as "AFCRCWIP".</t>
  </si>
  <si>
    <t>WholesaleDifference</t>
  </si>
  <si>
    <t>Calculation of the Wholesale Difference to the Base TRR</t>
  </si>
  <si>
    <t>Franchise Fee Exclusion</t>
  </si>
  <si>
    <t>Wholesale Difference to the Base TRR</t>
  </si>
  <si>
    <t xml:space="preserve">Base TRR (Retail) </t>
  </si>
  <si>
    <t>Amount to apply the Transmission W&amp;S AF:</t>
  </si>
  <si>
    <t>Transmission W&amp;S AF Portion of A&amp;G:</t>
  </si>
  <si>
    <t>Department</t>
  </si>
  <si>
    <t>A&amp;G</t>
  </si>
  <si>
    <t>Total Amount</t>
  </si>
  <si>
    <t>2) Determination of ISO Operations and Maintenance Expenses for each account (Note 5).</t>
  </si>
  <si>
    <t>Joint Pole - Aud - Unauth Penalty</t>
  </si>
  <si>
    <t>Microwave Agreement</t>
  </si>
  <si>
    <t>Miscellaneous Adjustments</t>
  </si>
  <si>
    <t>-</t>
  </si>
  <si>
    <t>Tax Gross Up Factor</t>
  </si>
  <si>
    <t>It represents the effect on expenses (Wholesale less Retail) of amortizing the associated balances each year.</t>
  </si>
  <si>
    <t>CALCULATION OF SCE WHOLESALE HIGH AND LOW VOLTAGE TRRS</t>
  </si>
  <si>
    <t>Gross Load =</t>
  </si>
  <si>
    <t>LV TRR =</t>
  </si>
  <si>
    <t>Low Voltage Access Charge =</t>
  </si>
  <si>
    <t>Low Voltage Wheeling Access Charge =</t>
  </si>
  <si>
    <t>High Voltage Utility-Specific Rate =</t>
  </si>
  <si>
    <t>HV Wholesale TRR =</t>
  </si>
  <si>
    <t>Sum of Monthly Peak Demands:</t>
  </si>
  <si>
    <t>HV Existing Contracts Access Charge:</t>
  </si>
  <si>
    <t>LV Wholesale TRR =</t>
  </si>
  <si>
    <t>LV Existing Contracts Access Charge:</t>
  </si>
  <si>
    <t>a) CWIP Balances:</t>
  </si>
  <si>
    <t>CWIP Amount:</t>
  </si>
  <si>
    <t>Cost of Capital:</t>
  </si>
  <si>
    <t>Equity ROR w Preferred Stock ("ER"):</t>
  </si>
  <si>
    <t>Tehachapi CWIP Amount:</t>
  </si>
  <si>
    <t>ROE  Adder $:</t>
  </si>
  <si>
    <t>ROE Adder $ = (CWIP/$1,000,000) * IREF * (ROE Adder/1%)</t>
  </si>
  <si>
    <t>PYTRR</t>
  </si>
  <si>
    <t>1) Contribution to the Prior Year TRR</t>
  </si>
  <si>
    <t>Cost of</t>
  </si>
  <si>
    <t>Income</t>
  </si>
  <si>
    <t>Capital</t>
  </si>
  <si>
    <t>Taxes</t>
  </si>
  <si>
    <t>a) Total of all CWIP projects</t>
  </si>
  <si>
    <t>b) Individual Project Contribution</t>
  </si>
  <si>
    <t>b) Individual CWIP Project Contribution to the Retail Base TRR</t>
  </si>
  <si>
    <t>FF&amp;U</t>
  </si>
  <si>
    <t>Direct CWIP Related Costs:</t>
  </si>
  <si>
    <t>Calculation of SCE Wholesale Rates (See Note 1)</t>
  </si>
  <si>
    <t>1) SCE's wholesale rates are subject to revision upon acceptance by the Commission of a revised TRBAA</t>
  </si>
  <si>
    <t xml:space="preserve">1) TRBAA is "Transmission Revenue Balancing Account Adjustment".  The TRBAA is determined pursuant to SCE's </t>
  </si>
  <si>
    <t>amount, or upon the date the Commission orders.</t>
  </si>
  <si>
    <t>Determination of Prior Year TRR without CWIP related costs:</t>
  </si>
  <si>
    <t>a) Determination of CWIP-Related Costs</t>
  </si>
  <si>
    <t>1) Direct (without ROE adder) CWIP costs</t>
  </si>
  <si>
    <t>2) CWIP ROE Adder costs:</t>
  </si>
  <si>
    <t>DCR CWIP Amount:</t>
  </si>
  <si>
    <t>Tehachapi ROE  Adder $:</t>
  </si>
  <si>
    <t>Tehachapi ROE Adder %:</t>
  </si>
  <si>
    <t>DCR ROE Adder %:</t>
  </si>
  <si>
    <t>DCR ROE  Adder $:</t>
  </si>
  <si>
    <t>IREF:</t>
  </si>
  <si>
    <t>b) Determination of AFCR:</t>
  </si>
  <si>
    <t>CWIPTRR</t>
  </si>
  <si>
    <t>Calculation of Contribution of CWIP to TRRs</t>
  </si>
  <si>
    <t>Overview of SCE Retail Base TRR</t>
  </si>
  <si>
    <t>3) The True Up Adjustment for the initial Base TRR is $0.</t>
  </si>
  <si>
    <t xml:space="preserve">1) Depreciation Expense for each account for each month is equal to the previous month balance of Transmission Plant - ISO for that </t>
  </si>
  <si>
    <t>2) Enter total amounts of plant from FERC Form 1 in Column 1, "Total Plant".</t>
  </si>
  <si>
    <t xml:space="preserve">1) Determine Prior Year Incentive Adder for each Incentive Project by multiplying the </t>
  </si>
  <si>
    <t>Forecast Plant Additions for In-Service ISO Transmission Plant</t>
  </si>
  <si>
    <t xml:space="preserve">Forecast Plant Additions represents the total increase in ISO Transmission Net Plant, not including CWIP, </t>
  </si>
  <si>
    <t>AFCRCWIP represents the return and income tax costs associated with $1 of CWIP,</t>
  </si>
  <si>
    <t>CWIP Plant - Prior Year:</t>
  </si>
  <si>
    <t>Prior Year TRR wo CWIP Related Costs:</t>
  </si>
  <si>
    <t>Percent</t>
  </si>
  <si>
    <t>Percentage</t>
  </si>
  <si>
    <t xml:space="preserve">the formula shall be weighted by the number of days each such rate was in effect.  For example, a 35% rate </t>
  </si>
  <si>
    <t xml:space="preserve"> ((.3500 x 120) + (.4000 x 245))/365 = .3836.</t>
  </si>
  <si>
    <t xml:space="preserve">in effect for 120 days superseded by a 40% rate in effect for the remainder of the year will be calculated as: </t>
  </si>
  <si>
    <t>1) In the event that statutory marginal tax rates change during the Prior Year, the effective tax rate used in</t>
  </si>
  <si>
    <t>Summary of Split of T&amp;D Plant into ISO and Non-ISO</t>
  </si>
  <si>
    <t>Total without FF&amp;U</t>
  </si>
  <si>
    <t>IFPTRR without FF&amp;U:</t>
  </si>
  <si>
    <t>Franchise Fees Expense:</t>
  </si>
  <si>
    <t>Uncollectibles Expense:</t>
  </si>
  <si>
    <t>Uncollectibles Expense -- Prior Year TRR</t>
  </si>
  <si>
    <t>Uncollectibles Expense -- IFPTRR</t>
  </si>
  <si>
    <t>FF&amp;U:</t>
  </si>
  <si>
    <t>CWIP component of IFPTRR without FF&amp;U:</t>
  </si>
  <si>
    <t>CWIP component of IFPTRR including FF&amp;U:</t>
  </si>
  <si>
    <t xml:space="preserve">Note 4: </t>
  </si>
  <si>
    <t>Franchise Fees Expenses component of the Prior Year TRR are based on Franchise Fee Factors.</t>
  </si>
  <si>
    <t>State Taxable</t>
  </si>
  <si>
    <t>Income to SCE</t>
  </si>
  <si>
    <t>Taxable Income</t>
  </si>
  <si>
    <t>FF</t>
  </si>
  <si>
    <t>= Sum C1 to C4</t>
  </si>
  <si>
    <t>FF&amp;U Expenses:</t>
  </si>
  <si>
    <t>CWIP Related Costs wo FF&amp;U:</t>
  </si>
  <si>
    <t>CWIP Related Costs with FF&amp;U:</t>
  </si>
  <si>
    <t>12-CP MW</t>
  </si>
  <si>
    <t>Loss Adjusted Average 12-CP</t>
  </si>
  <si>
    <t>siting, or informational purposes in column 1.</t>
  </si>
  <si>
    <t>4) Calculation of True-Up Incentive Adder</t>
  </si>
  <si>
    <t xml:space="preserve">1) Determine True Up Incentive Adder for each Incentive Project by multiplying the </t>
  </si>
  <si>
    <t>True-Up Incentive Adder =</t>
  </si>
  <si>
    <t>True Up Incentive Adder</t>
  </si>
  <si>
    <t xml:space="preserve">(HV Allocation Factor and </t>
  </si>
  <si>
    <t>571 - Transmission Work Order Related Expense</t>
  </si>
  <si>
    <t>Unamortized Issuance Costs</t>
  </si>
  <si>
    <t>Minus Net Gain (Loss) From Purchase and Tender Offers</t>
  </si>
  <si>
    <t>Less Unappropriated Undist. Sub. Earnings -- Acct. 216.1</t>
  </si>
  <si>
    <t>Less Accumulated Other Comprehensive Loss -- Account 219</t>
  </si>
  <si>
    <t>Calculation of Preferred Stock Amount</t>
  </si>
  <si>
    <t>Calculation of Cost of Preferred Stock</t>
  </si>
  <si>
    <t>June</t>
  </si>
  <si>
    <t>Col 13</t>
  </si>
  <si>
    <t>Col 14</t>
  </si>
  <si>
    <t>= C2 + C3</t>
  </si>
  <si>
    <t>IREF = CSCP * 0.01 * (1/(1 - CTR)) * $1,000,000</t>
  </si>
  <si>
    <t>CPUC Jurisdictional service related.</t>
  </si>
  <si>
    <t>CWIP component of IFPTRR wo FF&amp;U:</t>
  </si>
  <si>
    <t>c) Individual CWIP Project Contribution to the Wholesale Base TRR</t>
  </si>
  <si>
    <t>wo FF&amp;U</t>
  </si>
  <si>
    <t>with FF&amp;U</t>
  </si>
  <si>
    <t>6) Same as Note 5 except no Uncollectibles Expense in Column 3.</t>
  </si>
  <si>
    <t>Total Contribution of CWIP to Wholesale Base TRR:</t>
  </si>
  <si>
    <t>Franchise Fees Amount:</t>
  </si>
  <si>
    <t>Uncollectibles Amount:</t>
  </si>
  <si>
    <t>3) Total Contribution of CWIP to the Retail and Wholesale Base TRRs:</t>
  </si>
  <si>
    <t>A) Rate Base for True Up TRR</t>
  </si>
  <si>
    <t>Total without True Up Incentive Adder</t>
  </si>
  <si>
    <t>True Up TRR wo FF:</t>
  </si>
  <si>
    <t>True Up TRR:</t>
  </si>
  <si>
    <t>a) Attribute True Up TRR to months in the Prior Year (see Note #1) to determine "Monthly True Up TRR"</t>
  </si>
  <si>
    <t>b) Determine monthly retail transmission revenues attributable to this formula transmission rate received during Prior Year.</t>
  </si>
  <si>
    <t>2) Comparison of True Up TRR and Actual Retail Transmission Revenues received during the Prior Year,</t>
  </si>
  <si>
    <t>1) The true up period is the portion (all or part) of the Prior Year for which the Formula Transmission Rate was in effect.</t>
  </si>
  <si>
    <t>2) The Monthly True Up TRR is derived by multiplying the annual True Up TRR on Line 1 by 1/12, if formula was in effect.  In the event of</t>
  </si>
  <si>
    <t xml:space="preserve">b) In the event that a Commission Order revises SCE's True Up TRR for a previous Prior Year, </t>
  </si>
  <si>
    <t xml:space="preserve">8) If true up period is less than entire calendar year, then adjust calculation accordingly by including $0 Monthly True Up TRR and for </t>
  </si>
  <si>
    <t>TUTRR</t>
  </si>
  <si>
    <t>Calculation of the True Up TRR</t>
  </si>
  <si>
    <t>2) Prior Year Incentive Rate Base - End of Year</t>
  </si>
  <si>
    <t>3) Prior Year Incentive Rate Base - 13-Month Average</t>
  </si>
  <si>
    <t>3) Summary of Prior Year Incentive Rate Base amounts (13-Month Average values)</t>
  </si>
  <si>
    <t>a) CWIP Plant during the Prior Year is included in Rate Base (used in Prior Year TRR and True Up TRR).</t>
  </si>
  <si>
    <t xml:space="preserve">c) CWIP Plant receiving an ROE adder contributes to Prior Year Incentive Rate Base - EOY, </t>
  </si>
  <si>
    <t>or Prior Year Incentive Rate Base - 13 Month Average as appropriate.</t>
  </si>
  <si>
    <t>e) "TIP Net Plant In Service" in PY is used to calculate the Prior Year Incentive Rate Base (on 13-month average basis).</t>
  </si>
  <si>
    <t>d) "TIP Net Plant In Service" at EOY Prior Year is used to calculate the PY Incentive Rate Base (on EOY basis).</t>
  </si>
  <si>
    <t>b) The True Up Incentive Adder is a component of the True Up TRR.</t>
  </si>
  <si>
    <t>IREF, the Multiplicative Factor, and the million $ of True Up Incentive Net Plant.</t>
  </si>
  <si>
    <t>1) CWIP Contribution to the Prior Year TRR and True Up TRR</t>
  </si>
  <si>
    <t>e) Total of Return, Income Taxes, and ROE Incentives contribution to PYTRR and True Up TRR</t>
  </si>
  <si>
    <t>f) Contribution from each Project to the Prior Year TRR and True Up TRR</t>
  </si>
  <si>
    <t>2) Contribution to the True Up TRR</t>
  </si>
  <si>
    <t>CWIP Component of Wholesale Base TRR:</t>
  </si>
  <si>
    <t>Non-CWIP Component of Wholesale Base TRR:</t>
  </si>
  <si>
    <t>Calculation of Total High Voltage and Low Voltage components of Wholesale TRR</t>
  </si>
  <si>
    <t>c) Excess Deferred Taxes</t>
  </si>
  <si>
    <t>3) Excess Deferred Taxes</t>
  </si>
  <si>
    <t>Annual Amort. of "Excess Deferred Taxes":</t>
  </si>
  <si>
    <t>b) Calculation of "Excess Deferred Taxes" Grossed Up for Income Taxes</t>
  </si>
  <si>
    <t>Excess Deferred Taxes Grossed Up for Income Taxes:</t>
  </si>
  <si>
    <t>Non-ISO facilities related.</t>
  </si>
  <si>
    <t>2) Calculation of Wholesale Expense Difference</t>
  </si>
  <si>
    <t>5) Calculation of Total ROE for Plant-In Service in the True Up TRR</t>
  </si>
  <si>
    <t>a) Transmission Incentive Plant Net Plant In Service</t>
  </si>
  <si>
    <t>b) Calculation of ROE Adders on TIP Net Plant In Service</t>
  </si>
  <si>
    <t>After-Tax</t>
  </si>
  <si>
    <t>c) Equity Portion of Plant In Service Rate Base</t>
  </si>
  <si>
    <t>Total Rate Base:</t>
  </si>
  <si>
    <t>CWIP Portion of Rate Base:</t>
  </si>
  <si>
    <t>Plant In Service Rate Base:</t>
  </si>
  <si>
    <t>Equity percentage:</t>
  </si>
  <si>
    <t>Equity Portion of Plant In Service Rate Base:</t>
  </si>
  <si>
    <t>d) Total ROE for Plant In Service in the True Up TRR</t>
  </si>
  <si>
    <t>Plant In Service ROE Adder Percentage:</t>
  </si>
  <si>
    <t>Base ROE (Including 50 basis point</t>
  </si>
  <si>
    <t>CAISO Participation Adder):</t>
  </si>
  <si>
    <t>Total ROE for Plant In Service in True Up TRR:</t>
  </si>
  <si>
    <t>Column 2: The After Tax True Up Incentive Adder is derived by multiplying the amounts in</t>
  </si>
  <si>
    <t>1) Wholesale Depreciation Difference</t>
  </si>
  <si>
    <t>Negative amount is to be returned to customers by SCE (included in Base TRR as a negative amount).</t>
  </si>
  <si>
    <t>11) Interest for Current Month is calculated on average of beginning and end balances (wo interest) in Columns 3 and 5.</t>
  </si>
  <si>
    <t>Balances for Transmission Plant - ISO during the Prior Year, including December of previous year (See Note 1):</t>
  </si>
  <si>
    <t>Transmission Activity Used to Determine Monthly Transmission Plant - ISO Balances</t>
  </si>
  <si>
    <t>1) Total Transmission Activity by Account (See Note 3)</t>
  </si>
  <si>
    <t>4) Calculation of change in Non-Incentive ISO Plant:</t>
  </si>
  <si>
    <t>A) Change in ISO Plant Balance December to December (See Note 6)</t>
  </si>
  <si>
    <t>B) Change in Incentive ISO Plant (See Note 7)</t>
  </si>
  <si>
    <t>C) Change in Non-Incentive ISO Plant (See Note 8)</t>
  </si>
  <si>
    <t>3) General and Intangible Depreciation Reserve</t>
  </si>
  <si>
    <t>Transmission Activity Used to Determine Monthly Transmission Depreciation Reserve - ISO Balances</t>
  </si>
  <si>
    <t>4) Calculation of Other Transmission Activity</t>
  </si>
  <si>
    <t>Balances for Transmission Depreciation Reserve - ISO during the Prior Year, including December of previous year (See Note 1):</t>
  </si>
  <si>
    <t>2) Distribution Depreciation Reserve - ISO (See Note 2)</t>
  </si>
  <si>
    <t>3) Total Transmission Activity by Account represents accumulated depreciation changes for all Transmission plant.</t>
  </si>
  <si>
    <t>2) Depreciation Expense (See Note 4)</t>
  </si>
  <si>
    <t>3) Total Transmission Activity less Depreciation Expense (See Note 5)</t>
  </si>
  <si>
    <t>A) Change in Depreciation Reserve - ISO (See Note 6)</t>
  </si>
  <si>
    <t>B) Total Depreciation Expense (See Note 7)</t>
  </si>
  <si>
    <t>C) Other Activity (See Note 8)</t>
  </si>
  <si>
    <t>5) Other Transmission Activity (See Note 9)</t>
  </si>
  <si>
    <t>5) Total Transmission Activity for Incentive Projects</t>
  </si>
  <si>
    <t>Account 350-359</t>
  </si>
  <si>
    <t>Activity for</t>
  </si>
  <si>
    <t>360-362</t>
  </si>
  <si>
    <t>Projects</t>
  </si>
  <si>
    <t>Activity</t>
  </si>
  <si>
    <t xml:space="preserve">Source </t>
  </si>
  <si>
    <t>6) Calculation of Prior Year Net Plant in Service amounts for each Incentive Project</t>
  </si>
  <si>
    <t>a) Tehachapi</t>
  </si>
  <si>
    <t>Accumulated</t>
  </si>
  <si>
    <t>In-Service</t>
  </si>
  <si>
    <t>b) Rancho Vista</t>
  </si>
  <si>
    <t>c) Devers to Colorado River</t>
  </si>
  <si>
    <t>d) Eldorado Ivanpah</t>
  </si>
  <si>
    <t>e) Lugo Pisgah</t>
  </si>
  <si>
    <t>f) Red Bluff</t>
  </si>
  <si>
    <t>i) South of Kramer</t>
  </si>
  <si>
    <t>j) West of Devers</t>
  </si>
  <si>
    <t>6) Summary of Incentive Projects and incentives granted</t>
  </si>
  <si>
    <t>for each month</t>
  </si>
  <si>
    <t>C1: Sum of below projects</t>
  </si>
  <si>
    <t>1) Summary of Accumulated Deferred Income Taxes</t>
  </si>
  <si>
    <t>a) End of Year Accumulated Deferred Income Taxes</t>
  </si>
  <si>
    <t>Related</t>
  </si>
  <si>
    <t>b) Beginning of Year Accumulated Deferred Income Taxes</t>
  </si>
  <si>
    <t>Total Accumulated Deferred Income Taxes</t>
  </si>
  <si>
    <t>c) Average of Beginning and End of Year Accumulated Deferred Income Taxes</t>
  </si>
  <si>
    <t>Average BOY/EOY ADIT:</t>
  </si>
  <si>
    <t>2) Account 190 Detail</t>
  </si>
  <si>
    <t>END BAL</t>
  </si>
  <si>
    <t>Gas, Generation</t>
  </si>
  <si>
    <t>ACCT 190</t>
  </si>
  <si>
    <t>DESCRIPTION</t>
  </si>
  <si>
    <t>per G/L</t>
  </si>
  <si>
    <t>or Other Related</t>
  </si>
  <si>
    <t>ISO Only</t>
  </si>
  <si>
    <t>Plant Related</t>
  </si>
  <si>
    <t>Labor Related</t>
  </si>
  <si>
    <t>Electric:</t>
  </si>
  <si>
    <t>Continuation of Account 190 Detail</t>
  </si>
  <si>
    <t>Total Electric 190</t>
  </si>
  <si>
    <t>Account 190 Gas and Other Income:</t>
  </si>
  <si>
    <t>Total Account 190 Gas and Other Income</t>
  </si>
  <si>
    <t>Total Account 190</t>
  </si>
  <si>
    <t>FERC Form 1 Account 190</t>
  </si>
  <si>
    <t>3) Account 282 Detail</t>
  </si>
  <si>
    <t>ACCT 282</t>
  </si>
  <si>
    <t>FERC Form 1 Account 282</t>
  </si>
  <si>
    <t>FF1 275.5k</t>
  </si>
  <si>
    <t>4) Account 283 Detail</t>
  </si>
  <si>
    <t>ACCT 283</t>
  </si>
  <si>
    <t>Continuation of Account 283 Detail</t>
  </si>
  <si>
    <t>Electric (continued):</t>
  </si>
  <si>
    <t>Total Electric 283</t>
  </si>
  <si>
    <t>Total Account 283 Gas and Other</t>
  </si>
  <si>
    <t>Total Account 283</t>
  </si>
  <si>
    <t>g) Whirlwind Substation Expansion</t>
  </si>
  <si>
    <t>h) Colorado River Substation Expansion</t>
  </si>
  <si>
    <t>Office Equipment</t>
  </si>
  <si>
    <t>Duplicating Equipment</t>
  </si>
  <si>
    <t>Personal Computers</t>
  </si>
  <si>
    <t>Mainframe Computers</t>
  </si>
  <si>
    <t>PC Software</t>
  </si>
  <si>
    <t>DDSMS - CPU &amp; Processing</t>
  </si>
  <si>
    <t>DDSMS - Controllers, Receivers, Comm.</t>
  </si>
  <si>
    <t>DDSMS - Telemetering &amp; System</t>
  </si>
  <si>
    <t>DDSMS - Miscellaneous</t>
  </si>
  <si>
    <t>DDSMS - Map Board</t>
  </si>
  <si>
    <t>Stores Equipment</t>
  </si>
  <si>
    <t>Laboratory Equipment</t>
  </si>
  <si>
    <t>Misc Power Plant Equipment</t>
  </si>
  <si>
    <t>Telecom System Equipment</t>
  </si>
  <si>
    <t>Netcomm Radio Assembly</t>
  </si>
  <si>
    <t>Microwave Equip. &amp; Antenna Assembly</t>
  </si>
  <si>
    <t>Fiber Optic Communication Cables</t>
  </si>
  <si>
    <t>Telecom Infrastructure</t>
  </si>
  <si>
    <t>Transportation Equip.</t>
  </si>
  <si>
    <t>Garage &amp; Shop -- Equip.</t>
  </si>
  <si>
    <t>Tools &amp; Work Equip. -- Shop</t>
  </si>
  <si>
    <t>Power Oper Equip</t>
  </si>
  <si>
    <t>5) Monthly Interest Rates in accordance with interest rate specified in the regulations of FERC (See Instruction #3).</t>
  </si>
  <si>
    <t>FERC Form 1 Account 283</t>
  </si>
  <si>
    <t>CWIP in Rate Effective Period</t>
  </si>
  <si>
    <t>In Service Additions in Rate Effective Period:</t>
  </si>
  <si>
    <t>Low Voltage</t>
  </si>
  <si>
    <t>13-Month Averages:</t>
  </si>
  <si>
    <t>LV Allocation Factor)</t>
  </si>
  <si>
    <t>13-month avg.</t>
  </si>
  <si>
    <t>Face</t>
  </si>
  <si>
    <t>Issuance</t>
  </si>
  <si>
    <t>Issue</t>
  </si>
  <si>
    <t>Date</t>
  </si>
  <si>
    <t>Total Account 282</t>
  </si>
  <si>
    <t>Federal Income Taxes Payable</t>
  </si>
  <si>
    <t>Allocation Factors (Plant and Wages)</t>
  </si>
  <si>
    <t>Total Account 190 ADIT</t>
  </si>
  <si>
    <t>Total Account 282 ADIT</t>
  </si>
  <si>
    <t>(Sum of amounts in Columns 4 to 6)</t>
  </si>
  <si>
    <t>Total Account 283 ADIT</t>
  </si>
  <si>
    <t>570 - Substation Work Order Related Expense</t>
  </si>
  <si>
    <t>Other Regulatory Assets/Liabilities (BOY/EOY average):</t>
  </si>
  <si>
    <t>The Wholesale Rate Base Adjustment represents the impact on the Wholesale Base TRR relative to the Retail Base TRR of</t>
  </si>
  <si>
    <t>If an annual amortization amount affects Income Taxes, the expense difference must be grossed up for income taxes.</t>
  </si>
  <si>
    <t>Calculation of Forecast Gross Load</t>
  </si>
  <si>
    <t>CADI Vol Plan Assess</t>
  </si>
  <si>
    <t>FF1 263.1 (see note to left)</t>
  </si>
  <si>
    <t>Capitalized Overhead portion of Electric Payroll Tax Expense</t>
  </si>
  <si>
    <t>Base Transmission Revenue Requirement (Retail)</t>
  </si>
  <si>
    <t>Wholesale Base Transmission Revenue Requirement</t>
  </si>
  <si>
    <t>Calculation of Base Transmission Revenue Requirement</t>
  </si>
  <si>
    <t>Less Standby Transmission Revenues:</t>
  </si>
  <si>
    <t>Components of Wholesale</t>
  </si>
  <si>
    <t>Transmission Revenue Requirement:</t>
  </si>
  <si>
    <t>3) End-User Transmission Rates</t>
  </si>
  <si>
    <t>Calculation of 13-Month Average Capitalization Balances</t>
  </si>
  <si>
    <t>Item</t>
  </si>
  <si>
    <t>Bonds -- Account 221 (Note 1):</t>
  </si>
  <si>
    <t>Other Long Term Debt -- Account 224 (Note 3):</t>
  </si>
  <si>
    <t xml:space="preserve">1) Enter 13 months of balances for capital structure for Prior Year and December previous to Prior Year in Columns 2-14.  </t>
  </si>
  <si>
    <t>Interest Income Reclassification</t>
  </si>
  <si>
    <t>FF1 263.3i - See Note 1</t>
  </si>
  <si>
    <t>Remaining Amount is Gas, Generation, or Other Related.</t>
  </si>
  <si>
    <t>Remaining Amount of FIT Payable</t>
  </si>
  <si>
    <t>5) Normalization Adjustment for Unused Bonus Depreciation</t>
  </si>
  <si>
    <t>Note 1: Only include if Federal Income Tax Account 236 payable in FF1 page 263 charged to Acct 409.1 or 408.1 in Column (i) is a negative amount (i.e., debit balance).</t>
  </si>
  <si>
    <t>3) Capitalized Overhead portion of Electric Payroll Tax Expense</t>
  </si>
  <si>
    <t>= F + [S * (1 - F)]</t>
  </si>
  <si>
    <t>Franchise Fees and Uncollectibles Expense Factors</t>
  </si>
  <si>
    <t>2) Approved Uncollectibles Expense Factor(s)</t>
  </si>
  <si>
    <t>Transmission Owner Tariff and may be revised each January 1, upon commission acceptance of a revised TRBAA</t>
  </si>
  <si>
    <t>SCE's retail Base Transmission Revenue Requirement is the sum of the following components:</t>
  </si>
  <si>
    <t>Base TRR (retail)</t>
  </si>
  <si>
    <t>Does not include any project-specific ROE adders.</t>
  </si>
  <si>
    <t>Transmission Depreciation Reserve - ISO</t>
  </si>
  <si>
    <t>Distribution Depreciation Reserve - ISO</t>
  </si>
  <si>
    <t>Beginning and End of year amounts in Columns 2 and 14 are from FERC Form 1, as referenced in below notes.</t>
  </si>
  <si>
    <t>=Sum C2 to C4</t>
  </si>
  <si>
    <t>=Sum C2 to C11</t>
  </si>
  <si>
    <t>4) Gains and Losses on Transmission Plant Held for Future Use - Land is treated in accordance with Commission policy.</t>
  </si>
  <si>
    <t>3) Devers-Colorado River</t>
  </si>
  <si>
    <t>= C1 - C2</t>
  </si>
  <si>
    <t>= C1 - Previous</t>
  </si>
  <si>
    <t>Month C1</t>
  </si>
  <si>
    <t>Total PY Incentive Net Plant:</t>
  </si>
  <si>
    <t xml:space="preserve">End of Year </t>
  </si>
  <si>
    <t>13 Month Average</t>
  </si>
  <si>
    <t>2) Sum project-specific Incentive Adders to yield the total True Up Incentive Adder.</t>
  </si>
  <si>
    <t>Sum of above PY Incentive Adders</t>
  </si>
  <si>
    <t>for each individual project</t>
  </si>
  <si>
    <t xml:space="preserve">Depreciation Expense is the sum of: </t>
  </si>
  <si>
    <t>4) Depreciation Expense</t>
  </si>
  <si>
    <t>= C3 * C5</t>
  </si>
  <si>
    <t>= C4 * C5</t>
  </si>
  <si>
    <t>5) "ISO Operations and Maintenance Expenses" is the amount of costs in each Transmission or Distribution account related to ISO Transmission Facilities.</t>
  </si>
  <si>
    <t>Total ISO O&amp;M Expenses (in Column 6)</t>
  </si>
  <si>
    <t>a) Exclude amount of any Shareholder Adjustments, costs incurred on behalf of SCE shareholders, from relevant account in Column 1.</t>
  </si>
  <si>
    <t>Only projects that are in Rate Base in the year reported are included.</t>
  </si>
  <si>
    <t xml:space="preserve">Southern States Realty </t>
  </si>
  <si>
    <t>2, 15</t>
  </si>
  <si>
    <t>15-</t>
  </si>
  <si>
    <t>Costs</t>
  </si>
  <si>
    <t>Event</t>
  </si>
  <si>
    <t>Issue/Event</t>
  </si>
  <si>
    <t>IRC Section 168(i)(9) Normalization Adjustment</t>
  </si>
  <si>
    <t xml:space="preserve">1) </t>
  </si>
  <si>
    <t>FERC Form 1 Acct. 165 Recorded Amount:</t>
  </si>
  <si>
    <t>BOY Prepayments Amount:</t>
  </si>
  <si>
    <t>Supplies Balances</t>
  </si>
  <si>
    <t>Total Materials and</t>
  </si>
  <si>
    <t>Calculation of True Up TRR</t>
  </si>
  <si>
    <t>Calculation of True Up Adjustment Component of TRR</t>
  </si>
  <si>
    <t>Plant Allocation Factor</t>
  </si>
  <si>
    <t>for Column 5</t>
  </si>
  <si>
    <t>(In Column 5)</t>
  </si>
  <si>
    <t>Prior Period Adjustment:</t>
  </si>
  <si>
    <t>a</t>
  </si>
  <si>
    <t>b</t>
  </si>
  <si>
    <t>c</t>
  </si>
  <si>
    <t>d</t>
  </si>
  <si>
    <t>e</t>
  </si>
  <si>
    <t>f</t>
  </si>
  <si>
    <t>Adjustment:</t>
  </si>
  <si>
    <t>g</t>
  </si>
  <si>
    <t>Calculation of Incentive Adder component of the Prior Year TRR</t>
  </si>
  <si>
    <t>EOY HV</t>
  </si>
  <si>
    <t>(Note 1)</t>
  </si>
  <si>
    <t>1) "EOY HV Abandoned Plant" is amount of "EOY Abandoned Plant" that would have been High Voltage (&gt;= 200 kV).</t>
  </si>
  <si>
    <t>a) Fill in the name the project in order (First Project, Second Project, etc.).</t>
  </si>
  <si>
    <t>b) Fill in the table with annual End of Year ("EOY") Abandoned Plant, EOY HV Abandoned Plant, and</t>
  </si>
  <si>
    <t>Abandoned Plant (EOY)</t>
  </si>
  <si>
    <t>See Notes 1 and 2 below</t>
  </si>
  <si>
    <t>1) For High Voltage Column, sum of EOY HV Abandoned Plant for all Projects on Schedule 12 for EOY of Prior Year</t>
  </si>
  <si>
    <t>2) For Low Voltage Column, Sum of EOY Abandoned Plant less HV Abandoned Plant for all Projects on Schedule 12 for EOY of Prior Year.</t>
  </si>
  <si>
    <t>Instruction 1</t>
  </si>
  <si>
    <t>1) Use weighted average (by time) of the Return on Equity in effect during the Prior Year in determining the "Cost of Capital Rate" on Line 18</t>
  </si>
  <si>
    <t>and the "Equity Rate of Return Including Preferred Stock" on Line 22 in the event that the ROE is revised during the Prior Year.  In this event,</t>
  </si>
  <si>
    <t>the ROE used in Schedule 1 will differ from the ROE used in this Schedule 4, because the Schedule 1 ROE will be the most recent ROE,</t>
  </si>
  <si>
    <t>See Note 1 and Instruction 1</t>
  </si>
  <si>
    <t>See Note 2 and Instruction 2</t>
  </si>
  <si>
    <t>12aaa</t>
  </si>
  <si>
    <t>12bbb</t>
  </si>
  <si>
    <t>Other Regulatory Assets/Liabilities are a component of Rate Base representing costs that are created resulting from the ratemaking</t>
  </si>
  <si>
    <t xml:space="preserve">actions of regulatory agencies.  Pursuant to the Commission's Uniform System of Accounts, these items include amounts recorded </t>
  </si>
  <si>
    <t>in accounts 182.x and 254.  This Schedule shall not include any costs recovered through Schedule 12.</t>
  </si>
  <si>
    <t>Amortization and Regulatory Debits/Credits are amounts approved for recovery in this formula transmission rate representing the</t>
  </si>
  <si>
    <t>approved annual recovery of Other Regulatory Assets/Liabilities as an expense item in the Base TRR, consistent</t>
  </si>
  <si>
    <t xml:space="preserve">with a Commission Order.  </t>
  </si>
  <si>
    <t>Amortization and Regulatory Debits/Credits:</t>
  </si>
  <si>
    <t>Amortization or</t>
  </si>
  <si>
    <t>Debit/Credit</t>
  </si>
  <si>
    <t>1) Upon Commission approval of recovery of Other Regulatory Assets/Liabilities, Amortization and Regulatory Debits/Credits</t>
  </si>
  <si>
    <t>Amortization and Regulatory Debits/Credits</t>
  </si>
  <si>
    <t>Determination of Regulatory Assets/Liabilities and Associated Amortization and Regulatory Debits/Credits</t>
  </si>
  <si>
    <t xml:space="preserve"> One Time Adjustments include:</t>
  </si>
  <si>
    <t>Account 283 Gas and Other:</t>
  </si>
  <si>
    <t>Revenue From Decommission Trust Fund</t>
  </si>
  <si>
    <t>Revenue From Decommissioning Trust FAS115</t>
  </si>
  <si>
    <t>Revenue From Decommissioning Trust FAS115-1</t>
  </si>
  <si>
    <t>Operating Miscellaneous Land &amp; Facilities</t>
  </si>
  <si>
    <t>ECS - Infrastructure Leasing</t>
  </si>
  <si>
    <t>EOY Prepayments Amount:</t>
  </si>
  <si>
    <t>Prior Year TRR wo FF&amp;U:</t>
  </si>
  <si>
    <t>Uncollectibles Expense Factor:</t>
  </si>
  <si>
    <t>Allocated based on CPUC GRC allocator in effect during the Prior Year.  The weighted average (by time) shall be used if more than one allocator is in effect during the Prior Year.</t>
  </si>
  <si>
    <t xml:space="preserve">Allocated based on the CPUC Base Revenue Requirement Balancing Account (BRRBA) allocator in effect during the Prior Year.  The weighted average (by time) shall be used if more than one allocator is in effect during the Prior Year.  ISO portion of revenue is treated as traditional OOR. </t>
  </si>
  <si>
    <t>D = Book Depreciation of AFUDC Equity Book Basis</t>
  </si>
  <si>
    <t>Return on Common Equity</t>
  </si>
  <si>
    <t xml:space="preserve">Equity Rate of Return Including Common and Preferred Stock </t>
  </si>
  <si>
    <t>ER = Equity Rate of Return Including Common and Preferred Stock</t>
  </si>
  <si>
    <t>ER = Equity ROR inc. Com. and Pref. Stock</t>
  </si>
  <si>
    <t>2) ISO Incentive Plant Activity (See Note 4)</t>
  </si>
  <si>
    <t>3) Total Transmission Activity Not Including Incentive Plant Activity (See Note 5):</t>
  </si>
  <si>
    <t>5) Other ISO Transmission Activity without Incentive Plant Activity (See Note 9):</t>
  </si>
  <si>
    <t>Prior Year:</t>
  </si>
  <si>
    <t>Balances for Distribution Plant - ISO for December of Prior Year and year before Prior Year (See Note 2)</t>
  </si>
  <si>
    <t>4) General Plant + Electric Miscellaneous Intangible Plant ("G&amp;I Plant")</t>
  </si>
  <si>
    <t>BOY amount from previous PY</t>
  </si>
  <si>
    <t>End of year ("EOY") amount</t>
  </si>
  <si>
    <t>A) Plant Classified as Transmission in  FERC Form 1 for Prior Year:</t>
  </si>
  <si>
    <t>to a Section 205 or 206 filing.</t>
  </si>
  <si>
    <r>
      <rPr>
        <b/>
        <sz val="10"/>
        <rFont val="Arial"/>
        <family val="2"/>
      </rPr>
      <t>Notes:</t>
    </r>
    <r>
      <rPr>
        <sz val="10"/>
        <rFont val="Arial"/>
        <family val="2"/>
      </rPr>
      <t xml:space="preserve"> 1) Depreciation rates may only be revised as approved by the Commission pursuant</t>
    </r>
  </si>
  <si>
    <t>Resulting Percentage is:</t>
  </si>
  <si>
    <t>Percent ISO</t>
  </si>
  <si>
    <t>Percent ISO for this acccount is equal to the total ISO labor in accounts 562 and 570 (Column 7) divided by total labor in this same account (Column 3).</t>
  </si>
  <si>
    <t>Percent ISO for this acccount is equal to the total ISO labor in accounts listed below (Column 7) divided by total labor in these same accounts (Column 3).</t>
  </si>
  <si>
    <t>expense is excluded from account 926 (see note 3).  Docket or Decision approving authorized PBOPs amount:</t>
  </si>
  <si>
    <r>
      <t xml:space="preserve">as approved by Commission Order 86 FERC </t>
    </r>
    <r>
      <rPr>
        <sz val="10"/>
        <color theme="1"/>
        <rFont val="Calibri"/>
        <family val="2"/>
      </rPr>
      <t>¶</t>
    </r>
    <r>
      <rPr>
        <sz val="10"/>
        <color theme="1"/>
        <rFont val="Arial"/>
        <family val="2"/>
      </rPr>
      <t xml:space="preserve"> 63,014 in Docket No. ER97-2355.</t>
    </r>
  </si>
  <si>
    <t>2) Franchise Fees Factor is calculated from CPUC Decision by dividing adopted Franchise Fees</t>
  </si>
  <si>
    <t xml:space="preserve">by Total Operating Revenues less Franchise Fees.  Uncollectibles Factor is calculated by </t>
  </si>
  <si>
    <t>3) Calculate in module 3 the weighted average FF and U factors from the factors in modules 1 and 2 based</t>
  </si>
  <si>
    <t>Calculated according to Instruction 3</t>
  </si>
  <si>
    <t>Factors represent factors that, when applied to TRR without FF and U will correctly determine FF and U expense.</t>
  </si>
  <si>
    <t>1) Enter Franchise Fee and Uncollectibles Factors as approved by the California Public Utilities Commission ("CPUC")</t>
  </si>
  <si>
    <t>Total  Transmission Lines (L 2 + L 3):</t>
  </si>
  <si>
    <t>HV and LV Components of Total ISO Plant on Lines 2, 3, 7, 8, and 9 are</t>
  </si>
  <si>
    <t>from the Plant Study, performed pursuant to Section 9 of Appendix IX:</t>
  </si>
  <si>
    <t>Source:</t>
  </si>
  <si>
    <t>Allocator is equal to the jurisdictional split of the Threshold Revenue, which is jurisdictionalized as $5.425M to FERC ratepayers and $11.246M to CPUC ratepayers per the 2009 CPUC General Rate Case (D. 09-03-025).  The ISO ratepayers' share of ratepayer revenue is $5.425M/$16.671M = 32.54%.</t>
  </si>
  <si>
    <t>16-</t>
  </si>
  <si>
    <t>418.1 Other (See Note 16)</t>
  </si>
  <si>
    <t>Tot. ISO Ratepayers' Share NTP&amp;S Gross Rev.</t>
  </si>
  <si>
    <t>whereas the Schedule 4 Cost of Capital Rate and Equity Rate of Return including Com. + Pref. Stock will be based on the weighted-average ROE.</t>
  </si>
  <si>
    <t>in modules 1 and 2 above pursuant to Instruction 2.  If approved factors changed during Prior Year, enter both,</t>
  </si>
  <si>
    <t>for each state.  See Notes 1 and 3.</t>
  </si>
  <si>
    <t>b) New Mexico</t>
  </si>
  <si>
    <t>c) Arizona</t>
  </si>
  <si>
    <t>d) District of Columbia</t>
  </si>
  <si>
    <t>a) California:</t>
  </si>
  <si>
    <t>2) Federal Source Statute:</t>
  </si>
  <si>
    <t>3) State Source Statues (Enter Reference to each State Marginal Tax Rate Statute below):</t>
  </si>
  <si>
    <t>in Schedule 19 (OandM) related to Order 668 costs transferred.</t>
  </si>
  <si>
    <t xml:space="preserve">c) Exclude entire amount of account 927 "Franchise Requirements" in Column 2, as those costs are recovered </t>
  </si>
  <si>
    <t xml:space="preserve">d) Exclude any amount of Account 930.1 "General Advertising Expense" not related to advertising for safety, </t>
  </si>
  <si>
    <t>e) Exclude any amount of expense relating to secondary land use and audit expenses not directly benefitting utility customers.</t>
  </si>
  <si>
    <t>b) Include as an adjustment in Column 1 for Account 920 any amount excluded from Accounts 569.100, 569.200, and 569.300</t>
  </si>
  <si>
    <t>FF1 207.99.g and 205.5g</t>
  </si>
  <si>
    <t>Credit</t>
  </si>
  <si>
    <t xml:space="preserve">1) Amount in Column 2 from FF1 112.18d, amount in Column 14 from FF1 112.18c, amounts in columns 3-13 from SCE internal records. </t>
  </si>
  <si>
    <t xml:space="preserve">2) Amount in Column 2 from FF1 112.19d, amount in Column 14 from FF1 112.19c, amounts in columns 3-13 from SCE internal records. </t>
  </si>
  <si>
    <t xml:space="preserve">3) Amount in Column 2 from FF1 112.21d, amount in Column 14 from FF1 112.21c, amounts in columns 3-13 from SCE internal records. </t>
  </si>
  <si>
    <t>Southern States Realty is a subsidiary company.  Gross revenues are not reported in FF-1, only net earnings.  Net Earnings for Southern States Realty are reported on Acct 418.1, pg 225.17e.</t>
  </si>
  <si>
    <t>Mo/YR</t>
  </si>
  <si>
    <t>Beginning of Year ("BOY") amount</t>
  </si>
  <si>
    <t>a) 13-Month Average Calculation</t>
  </si>
  <si>
    <t>13-Month AverageValue:</t>
  </si>
  <si>
    <t>on the Transmission Wages and Salaries Allocation Factor.</t>
  </si>
  <si>
    <t>17-</t>
  </si>
  <si>
    <t>Note 1, f</t>
  </si>
  <si>
    <t xml:space="preserve">2) In the event that depreciation rates stated on Schedule 18 to be applied to Distribution Plant - ISO are revised mid-year, calculate Depreciation Expense for </t>
  </si>
  <si>
    <t>See Instructions 2b, 3, and Note 2</t>
  </si>
  <si>
    <t>Calculation of FITR for Prior Year:</t>
  </si>
  <si>
    <t>FITR</t>
  </si>
  <si>
    <t>Days</t>
  </si>
  <si>
    <t>Note</t>
  </si>
  <si>
    <t>Input FITR in effect for first part of year and number of days</t>
  </si>
  <si>
    <t>Input FITR in effect for second part of year and number of days</t>
  </si>
  <si>
    <t>FITR:</t>
  </si>
  <si>
    <t>(Col 2)</t>
  </si>
  <si>
    <t>(Col 1)</t>
  </si>
  <si>
    <t>Note 1, c Column 2, see also Note 2</t>
  </si>
  <si>
    <t>= ((Line a, C1)*(Line a, C2)+ (Line b, C1)*(Line b, C2))/365</t>
  </si>
  <si>
    <t>Sub-Total Local Taxes</t>
  </si>
  <si>
    <t>CA SUI Current</t>
  </si>
  <si>
    <t>Fed Unemp Tax Act- Current</t>
  </si>
  <si>
    <t>SF Pyrl Exp Tx - SCE</t>
  </si>
  <si>
    <t>(No "Credits and Other" or "AFUDC" Terms, since these are not related to CWIP)</t>
  </si>
  <si>
    <t>1) Nuclear Power Research Expenses.</t>
  </si>
  <si>
    <t>2) Write Off of Abandoned Project Expenses.</t>
  </si>
  <si>
    <t>f) Exclude from account 930.2:</t>
  </si>
  <si>
    <t>3) Any advertising expenses within the Consultants/Professional Services category.</t>
  </si>
  <si>
    <t>Note 1, c</t>
  </si>
  <si>
    <t xml:space="preserve">b) Forecast Period Incremental CWIP contributes to Incremental Forecast Period TRR </t>
  </si>
  <si>
    <r>
      <rPr>
        <b/>
        <sz val="10"/>
        <rFont val="Arial"/>
        <family val="2"/>
      </rPr>
      <t xml:space="preserve">Source: </t>
    </r>
    <r>
      <rPr>
        <sz val="10"/>
        <rFont val="Arial"/>
        <family val="2"/>
      </rPr>
      <t>6-PlantInService, Lines 1-13.</t>
    </r>
  </si>
  <si>
    <t>Depreciation Rates (Percent per year)  See "18-DepRates".</t>
  </si>
  <si>
    <t xml:space="preserve">Source:      From 4-TUTRR, </t>
  </si>
  <si>
    <t>The Prior Year TRR is calculated using End-of-Year Rate Base values, as set forth in the "1-BaseTRR" Worksheet.</t>
  </si>
  <si>
    <t>plant or CWIP, as set forth in the "2-IFPTRR" Worksheet.</t>
  </si>
  <si>
    <t>actual costs, as set forth in the "3-TrueUpAdjust" Worksheet.</t>
  </si>
  <si>
    <t>2) From 33-RetailRates.  See Line:</t>
  </si>
  <si>
    <t>amount.  See Note 1 on 29-WholesaleTRRs.</t>
  </si>
  <si>
    <t>For subsidiaries that are subject to GRSM, Column D contains gross revenues.  Input on Line 30D contains the associated expenses.</t>
  </si>
  <si>
    <t>566 - Training</t>
  </si>
  <si>
    <t>566 - Other</t>
  </si>
  <si>
    <t>Gen. and Int.</t>
  </si>
  <si>
    <t>=C4+C5</t>
  </si>
  <si>
    <t>FF1 219.28c and 200.21c for previous year</t>
  </si>
  <si>
    <t>FF1 219.28c and 200.21c</t>
  </si>
  <si>
    <t>(Years)</t>
  </si>
  <si>
    <t>List associated securities and event, Event Date, Amortization Amount, Amortization Period, and Annual Amortization:</t>
  </si>
  <si>
    <t>Total Annual Amortization (sum of "Issues/Events" listed above)</t>
  </si>
  <si>
    <t>Total Annual Amortization (sum of "Issues" listed above)</t>
  </si>
  <si>
    <t>List associated securities, Face Amount, Issuance Date, Issuance Costs, Amortization Period, and Annual Amortization:</t>
  </si>
  <si>
    <t>a) Outages</t>
  </si>
  <si>
    <t>ISO Outages</t>
  </si>
  <si>
    <t>Non-ISO Outages</t>
  </si>
  <si>
    <t>Total Outages</t>
  </si>
  <si>
    <t>Values</t>
  </si>
  <si>
    <t>Applied to Accounts</t>
  </si>
  <si>
    <t>b) Circuits</t>
  </si>
  <si>
    <t>ISO Circuits</t>
  </si>
  <si>
    <t>Non-ISO Circuits</t>
  </si>
  <si>
    <t>Total Circuits</t>
  </si>
  <si>
    <t>Outages Percent ISO</t>
  </si>
  <si>
    <t>Circuits Percent ISO</t>
  </si>
  <si>
    <t>c) Relay Routines</t>
  </si>
  <si>
    <t>ISO Relay Routines</t>
  </si>
  <si>
    <t>Total Relay Routines</t>
  </si>
  <si>
    <t>Relay Routines Percent ISO</t>
  </si>
  <si>
    <t>ISO Line Miles</t>
  </si>
  <si>
    <t>Non-ISO Line Miles</t>
  </si>
  <si>
    <t>Non-ISO Relay Routines</t>
  </si>
  <si>
    <t>Total Line Miles</t>
  </si>
  <si>
    <t>Line MIles Percent ISO</t>
  </si>
  <si>
    <t>d) Line Miles</t>
  </si>
  <si>
    <t>e) Underground Line Miles</t>
  </si>
  <si>
    <t>ISO Underground Line Miles</t>
  </si>
  <si>
    <t>Non-ISO Underground Line Miles</t>
  </si>
  <si>
    <t>Total Undergound Line Miles</t>
  </si>
  <si>
    <t>Underground Line MIles Percent ISO</t>
  </si>
  <si>
    <t>ISO Line Rent Costs</t>
  </si>
  <si>
    <t>Non-ISO Line Rent Costs</t>
  </si>
  <si>
    <t>Total Line Rent Costs</t>
  </si>
  <si>
    <t>Line Rent Costs Percent ISO</t>
  </si>
  <si>
    <t>ISO Morongo Acres</t>
  </si>
  <si>
    <t>Non-ISO Morongo Acres</t>
  </si>
  <si>
    <t>Total Morongo Acres</t>
  </si>
  <si>
    <t>Morongo Acres Percent ISO</t>
  </si>
  <si>
    <t>ISO Transformers</t>
  </si>
  <si>
    <t>Non-ISO Transformers</t>
  </si>
  <si>
    <t>Total Transformers</t>
  </si>
  <si>
    <t>Transformers Percent ISO</t>
  </si>
  <si>
    <t>ISO Circuit Breakers</t>
  </si>
  <si>
    <t>Non-ISO Breakers</t>
  </si>
  <si>
    <t>Total Circuit Breakers</t>
  </si>
  <si>
    <t>Circuit Breakers Percent ISO</t>
  </si>
  <si>
    <t>ISO Voltage Control Equipment</t>
  </si>
  <si>
    <t>Non-ISO Voltage Control Equipment</t>
  </si>
  <si>
    <t>Total Voltage Control Equipment</t>
  </si>
  <si>
    <t>Voltage Control Equipment Percent ISO</t>
  </si>
  <si>
    <t>ISO Substation Work Order Costs</t>
  </si>
  <si>
    <t>Non-ISO Substation Work Order Costs</t>
  </si>
  <si>
    <t>Total Substation Work Order Costs</t>
  </si>
  <si>
    <t>Substation Work Order Costs Percent ISO</t>
  </si>
  <si>
    <t>ISO Transmission Work Order Costs</t>
  </si>
  <si>
    <t>Non-ISO Transmission Work Order Costs</t>
  </si>
  <si>
    <t>Total Transmission Work Order Costs</t>
  </si>
  <si>
    <t>Transmission Work Order Costs Percent ISO</t>
  </si>
  <si>
    <t>ISO Transmission Fac. Property Damage</t>
  </si>
  <si>
    <t>Non-ISO Transmission Fac. Property Damage</t>
  </si>
  <si>
    <t>Total Transmission Facility Property Damage</t>
  </si>
  <si>
    <t>Trans. Fac. Property Damage Percent ISO</t>
  </si>
  <si>
    <t>ISO Distribution Transformers</t>
  </si>
  <si>
    <t>Non-ISO Distribution Transformers</t>
  </si>
  <si>
    <t>Total Distribution Transformers</t>
  </si>
  <si>
    <t>Distribution Transformers Percent ISO</t>
  </si>
  <si>
    <t>Non-ISO Distribution Circuit Breakers</t>
  </si>
  <si>
    <t>Total Distribution Circuit Breakers</t>
  </si>
  <si>
    <t>ISO Distribution Circuit Breakers</t>
  </si>
  <si>
    <t>Distribution Circuit Breakers Percent ISO</t>
  </si>
  <si>
    <t>ISO Distribution Voltage Control Equipment</t>
  </si>
  <si>
    <t>Total Distribution Voltage Control Equipment</t>
  </si>
  <si>
    <t>Distribution Voltage Control Equip. Pct. ISO</t>
  </si>
  <si>
    <t>Non-ISO Distribution Voltage Control Equip.</t>
  </si>
  <si>
    <t>Capitalization Rate (Note 4)</t>
  </si>
  <si>
    <t>4) Capitalization Rate approved in:</t>
  </si>
  <si>
    <t>For the following Prior Years:</t>
  </si>
  <si>
    <t>Certain "Percent ISO percentages are calculable based on other "Percent ISO" amounts, as follows:</t>
  </si>
  <si>
    <t>Note 6, a</t>
  </si>
  <si>
    <t>6) "Percent ISO" percentages are calculated in accordance with the method set forth in SCE's TO Tariff protocols.  See Column 9 for references to source of each  Percent ISO.</t>
  </si>
  <si>
    <t>100% per Protocols</t>
  </si>
  <si>
    <t>0% per Protocols</t>
  </si>
  <si>
    <t>Note 6, b</t>
  </si>
  <si>
    <t>Note 6, c</t>
  </si>
  <si>
    <t>Note 6, d</t>
  </si>
  <si>
    <t>a) Accounts 560 - Operations Engineering, 566 - Training, 566-Other, 569.100 Hardware, 569.200 Software, and 569.300 Comunication:</t>
  </si>
  <si>
    <t>Edison Material Supply (EMS)</t>
  </si>
  <si>
    <t>Per GRC Decision D.87-12-066, for ratemaking purposes EMS financials are consolidated with SCE's.  See FERC Form 1 page 123.3 under</t>
  </si>
  <si>
    <t>"Equity Investment Differences" .  Consequently, net income of EMS is not reported separately in FERC Form 1 and is not a part of FERC Account 418.1 totals.</t>
  </si>
  <si>
    <t>To ensure that ratepayers receive the net income from this subsidiary SCE includes EMS net income in the formula on line 28f.  This amount is reversed as part</t>
  </si>
  <si>
    <t>of line 30 to remain consistent with the totals reported in FERC Form 1.</t>
  </si>
  <si>
    <t xml:space="preserve">Percent ISO for these accounts is equal to total ISO labor in accounts 561, 562, 563, 564, 566 (except Training and Other), 570, 571, and 572 (Column 7) </t>
  </si>
  <si>
    <t>divided by total labor in this same account (Column 3).</t>
  </si>
  <si>
    <t xml:space="preserve">Percent ISO for these acccounts is equal to the total ISO labor in account 592, exclusive of Maintenance of Miscellaneous Distribution Equipment (Column 7) </t>
  </si>
  <si>
    <t>Order approving revised ROE:</t>
  </si>
  <si>
    <t>In the event that the Return on Common Equity is revised from the initial value, enter cite to Commission Order approving the revised ROE on following line.</t>
  </si>
  <si>
    <t>b) Account 569 - Maintenance of Structures</t>
  </si>
  <si>
    <t>d) Accounts 582, 590, 591, and 592 - Maintenance of Miscellaneous Distribution Equipment</t>
  </si>
  <si>
    <t>c) Account 570 - Maintenance of Miscellaneous Transmission Equipment and Account 568 -Maintenance Supervision and Engineering</t>
  </si>
  <si>
    <t>Orders Providing for Abandoned Plant Cost Recovery:</t>
  </si>
  <si>
    <t>Commission Order</t>
  </si>
  <si>
    <t>7) SCE shall make no adjustments to recorded labor amounts related to non-labor labor and/or Indirect labor in Schedule 19.</t>
  </si>
  <si>
    <t>5) SCE shall make no adjustments to recorded labor amounts related to non-labor labor and/or Indirect labor in Schedule 20.</t>
  </si>
  <si>
    <t>Amortization of Excess Deferred Tax Liability</t>
  </si>
  <si>
    <t>Investment Tax Credit Flowed Through</t>
  </si>
  <si>
    <t>South Georgia Income Tax Adjustment</t>
  </si>
  <si>
    <t>2) No change in "Credits and Other" terms will be made absent a filing at the Commission</t>
  </si>
  <si>
    <t>compared to the Retail Base TRR.  This difference is attributable to differences in the following six items,</t>
  </si>
  <si>
    <t>These six items may affect the Base TRR by affecting Rate Base, or affecting an annual expense (amortization).</t>
  </si>
  <si>
    <t>EPRI Expenses</t>
  </si>
  <si>
    <t>d) Total Expense Difference</t>
  </si>
  <si>
    <t>Partial Year True Up Allocation Factors calculated based on three years (2008-2010) of monthly SCE retail base transmission revenues.</t>
  </si>
  <si>
    <t xml:space="preserve">2) Beginning with the True Up Adjustment calculation for 2012 utilizing the True Up TRR for 2012, exclude from CWIP recovery the capital cost of </t>
  </si>
  <si>
    <t xml:space="preserve">Subject to sharing per the Gross Revenue Sharing Mechanism (GRSM), adopted in CPUC D.99-09-070.  On an annual basis, once SCE obtains $16,671,389.55 (Threshold Revenue) in NTP&amp;S Revenues, any additional revenues (Incremental Gross Revenues) that SCE receives are shared between shareholders and ratepayers.  For GRSM categories deemed Active, the Incremental Gross Revenues are shared 90/10 between shareholders and ratepayers.  For those categories deemed Passive, the Incremental Gross Revenues are shared 70/30 between shareholders and ratepayers.  </t>
  </si>
  <si>
    <t>13-Month Average Value Account 154:</t>
  </si>
  <si>
    <t>13-Month Average Value:</t>
  </si>
  <si>
    <t xml:space="preserve"> Long Term Debt Advances from Associated Companies (Note 2a):</t>
  </si>
  <si>
    <t>Long Term Debt Advances from Associated Companies -- Account 223</t>
  </si>
  <si>
    <t>Interest on Debt to Associated Companies -- Account 430</t>
  </si>
  <si>
    <t>FF1 117.67c</t>
  </si>
  <si>
    <t xml:space="preserve">2a) Amount in Column 2 from FF1 112.20d, amount in Column 14 from FF1 112.20c, amounts in columns 3-13 from SCE internal records. </t>
  </si>
  <si>
    <t xml:space="preserve">facilities that were purchased for the portion of Tehachapi Segment 8 near the Chino Airport, but due to the April 25, 2011 Notice of Presumed </t>
  </si>
  <si>
    <t xml:space="preserve">Hazard issued to SCE by the FAA are not used in the construction of Tehachapi or in any other CWIP incentive project.  Additionally, </t>
  </si>
  <si>
    <t xml:space="preserve">construction of any SCE transmission project. </t>
  </si>
  <si>
    <t>SCE will permanently exclude from Plant In Service, Rate Base, and transmission rates these capital costs if the facilities are not used in the</t>
  </si>
  <si>
    <t>75% of O&amp;M and A&amp;G in Prior Year TRR:</t>
  </si>
  <si>
    <t>Total all Substations (L7  + L8 + L9)</t>
  </si>
  <si>
    <t>ROE at end of Prior Year</t>
  </si>
  <si>
    <t>In Effect</t>
  </si>
  <si>
    <t xml:space="preserve">Days ROE </t>
  </si>
  <si>
    <t>Commission Decisions approving ROE:</t>
  </si>
  <si>
    <t>See Line e below</t>
  </si>
  <si>
    <t>Calculation of weighted average Cost of Capital Rate in Prior Year:</t>
  </si>
  <si>
    <t>h</t>
  </si>
  <si>
    <t>i</t>
  </si>
  <si>
    <t>j</t>
  </si>
  <si>
    <t>Calculation of Equity Rate of Return Including Common and Preferred Stock:</t>
  </si>
  <si>
    <t>See Instruction 1</t>
  </si>
  <si>
    <t>If ROE does not change during year, then attribute all days to Line a "ROE at end of Prior Year" and none to "ROE at start of PY"</t>
  </si>
  <si>
    <t>Acct</t>
  </si>
  <si>
    <t>Wtd. Avg. ROE in Prior Year</t>
  </si>
  <si>
    <t>Wtd. Cost of Long Term Debt</t>
  </si>
  <si>
    <t>Wtd.Cost of Preferred Stock</t>
  </si>
  <si>
    <t>Wtd.Cost of Common Stock</t>
  </si>
  <si>
    <t>3) Schedule 19 "Percent ISO" Allocation Factors (Input values are from SCE Records)</t>
  </si>
  <si>
    <t>ROE Adder $ = (Project CWIP Amount/$1,000,000) * IREF * (ROE Adder % / 1%)</t>
  </si>
  <si>
    <t>3) The load forecast used in Schedule 32 shall be for the calendar year in which the rates are to be in effect.</t>
  </si>
  <si>
    <t>the formula to calculate the correct value in that cell, which can be accomplished in Excel using the Goal Seek function.</t>
  </si>
  <si>
    <t xml:space="preserve">1) Any amount of "Provision for Doubtful Accounts" costs. </t>
  </si>
  <si>
    <t>2) Any amount of "Accounting Suspense" costs.</t>
  </si>
  <si>
    <t>g) Exclude the following costs included in any account 920-935:</t>
  </si>
  <si>
    <t>3) Any penalties of fines.</t>
  </si>
  <si>
    <t>4) Any amount of costs recovered 100% through California Public Utilities Commission ("CPUC") rates.</t>
  </si>
  <si>
    <t>h) Exclude the following amounts of employee incentive compensation from any account 920-935:</t>
  </si>
  <si>
    <t>1) Any Long Term Incentive Compensation ("LTI") costs.</t>
  </si>
  <si>
    <t>ROE start of Prior Year</t>
  </si>
  <si>
    <t>Beginning of Prior Year</t>
  </si>
  <si>
    <t>End of Prior Year</t>
  </si>
  <si>
    <t xml:space="preserve">1) Amounts on Line 13 from corresponding account Schedule 7, column 2.  </t>
  </si>
  <si>
    <t xml:space="preserve">The amounts for each month on the remaining lines are calculated by summing the following values: </t>
  </si>
  <si>
    <t>a) Other ISO Transmission Activity without Incentive Plant Activity on Lines 70-81 for the same month;</t>
  </si>
  <si>
    <t xml:space="preserve">c) The previous month balance of the Transmission Plant - ISO amounts on Lines 1-13.  </t>
  </si>
  <si>
    <t>b) ISO Incentive Plant Activity on Lines 41 to 52 for the same month; and</t>
  </si>
  <si>
    <t xml:space="preserve">For instance, the amount for May of the Prior Year (on Line 6) for Account 353 (Column 5) is the sum of the following values: </t>
  </si>
  <si>
    <t>a) the "Other ISO Transmission Activity without Incentive Plant Activity" for May of the Prior Year (on Line 74, Column 5);</t>
  </si>
  <si>
    <t>b) the "ISO Incentive Plant Activity" for May of the Prior Year (on Line 45, Column 5),</t>
  </si>
  <si>
    <t>c) and the "Transmission Plant - ISO" amount for April of the Prior Year (on Line 5, Column 5)."</t>
  </si>
  <si>
    <t>The amounts for each month on the remaining lines are calculated by summing the following values:</t>
  </si>
  <si>
    <t xml:space="preserve">b) Other Transmission Activity (on Lines 69 to 80) for the same month; and </t>
  </si>
  <si>
    <t>c) Balances for Transmission Depreciation Reserve (on Lines 1 to 13) for the previous month.</t>
  </si>
  <si>
    <t>For instance, the amount for May of the Prior Year (on Line 6) for Account 353 (Column 5) is the sum of the following values:</t>
  </si>
  <si>
    <t>a) Depreciaiton Expense for May of the Prior Year (on Line 44, Column 5);</t>
  </si>
  <si>
    <t xml:space="preserve">b) Other Transmission Activity for May of the Prior Year (on Line 73, Column 5); and </t>
  </si>
  <si>
    <t>c) The balances for Transmission Depreciation Reserve for April of the Prior Yeaer (on Line 5, column 5).</t>
  </si>
  <si>
    <t xml:space="preserve">Days in </t>
  </si>
  <si>
    <t>Prior Year FF Factor:</t>
  </si>
  <si>
    <t>Prior Year  U Factor:</t>
  </si>
  <si>
    <t>on the number of days each FF and U factor was in effect during the Prior Year at issue.</t>
  </si>
  <si>
    <t>during the Prior Year in "Days in Prior Year" Column.</t>
  </si>
  <si>
    <t>and note period of time for which each applies in "From" and "To" columns, and number of days each was in effect</t>
  </si>
  <si>
    <t>((L1 FF Factor * L1 Days) + (L2 FF Factor * L2 Days))/365</t>
  </si>
  <si>
    <t>((L3 U Factor * L3 Days) + (L4 U Factor * L4 Days))/365</t>
  </si>
  <si>
    <t>Calculation or Source</t>
  </si>
  <si>
    <t>Avg. of Sum of Cols. 1 and 2 below</t>
  </si>
  <si>
    <t>Sum of Column 3 below</t>
  </si>
  <si>
    <t xml:space="preserve">  Commission Order</t>
  </si>
  <si>
    <t xml:space="preserve"> Granting Approval of </t>
  </si>
  <si>
    <t xml:space="preserve">  Regulatory Liability</t>
  </si>
  <si>
    <t>The Base Transmission Revenues shown in Column 1 shall be reduced to reflect any retail customer refunds provided by SCE associated with the</t>
  </si>
  <si>
    <t>formula transmission rate that are made through a CPUC-authorized mechanism.</t>
  </si>
  <si>
    <t xml:space="preserve"> Attachment 2 to Appendix IX</t>
  </si>
  <si>
    <t>Formula Rate Spreadsheet</t>
  </si>
  <si>
    <t>f) Line Rents Costs</t>
  </si>
  <si>
    <t>g) Morongo Acres</t>
  </si>
  <si>
    <t>h) Transformers</t>
  </si>
  <si>
    <t>i) Circuit Breakers</t>
  </si>
  <si>
    <t>j) Voltage Control Equipment</t>
  </si>
  <si>
    <t>k) Substation Work Order Cost</t>
  </si>
  <si>
    <t>l) Transmission Work Order Cost</t>
  </si>
  <si>
    <t>m) Transmission Facility Property Damage</t>
  </si>
  <si>
    <t>n) Distribution Transformers</t>
  </si>
  <si>
    <t>o) Distribution Circuit Breakers</t>
  </si>
  <si>
    <t>p) Distribution Voltage Control Equipment</t>
  </si>
  <si>
    <t>Amounts on Line 1 must match corresponding account Schedule 7, Column 2 for previous year.</t>
  </si>
  <si>
    <t xml:space="preserve">1) Amounts on Line 13 based on current year Plant Study.  Amounts on Line 1 shall be based previous year Plant Study, and </t>
  </si>
  <si>
    <t>shall match amounts on Line 13 in previous year Annual Update.</t>
  </si>
  <si>
    <t xml:space="preserve">Cost Adjustment </t>
  </si>
  <si>
    <t xml:space="preserve">4) The Cost Adjustment component may be included as provided in the Tariff protocols. </t>
  </si>
  <si>
    <t>(Instructions 1&amp;2)</t>
  </si>
  <si>
    <t>Instruction 1: For any "Company Wide" ADIT line item balance (i.e., that include Catalina Gas or Water costs), indicate in Column 7</t>
  </si>
  <si>
    <t>with a leading "C:".</t>
  </si>
  <si>
    <t xml:space="preserve">Instruction 2: For any Company Wide ADIT balance items, include a portion of the total Column 2 balance in Column 3 </t>
  </si>
  <si>
    <t>"Gas, Generation, or Other Related" based on the following percentages.</t>
  </si>
  <si>
    <t xml:space="preserve">1) For Line items allocated based on the Wages and Salaries Allocation Factor: </t>
  </si>
  <si>
    <t>A:Total Electric Wages and Salaries</t>
  </si>
  <si>
    <t>B:Gas Wages and Salaries</t>
  </si>
  <si>
    <t>FF1 355.62b</t>
  </si>
  <si>
    <t>C:Water Wages and Salaries</t>
  </si>
  <si>
    <t>FF1 355.64b</t>
  </si>
  <si>
    <t>D:Total Electric, Gas, and Water Wages and Salaries</t>
  </si>
  <si>
    <t>A+B+C</t>
  </si>
  <si>
    <t>E:Labor Percentage "Gas, Generation, or Other"</t>
  </si>
  <si>
    <t>(B+C) / D</t>
  </si>
  <si>
    <t xml:space="preserve">2) For Line items allocated based on the Transmission Plant Allocation Factor or "ISO Only": </t>
  </si>
  <si>
    <t>F:Total Electric Plant In Service</t>
  </si>
  <si>
    <t>G:Total Gas Plant In Service</t>
  </si>
  <si>
    <t>FF1 201.8d</t>
  </si>
  <si>
    <t>H:Total Water Plant in Service</t>
  </si>
  <si>
    <t>FF1 201.8e</t>
  </si>
  <si>
    <t>I:Total Electric, Gas, and Water Plant In Service</t>
  </si>
  <si>
    <t>F+G+H</t>
  </si>
  <si>
    <t>J:Plant Percentage "Gas, Generation, or Other"</t>
  </si>
  <si>
    <t>(G+H) / I</t>
  </si>
  <si>
    <t>=C7-C9</t>
  </si>
  <si>
    <t>Corporate</t>
  </si>
  <si>
    <t>Overheads</t>
  </si>
  <si>
    <t>AFUDC</t>
  </si>
  <si>
    <t xml:space="preserve">Cost of </t>
  </si>
  <si>
    <t>ISO Corp OH Rate</t>
  </si>
  <si>
    <t>Cost of Removal Rate</t>
  </si>
  <si>
    <t>ISO AFUDC Rate</t>
  </si>
  <si>
    <t>C2*C3</t>
  </si>
  <si>
    <t>Accrual</t>
  </si>
  <si>
    <t>Plant Balance</t>
  </si>
  <si>
    <t>Sum of Depreciation Expense</t>
  </si>
  <si>
    <t>Composite Depreciation Rate</t>
  </si>
  <si>
    <t>4) ISO Corporate Overhead Loader</t>
  </si>
  <si>
    <t>7) Calculation of ISO Depreciation Rate</t>
  </si>
  <si>
    <t>5) ISO Cost of Removal Percent</t>
  </si>
  <si>
    <t>6) AFUDC Loader Rate</t>
  </si>
  <si>
    <t>2) Total Forecast Period CWIP Expenditures (see Note 1)</t>
  </si>
  <si>
    <t>Unloaded</t>
  </si>
  <si>
    <t xml:space="preserve">Total </t>
  </si>
  <si>
    <t>Prior Period</t>
  </si>
  <si>
    <t>Over Heads</t>
  </si>
  <si>
    <t>Expenditures</t>
  </si>
  <si>
    <t>CWIP Exp</t>
  </si>
  <si>
    <t>Plant Adds</t>
  </si>
  <si>
    <t>CWIP Closed</t>
  </si>
  <si>
    <t>Closed to PIS</t>
  </si>
  <si>
    <t>Period CWIP</t>
  </si>
  <si>
    <t>Incremental CWIP</t>
  </si>
  <si>
    <t>3) Forecast Period CWIP Expenditures by Project (see Note 1)</t>
  </si>
  <si>
    <t>3a) Project:</t>
  </si>
  <si>
    <t>= C1 + C2</t>
  </si>
  <si>
    <t>= Prior Month C7
+ C3 - C4 - C6</t>
  </si>
  <si>
    <t>= C7 - 
Dec Prior Year C7</t>
  </si>
  <si>
    <t>3b) Project:</t>
  </si>
  <si>
    <t>Devers to Colorado River</t>
  </si>
  <si>
    <t>3c) Project:</t>
  </si>
  <si>
    <t>Eldorado Ivanpah</t>
  </si>
  <si>
    <t>3d) Project:</t>
  </si>
  <si>
    <t>Lugo Pisgah</t>
  </si>
  <si>
    <t>3e) Project:</t>
  </si>
  <si>
    <t>3f) Project:</t>
  </si>
  <si>
    <t>Whirlwind Substation Expansion</t>
  </si>
  <si>
    <t>Unload</t>
  </si>
  <si>
    <t>3g) Project:</t>
  </si>
  <si>
    <t>Colorado River Substation Expansion</t>
  </si>
  <si>
    <t>3h) Project:</t>
  </si>
  <si>
    <t>South of Kramer</t>
  </si>
  <si>
    <t>3i) Project:</t>
  </si>
  <si>
    <t>West of Devers</t>
  </si>
  <si>
    <t>3j) Project:</t>
  </si>
  <si>
    <t>add additional projects below this line (See Instruction 3)</t>
  </si>
  <si>
    <t>3) If Commission approval is granted to include CWIP in Rate Base for additional projects, include additional tables for each of those additional projects.</t>
  </si>
  <si>
    <t>during the Rate Year, incremental to the year-end Prior Year amount.</t>
  </si>
  <si>
    <t>It is calculated on a 13-Month Average Basis during the Rate Year.</t>
  </si>
  <si>
    <t>1) Total Plant Additions Forecast (See Note 1)</t>
  </si>
  <si>
    <t>Loaded</t>
  </si>
  <si>
    <t>Eligible Plant</t>
  </si>
  <si>
    <t>2) Incentive Plant Forecast (See Note 1)</t>
  </si>
  <si>
    <t>N/A</t>
  </si>
  <si>
    <t>= Prior Month C7
+C1+C3</t>
  </si>
  <si>
    <t>= Prior Month C9
 + C8</t>
  </si>
  <si>
    <t>3) Non-Incentive Plant Forecast (See Note 1)</t>
  </si>
  <si>
    <t>= Prior Month C2
+C2+C5+C6</t>
  </si>
  <si>
    <t>December Prior Year plant balances and accrual rates are as shown on Schedule 17 Depreciation</t>
  </si>
  <si>
    <t>Check of above-described condition:</t>
  </si>
  <si>
    <t>Years</t>
  </si>
  <si>
    <t>Absolute Value of sum of a and b:</t>
  </si>
  <si>
    <t>20% of Two-Year Forecast PBOPs Expenses</t>
  </si>
  <si>
    <t xml:space="preserve">Is Filing Necessary? </t>
  </si>
  <si>
    <t>Amount of PBOPs Expenses that SCE must</t>
  </si>
  <si>
    <t>(C1)</t>
  </si>
  <si>
    <t>(C2)</t>
  </si>
  <si>
    <t>(C3)</t>
  </si>
  <si>
    <t>file for if filing is necessary:</t>
  </si>
  <si>
    <t xml:space="preserve">50% of </t>
  </si>
  <si>
    <t xml:space="preserve">Filing </t>
  </si>
  <si>
    <t xml:space="preserve">PBOPs </t>
  </si>
  <si>
    <t>Recovery</t>
  </si>
  <si>
    <t>Expenses</t>
  </si>
  <si>
    <t>Current Authorized PBOPs Expense Amount:</t>
  </si>
  <si>
    <t>Over (-) or</t>
  </si>
  <si>
    <t>Under (+)</t>
  </si>
  <si>
    <t xml:space="preserve">First Year currently-effective </t>
  </si>
  <si>
    <t xml:space="preserve">Sum of above </t>
  </si>
  <si>
    <t xml:space="preserve">b) The sum of SCE's PBOPs Expense amount to be recovered under its Formula Rate for the current year </t>
  </si>
  <si>
    <t>and the next year at the current Authorized PBOPs Expense Amount ("Projected Recovery").</t>
  </si>
  <si>
    <t>Projected Expense:</t>
  </si>
  <si>
    <t>Sum of first two years of Forecast PBOPs Expenses</t>
  </si>
  <si>
    <t>Projected Recovery:</t>
  </si>
  <si>
    <t>Projected Expense less Projected Recovery</t>
  </si>
  <si>
    <t>Five Year Forecast PBOPs Expenses:</t>
  </si>
  <si>
    <t>Rate Year and Immediately succeeding Rate Year:</t>
  </si>
  <si>
    <t>PBOPs Filing Determination</t>
  </si>
  <si>
    <t>Determination of PBOPs Filing Requirement and PBOPs Filing Amounts</t>
  </si>
  <si>
    <t>If amount on Line 3 is greater than amount on Line 4, then SCE must make filing.</t>
  </si>
  <si>
    <t>If (L3&gt;L4) then "Yes", else "No"</t>
  </si>
  <si>
    <t>Pursuant to Section 8.b of the formula rate protocols, SCE must make a filing to adjust the current Authorized PBOPs Expense Amount</t>
  </si>
  <si>
    <t>Note 2, Line i</t>
  </si>
  <si>
    <t>(d+e) * 0.2</t>
  </si>
  <si>
    <t>Unfunded Reserves</t>
  </si>
  <si>
    <t>Determination of Unfunded Reserves</t>
  </si>
  <si>
    <t>(Line 17, Col 3)</t>
  </si>
  <si>
    <t>Unfunded</t>
  </si>
  <si>
    <t>Reserves</t>
  </si>
  <si>
    <t>Provision for Injuries and Damages</t>
  </si>
  <si>
    <t>Provision for Vac/Sick Leave</t>
  </si>
  <si>
    <t>Provision for Supplemental Executive Retirement Plan</t>
  </si>
  <si>
    <t>(Line 14 + Line 15 + Line 16)</t>
  </si>
  <si>
    <t>Calculations</t>
  </si>
  <si>
    <t>BOY/EOY</t>
  </si>
  <si>
    <t>Injuries and Damages - Acct. 2251010</t>
  </si>
  <si>
    <t>Company Records - Input (Negative)</t>
  </si>
  <si>
    <t>(27-Allocators, Line 9)</t>
  </si>
  <si>
    <t>ISO Transmission Rate Base Applicable</t>
  </si>
  <si>
    <t>Vacation Leave</t>
  </si>
  <si>
    <t>Vacation and Personal Time Accruals - Acct. 2350080</t>
  </si>
  <si>
    <t>Supplemental Executive Retirement Plan</t>
  </si>
  <si>
    <t>Times:</t>
  </si>
  <si>
    <t>Applicable Rate Base Percentage</t>
  </si>
  <si>
    <t>Sub-Total Supplemental Executive Retirement Plan</t>
  </si>
  <si>
    <t>Unfunded Reserves (Average BOY/EOY):</t>
  </si>
  <si>
    <t>Unfunded Reserves (EOY):</t>
  </si>
  <si>
    <t>(Line 17, Col 2)</t>
  </si>
  <si>
    <t>f) EPRI and EEI Expenses</t>
  </si>
  <si>
    <t>c) Calculation of EPRI and EEI Expense Exclusion</t>
  </si>
  <si>
    <t>EEI Expenses</t>
  </si>
  <si>
    <t>EPRI and EEI Expense Exclusion</t>
  </si>
  <si>
    <t>Sum of EPRI and EEI Expenses</t>
  </si>
  <si>
    <t>5) EPRI and EEI Expense Exclusion</t>
  </si>
  <si>
    <t xml:space="preserve">50% of the total balance in Column 1, plus an amount equal to the "Labor Percentage Gas, Generation, or Other" shown on Line E of Instruction 1 times 50% of the total balance in Column 1. </t>
  </si>
  <si>
    <t>The remaining amount shall be included in Column 6 "Labor Related".</t>
  </si>
  <si>
    <t>Preferred Stock Amount -- Account 204 (Note 8):</t>
  </si>
  <si>
    <t xml:space="preserve">8) Amount in Column 2 from FF1 112.3d, amount in Column 14 from FF1 112.3c, amounts in columns 3-13 from SCE internal records. </t>
  </si>
  <si>
    <t>9) Amounts in columns 2-14 are from SCE internal records.</t>
  </si>
  <si>
    <t>10) Amounts in columns 2-14 are from SCE internal records.</t>
  </si>
  <si>
    <t>Net Gain (Loss) From Purchase and Tender Offers Note 10):</t>
  </si>
  <si>
    <t>Total Proprietary Capital (Note 11):</t>
  </si>
  <si>
    <t xml:space="preserve">11) Amount in Column 2 from FF1 112.16d, amount in Column 14 from FF1 112.16c, amounts in columns 3-13 from SCE internal records. </t>
  </si>
  <si>
    <t xml:space="preserve">12) Amount in Column 2 from FF1 112.12d (opposite sign), amount in Column 14 from FF1 112.12c (opposite sign), amounts in columns 3-13 from SCE internal records. </t>
  </si>
  <si>
    <t>13) Amount in Column 2 from FF1 112.15d (opposite sign), amount in Column 14 from FF1 112.15c (opposite sign), amounts in columns 3-13 from SCE internal records.</t>
  </si>
  <si>
    <t>Note 2, d-h</t>
  </si>
  <si>
    <t>Calculation for Columns 2 and 3</t>
  </si>
  <si>
    <t>C2 = L1 * 0.5, C3 = C1 + C2</t>
  </si>
  <si>
    <t>C2 NA, C3 =Avg of L7,L8,L9, C1</t>
  </si>
  <si>
    <t>Absolute Value (Sum of L1 and L2)</t>
  </si>
  <si>
    <t>Calculation of Unfunded Reserves</t>
  </si>
  <si>
    <t>excluded.  For one-time costs, pre-in-service and post-in-service interest is included.</t>
  </si>
  <si>
    <t xml:space="preserve">Interest relates to refund of facility and one-time payments by generator.  For facility costs, pre-in-service date interest is  </t>
  </si>
  <si>
    <t>Total days in year:</t>
  </si>
  <si>
    <t>((Line a ROE * Line a days) + (Line b ROE * Line b days)) / Total Days in Year</t>
  </si>
  <si>
    <t>SCE Records and Workpapers</t>
  </si>
  <si>
    <t xml:space="preserve">5) </t>
  </si>
  <si>
    <t>Not Used</t>
  </si>
  <si>
    <t>NOT USED</t>
  </si>
  <si>
    <t xml:space="preserve">4) </t>
  </si>
  <si>
    <t>Remaining A&amp;G after exclusions &amp; NOIC Adjustment:</t>
  </si>
  <si>
    <t>NOIC</t>
  </si>
  <si>
    <t xml:space="preserve">Note 2: Non-Officer Incentive Compensation ("NOIC") Adjustment </t>
  </si>
  <si>
    <t>(NOIC includes Results Sharing, Management Incentive Program, and Non-Officer Executive Incentive Compensation).</t>
  </si>
  <si>
    <t xml:space="preserve">Adjust NOIC by excluding accrued NOIC Amount and replacing with the </t>
  </si>
  <si>
    <t>Accrued NOIC Amount:</t>
  </si>
  <si>
    <t>Actual A&amp;G NOIC payout:</t>
  </si>
  <si>
    <t>2) Fill out "Itemization of Exclusions" table for all input cells. NOIC amount in</t>
  </si>
  <si>
    <t xml:space="preserve">2) Beginning with Prior Year 2012, any amount of Officer Executive Incentive Compensation ("OEIC")  in excess of the amount </t>
  </si>
  <si>
    <t xml:space="preserve">    authorized by the CPUC in Decision D.12-11-051 or subsequent decision.</t>
  </si>
  <si>
    <t xml:space="preserve">3) Beginning with Prior Year 2012, any amount of Supplemental Executive Retirement Plan ("SERP") in excess of the amount </t>
  </si>
  <si>
    <t>4) Beginning with Prior Year 2012, any amount of NOIC in excess of the amount authorized by the CPUC in Decision D.12-11-051 or subsequent decision.</t>
  </si>
  <si>
    <t>5) Any Spot Bonus costs.</t>
  </si>
  <si>
    <t>6) Any Awards to Celebrate Excellence  ("ACE") costs.</t>
  </si>
  <si>
    <r>
      <t>3) NOIC adjustment in Column 3</t>
    </r>
    <r>
      <rPr>
        <b/>
        <sz val="10"/>
        <rFont val="Arial"/>
        <family val="2"/>
      </rPr>
      <t xml:space="preserve">, </t>
    </r>
    <r>
      <rPr>
        <sz val="10"/>
        <rFont val="Arial"/>
        <family val="2"/>
      </rPr>
      <t xml:space="preserve">Line 24 is made by determining the difference between the total accrued NOIC amount </t>
    </r>
  </si>
  <si>
    <t>included in the FERC Form 1 recorded cost amounts and the actual A&amp;G NOIC payout (see note 2).</t>
  </si>
  <si>
    <t>NOIC adjustment in column 3, Line 26 is made by entering the amount of accrued NOIC that is capitalized.</t>
  </si>
  <si>
    <t>Transmission NOIC (Note 3)</t>
  </si>
  <si>
    <t>Distribution NOIC (Note 3)</t>
  </si>
  <si>
    <t>Total TDBU NOIC</t>
  </si>
  <si>
    <t>Transmission NOIC (Note 4)</t>
  </si>
  <si>
    <t>Distribution NOIC (Note 4)</t>
  </si>
  <si>
    <t>the Transmission NOIC Percentage calculated below.  Distribution NOIC equals Total TDBU NOIC times the Distribution NOIC Percentage below.</t>
  </si>
  <si>
    <t>Total TDBU NOIC is on Line:</t>
  </si>
  <si>
    <t>Transmission NOIC Percentage:</t>
  </si>
  <si>
    <t>Distribution NOIC Percentage:</t>
  </si>
  <si>
    <t xml:space="preserve">4) NOIC attributable to ISO Transmission (Column 7) is calculated utilizing a percentage equal to the ratio of total ISO O&amp;M Labor Expenses in column 7 (exclusive of NOIC) to </t>
  </si>
  <si>
    <t>the total labor expenses in column 3 (exclusive of NOIC).  That allocator, which is identified below, is then applied to the value in Column 3 to arrive at the NOIC attributable to ISO Transmission in Column 7.</t>
  </si>
  <si>
    <t>Less A&amp;G NOIC</t>
  </si>
  <si>
    <t>NOIC wo A&amp;G NOIC</t>
  </si>
  <si>
    <t>Total non-A&amp;G W&amp;S with NOIC</t>
  </si>
  <si>
    <t>3) Total TDBU NOIC is allocated to Transmission and Distribution in proportion to labor in the respective functions.  Transmission NOIC ("Non-Officer Incentive Compensation") equals Total TDBU NOIC times</t>
  </si>
  <si>
    <t>Total NOIC (Non-Officer Incentive Compensation)</t>
  </si>
  <si>
    <t>dividing adopted Uncollectibles expense by Total Operating revenues less Uncollectibles Expense.  Resulting FF &amp; U</t>
  </si>
  <si>
    <t>3) Enter ISO portion of plant in Column 2, "Transmission Plant - ISO, or "Distribution Plant - ISO".</t>
  </si>
  <si>
    <t>Depreciation Rates (Percent per year)  See "18-DepRates" and Instruction 1.</t>
  </si>
  <si>
    <t>17a</t>
  </si>
  <si>
    <t>17b</t>
  </si>
  <si>
    <t>17c</t>
  </si>
  <si>
    <t>17d</t>
  </si>
  <si>
    <t>17e</t>
  </si>
  <si>
    <t>17f</t>
  </si>
  <si>
    <t>17g</t>
  </si>
  <si>
    <t>17h</t>
  </si>
  <si>
    <t>17i</t>
  </si>
  <si>
    <t>17j</t>
  </si>
  <si>
    <t>17k</t>
  </si>
  <si>
    <t>17l</t>
  </si>
  <si>
    <t>17m</t>
  </si>
  <si>
    <t>1) Depreciation rates on Lines 17a-17m input from Schedule 18.  However, in the event of a mid-year change in depreciation rates approved by the Commission,</t>
  </si>
  <si>
    <t xml:space="preserve">the rates stated on Schedule 18 will represent end of Prior Year rates.  To correctly calculate depreciation expense for Transmission Plant - ISO for the entire  </t>
  </si>
  <si>
    <t xml:space="preserve">Prior Year, input depreciation rates from Schedule 18 only for those months during which the new rates were in effect, and input previous </t>
  </si>
  <si>
    <t>effective rates in the months for which they were in effect.</t>
  </si>
  <si>
    <t xml:space="preserve">5) Enter any One Time Adjustments on Column 4, Line 11 (or other appropriate).  If SCE is owed enter as positive, if SCE is to return to customers enter as negative.  </t>
  </si>
  <si>
    <t>c) Reliability Services Revenue.</t>
  </si>
  <si>
    <t>b) Transmission Access Charge Balancing Account Adjustment.</t>
  </si>
  <si>
    <t xml:space="preserve">a) Transmission Revenue Balancing Account Adjustment revenue. </t>
  </si>
  <si>
    <t>1) Not Used</t>
  </si>
  <si>
    <t>2) Not Used</t>
  </si>
  <si>
    <t xml:space="preserve">6) </t>
  </si>
  <si>
    <t xml:space="preserve">7) </t>
  </si>
  <si>
    <t xml:space="preserve">2) </t>
  </si>
  <si>
    <t>3) Update notes 9 and 10 as necessary.</t>
  </si>
  <si>
    <t>a) Depreciation Expense (on Lines 40 to 51) for the same month;</t>
  </si>
  <si>
    <t xml:space="preserve">removes the interest income/expense amounts previously recorded and included in current tax expense.  The purpose of the adjustment is to reflect only income </t>
  </si>
  <si>
    <t>tax amounts without any interest income/expense amounts.  The amount is directly from SCE's accounting system.</t>
  </si>
  <si>
    <t>Mono Power Company is a subsidiary company.  Net Earnings are reported on Acct 418.1, pg 225.11e.  Revenues and costs shall be non-ISO.</t>
  </si>
  <si>
    <t>SCE Capital Company is a subsidiary company.  Net Earnings are reported on Acct 418.1, pg 225.23e.  Revenues and costs shall be non-ISO.</t>
  </si>
  <si>
    <t>3) Includes recorded Transmission Plant-In-Service additions, retirements, transfers and adjustments.  From SCE internal acounting records.</t>
  </si>
  <si>
    <t>3) Total annual amortization associated with events listed in note 10 on 5-ROR-2.</t>
  </si>
  <si>
    <t>4) Total annual amortization associated with preferred equity issues listed in note 9 on 5-ROR-2.</t>
  </si>
  <si>
    <t>Note 2: Adjustment to exclude interest component related portion of Federal Income Taxes Payable on Line 805.  The Interest Income Reclassification adjustment</t>
  </si>
  <si>
    <t>Sum of Column D, Line 43 and Column G, Line 32</t>
  </si>
  <si>
    <t xml:space="preserve">Instruction 3: For any balances in account 190 relating to "Executive Incentive Comp" or "Executive Incentive Plan", the amount included in Column 3 "Gas, Generation or Other Related" shall be </t>
  </si>
  <si>
    <t>Instruction 4: Classify any ADIT line items relating to refunding and retirement of debt as Plant related (Column 5).</t>
  </si>
  <si>
    <t>Instruction 5: For any balances in account 190 relating to stock options, the entire amount is included in Column 3 “Gas, Generation or Other Related.”</t>
  </si>
  <si>
    <t>Accrual Rate</t>
  </si>
  <si>
    <t>18 Dep Rates L1</t>
  </si>
  <si>
    <t>18 Dep Rates L2</t>
  </si>
  <si>
    <t>18 Dep Rates L3</t>
  </si>
  <si>
    <t>18 Dep Rates L4</t>
  </si>
  <si>
    <t>18 Dep Rates L5</t>
  </si>
  <si>
    <t>18 Dep Rates L6</t>
  </si>
  <si>
    <t>18 Dep Rates L7</t>
  </si>
  <si>
    <t>18 Dep Rates L8</t>
  </si>
  <si>
    <t>18 Dep Rates L9</t>
  </si>
  <si>
    <t>18 Dep Rates L10</t>
  </si>
  <si>
    <t>4j</t>
  </si>
  <si>
    <t>Uneconomic Line Extension</t>
  </si>
  <si>
    <t>4k</t>
  </si>
  <si>
    <t>Opt Out CARE-Res-Ini</t>
  </si>
  <si>
    <t>4l</t>
  </si>
  <si>
    <t>Opt Out CARE-Res-Mo</t>
  </si>
  <si>
    <t>4m</t>
  </si>
  <si>
    <t>Opt Out NonCARE-Res-Ini</t>
  </si>
  <si>
    <t>4n</t>
  </si>
  <si>
    <t>Opt Out NonCARE-Res-Mo</t>
  </si>
  <si>
    <t>10x</t>
  </si>
  <si>
    <t>Op Misc Land/Fac Rev</t>
  </si>
  <si>
    <t>10y</t>
  </si>
  <si>
    <t>T-Unauth Pole Rent</t>
  </si>
  <si>
    <t>10z</t>
  </si>
  <si>
    <t>T-P&amp;E Fees</t>
  </si>
  <si>
    <t>Grant Amortization</t>
  </si>
  <si>
    <t>GHG Allowance Revenue</t>
  </si>
  <si>
    <t>12ccc</t>
  </si>
  <si>
    <t>12ddd</t>
  </si>
  <si>
    <t>3) Amortization of December balance over Rate Effective Period:</t>
  </si>
  <si>
    <t>1) Enter applicable years on Column 1, Lines 11-34 and 43-54.</t>
  </si>
  <si>
    <t>2) Enter Previous Period True Up Adjustment (if any) on Column 4, Lines 23-34.  See Note 4 for definition of Previous Period True Up Adjustment.</t>
  </si>
  <si>
    <t>18 C.F.R. §35.19a on lines 11 to 34, Column 6.  If interest rate for any months not known, use most recent known month.</t>
  </si>
  <si>
    <t>4) Enter "Total Amortization" amount on Line 57, column 6 to set September Month Ending Balance Column 7, Line 54 equal to $0.  Iterate if necessary to solve.</t>
  </si>
  <si>
    <t>(i.e., so that the Month Beginning Balance in Column 3, Line 43 is completely amortized away by the Amortization amounts in Column 4).</t>
  </si>
  <si>
    <t>6) Fill in matrix of all retail revenues from Prior Year in table on lines 95 to 106.</t>
  </si>
  <si>
    <t>7) Enter Total Sales to Ultimate Consumers on line 109 and verify that it equals the total on line 107.</t>
  </si>
  <si>
    <t>These are the 12 monthly values of the "True Up Adjustment Received/Returned" in Column 8, Lines 43 -54 from the previous Informational Filing,</t>
  </si>
  <si>
    <t>They are input into Column 4, lines 23-34 of this current Informational Filing, corresponding to the Rate Effective Period of the previous Informational Filing.</t>
  </si>
  <si>
    <t>8) The Interest Rate in Rate Effective Period is equal to average of interest rates in previous 12 months (lines 23-34).</t>
  </si>
  <si>
    <t>9) The "Month Beginning Balance"  is Month Ending Balance from previous month in Column 7 (January is from Column 9, Line 34).</t>
  </si>
  <si>
    <t>10) Amortization equals amount in Line 57 divided by 12 each month.  See Instruction #4 also for further detail.</t>
  </si>
  <si>
    <t xml:space="preserve">1) Forecast Period is the calendar year two years after the Prior Year (i.e., PY+2).   </t>
  </si>
  <si>
    <t>2) Sum of project specific values from lines 55-79, 81-105, 107-131, 133-157, 159-183, 185-209, 211-235, 237-261, 263-287, 289-313,…</t>
  </si>
  <si>
    <t>2) Enter forecast project specific values on lines 55-79, 81-105, 107-131, 133-157, 159-183, 185-209, 211-235, 237-261, 263-287, 289-313,...</t>
  </si>
  <si>
    <t>= C1 * 
16-Plnt Add Line 74</t>
  </si>
  <si>
    <t>= (C4 - C5) *
16-Plnt Add Line 74</t>
  </si>
  <si>
    <t>C4 10-CWIP
L30-53</t>
  </si>
  <si>
    <t>C5 10-CWIP
L30-53</t>
  </si>
  <si>
    <t>C6 10-CWIP
L30-53</t>
  </si>
  <si>
    <t>= Prior Month C7 
* L91/12</t>
  </si>
  <si>
    <t>=C11* (1-L75)
* (1+L74+L76)</t>
  </si>
  <si>
    <t>2) Sum of Incentive Plant Calculations and Non-Incentive Calculations, lines 26-49 and lines 50-73</t>
  </si>
  <si>
    <t>Column 8, Line 55</t>
  </si>
  <si>
    <t>Domestic</t>
  </si>
  <si>
    <t>GS-1</t>
  </si>
  <si>
    <t xml:space="preserve">       GS-1 continued</t>
  </si>
  <si>
    <t>TC-1</t>
  </si>
  <si>
    <t>GS-2</t>
  </si>
  <si>
    <t>TOU-GS-3</t>
  </si>
  <si>
    <t>TOU-8-SEC</t>
  </si>
  <si>
    <t>TOU-8-PRI</t>
  </si>
  <si>
    <t>TOU-8-SUB</t>
  </si>
  <si>
    <t>TOU-8-Standby-SEC</t>
  </si>
  <si>
    <t>TOU-8-Standby-PRI</t>
  </si>
  <si>
    <t>TOU-8-Standby-SUB</t>
  </si>
  <si>
    <t>TOU-PA-2</t>
  </si>
  <si>
    <t>TOU-PA-3</t>
  </si>
  <si>
    <t>Street Lighting</t>
  </si>
  <si>
    <t>Sales Forecast Billing Determinants:</t>
  </si>
  <si>
    <t>= Retail Base TRR * Line1:Col1</t>
  </si>
  <si>
    <t>Applies to supplemental kW demand charges</t>
  </si>
  <si>
    <t>Applies to contracted standby kW demand charges</t>
  </si>
  <si>
    <t>Recorded Billing Determinants: to be applied to the Supplemental kW demand charges, and the Contracted Standby kW demand charges</t>
  </si>
  <si>
    <t>GWh</t>
  </si>
  <si>
    <t>Maximum demand - MW</t>
  </si>
  <si>
    <t>Standby demand - MW</t>
  </si>
  <si>
    <t>Total energy rate - $/kWh</t>
  </si>
  <si>
    <t>Total demand rate - $/kW-month</t>
  </si>
  <si>
    <r>
      <t>1b</t>
    </r>
    <r>
      <rPr>
        <b/>
        <vertAlign val="subscript"/>
        <sz val="10"/>
        <rFont val="Arial"/>
        <family val="2"/>
      </rPr>
      <t>2</t>
    </r>
  </si>
  <si>
    <t>from Line1:Col2</t>
  </si>
  <si>
    <t>9a</t>
  </si>
  <si>
    <t>9b</t>
  </si>
  <si>
    <t>9c</t>
  </si>
  <si>
    <t>9d</t>
  </si>
  <si>
    <t>= Line16:Col6 * 0.746</t>
  </si>
  <si>
    <t>= Line16:Col7 * 0.746</t>
  </si>
  <si>
    <t>Revenue associated with Supplemental Demand or Energy</t>
  </si>
  <si>
    <t>Standby Demand Revenue</t>
  </si>
  <si>
    <t>Supplemental Demand Charge - $/kW-month</t>
  </si>
  <si>
    <t>Contracted standby kW demand Charge - $/kW-month</t>
  </si>
  <si>
    <t>Supplemental Demand Charge - $/HP-month</t>
  </si>
  <si>
    <t>Contracted standby kW demand Charge - $/HP-month</t>
  </si>
  <si>
    <t>16a</t>
  </si>
  <si>
    <t>16b</t>
  </si>
  <si>
    <t>16c</t>
  </si>
  <si>
    <t>16d</t>
  </si>
  <si>
    <t>16e</t>
  </si>
  <si>
    <t>16f</t>
  </si>
  <si>
    <t>16g</t>
  </si>
  <si>
    <t>16h</t>
  </si>
  <si>
    <t>16i</t>
  </si>
  <si>
    <t>16j</t>
  </si>
  <si>
    <t>16k</t>
  </si>
  <si>
    <t>16l</t>
  </si>
  <si>
    <t>16m</t>
  </si>
  <si>
    <t>16n</t>
  </si>
  <si>
    <t>16o</t>
  </si>
  <si>
    <t>1) See Col 9 of Lines 35a, 35b, 35c, etc.</t>
  </si>
  <si>
    <t>26a</t>
  </si>
  <si>
    <t>26b</t>
  </si>
  <si>
    <t>26c</t>
  </si>
  <si>
    <t>26d</t>
  </si>
  <si>
    <t>26e</t>
  </si>
  <si>
    <t>26f</t>
  </si>
  <si>
    <t>26g</t>
  </si>
  <si>
    <t>26h</t>
  </si>
  <si>
    <t>26i</t>
  </si>
  <si>
    <t>26j</t>
  </si>
  <si>
    <t>26k</t>
  </si>
  <si>
    <t>26l</t>
  </si>
  <si>
    <t>26m</t>
  </si>
  <si>
    <t>26n</t>
  </si>
  <si>
    <t>26o</t>
  </si>
  <si>
    <t>= Line35:(Col1+Col2+Col3)/3</t>
  </si>
  <si>
    <t>from Line1:Col3</t>
  </si>
  <si>
    <t>3-Year Average</t>
  </si>
  <si>
    <t>12-CP Allocation factors</t>
  </si>
  <si>
    <t>35a</t>
  </si>
  <si>
    <t>35b</t>
  </si>
  <si>
    <t>35c</t>
  </si>
  <si>
    <t>35d</t>
  </si>
  <si>
    <t>35e</t>
  </si>
  <si>
    <t>35f</t>
  </si>
  <si>
    <t>35g</t>
  </si>
  <si>
    <t>35h</t>
  </si>
  <si>
    <t>35i</t>
  </si>
  <si>
    <t>35j</t>
  </si>
  <si>
    <t>35k</t>
  </si>
  <si>
    <t>35l</t>
  </si>
  <si>
    <t>35m</t>
  </si>
  <si>
    <t>35n</t>
  </si>
  <si>
    <t>35o</t>
  </si>
  <si>
    <t>1-BaseTRR WS, Line 86</t>
  </si>
  <si>
    <t>H:  Excludes shareholder funded costs.</t>
  </si>
  <si>
    <t>In the event that the Formula Rate timelines in effect during the previous Informational Filing differ from this Informational Filing, enter the Previous Period True Up Adjustment</t>
  </si>
  <si>
    <t>in this Informational Filing on the lines corrresponding to the Rate Effective Period from the previous Informational Filing.</t>
  </si>
  <si>
    <t>4) Cost Adjustment may be included as provided in the Tariff protocols.</t>
  </si>
  <si>
    <t>1/16 (O&amp;M + A&amp;G)</t>
  </si>
  <si>
    <t>Beginning of Year Amount</t>
  </si>
  <si>
    <t>End of Year Amount</t>
  </si>
  <si>
    <t>Income Taxes = [((RB * ER) + D) * (CTR/(1 – CTR))]  + CO/(1 – CTR)</t>
  </si>
  <si>
    <t>Actual non-capitalized NOIC Payouts:</t>
  </si>
  <si>
    <t>actual non-capitalized A&amp;G NOIC payout.</t>
  </si>
  <si>
    <t>Forecast 12-CP Retail Load:</t>
  </si>
  <si>
    <t>Full Development of Retail and Wholesale Base TRRs</t>
  </si>
  <si>
    <t>Presentation of Prior Year CWIP and Forecast Period Incremental CWIP</t>
  </si>
  <si>
    <t>True Up TRR without Franchise Fees and Uncollectibles Expense included:</t>
  </si>
  <si>
    <t>k</t>
  </si>
  <si>
    <t xml:space="preserve">b) EOY General and Intangible Depreciation Reserve </t>
  </si>
  <si>
    <t>3) Devers to Col. River</t>
  </si>
  <si>
    <t>7, 17</t>
  </si>
  <si>
    <t>divided by total labor in these same accounts (column 3):</t>
  </si>
  <si>
    <t>Straddle Subs (Cross 200 kV boundary):</t>
  </si>
  <si>
    <t>G: Exclude any amount of ACE awards or Spot Bonuses in O&amp;M accounts 560-592.</t>
  </si>
  <si>
    <t>F:  Exclude amount of costs transfered to account from A&amp;G Account 920 pursuant to Order 668.</t>
  </si>
  <si>
    <t>E: Add NOIC annual payout.</t>
  </si>
  <si>
    <t>569.100 - Hardware</t>
  </si>
  <si>
    <t>569.200 - Software</t>
  </si>
  <si>
    <t>569.300 - Communication</t>
  </si>
  <si>
    <t>Gross Plant that can directly be determined to be HV or LV:</t>
  </si>
  <si>
    <t>B) Return on Capital</t>
  </si>
  <si>
    <t>C) Income Taxes</t>
  </si>
  <si>
    <t>D) True Up TRR Calculation</t>
  </si>
  <si>
    <t>E) Calculation of final True Up TRR with Franchise Fees and Uncollectibles Expenses</t>
  </si>
  <si>
    <t xml:space="preserve">1) No change in Return on Common Equity will be made absent a Section 205 filing at the Commission. </t>
  </si>
  <si>
    <t>AFCRCWIP = CLTD  + (COS * (1/(1 - CTR)))</t>
  </si>
  <si>
    <t xml:space="preserve">Year </t>
  </si>
  <si>
    <t>= Sum (Cols. 2-14)/13</t>
  </si>
  <si>
    <t>Reacquired Bonds -- Account 222 (Note 2): enter - of FF1</t>
  </si>
  <si>
    <t xml:space="preserve">Unamortized Issuance Costs (Note 9): enter negative </t>
  </si>
  <si>
    <t>Unappropriated Undist. Sub. Earnings -- Acct. 216.1 (Note 12): enter - of FF1</t>
  </si>
  <si>
    <t>Accumulated Other Comprehensive Loss -- Account 219 (Note 13): enter - of FF1</t>
  </si>
  <si>
    <t>121 FERC ¶ 61,168 at P 57</t>
  </si>
  <si>
    <t>121 FERC ¶ 61,168 at P 129</t>
  </si>
  <si>
    <t>-------</t>
  </si>
  <si>
    <t>121 FERC ¶ 61,168 at P 71</t>
  </si>
  <si>
    <t>121 FERC ¶ 61,168 at 129; modified by ER10-160 Settlement, see</t>
  </si>
  <si>
    <t>P2 and P3</t>
  </si>
  <si>
    <t>121 FERC ¶ 61,168 at P 57; modified by ER10-160 Settlement, see</t>
  </si>
  <si>
    <t xml:space="preserve">121 FERC ¶ 61,168 at P 129; modified by ER10-160 Settlement, see </t>
  </si>
  <si>
    <t>P 3 and P 7</t>
  </si>
  <si>
    <t>129 FERC ¶ 61,246 at P 55, and 133 FERC ¶ 61,108 at P 92</t>
  </si>
  <si>
    <t>133 FERC ¶ 61,108 at P 98</t>
  </si>
  <si>
    <t>129 FERC ¶ 61,246 at PP 68-69, and 133 FERC ¶ 61,108 at PP 85-86</t>
  </si>
  <si>
    <t>133 FERC ¶ 61,107 at P 76</t>
  </si>
  <si>
    <t>133 FERC ¶ 61,107 at P 102</t>
  </si>
  <si>
    <t>133 FERC ¶ 61,107 at P 88</t>
  </si>
  <si>
    <t>134 FERC ¶ 61,181 at P 79</t>
  </si>
  <si>
    <t>Row 39, Column i</t>
  </si>
  <si>
    <t>Row 8, Column i</t>
  </si>
  <si>
    <t>Row 9, Column i</t>
  </si>
  <si>
    <t>Row 24, Column i</t>
  </si>
  <si>
    <t>Row 10, Column i</t>
  </si>
  <si>
    <t>Row 40, Column i</t>
  </si>
  <si>
    <t>Row 38, Column i</t>
  </si>
  <si>
    <t>Includes Schedules TC-1, Wi-Fi-1, and WTR.</t>
  </si>
  <si>
    <t>Includes Schedules  PA-1, PA-2, TOU-PA-ICE, and TOU-PA-2 (Option A, B, RTP, SOP-1, SOP-2, CPP, Standby, and AP-I).</t>
  </si>
  <si>
    <t>Includes Schedules  TOU-PA-3-CPP, and TOU-PA-3 (Option A, B, RTP, SOP-1, SOP-2, Standby, and AP-I).</t>
  </si>
  <si>
    <t>4o</t>
  </si>
  <si>
    <t>Conn-Charge - Residential</t>
  </si>
  <si>
    <t>4p</t>
  </si>
  <si>
    <t>Conn-Charge - Non-Residential</t>
  </si>
  <si>
    <t>4q</t>
  </si>
  <si>
    <t>Conn-Charge - At Pole</t>
  </si>
  <si>
    <t xml:space="preserve">Includes Schedules GS-2, TOU-EV-4, and TOU-GS-2 (Option A, B, R, RTP, CPP, Standby, GS-APS, GS-APS-E, and ME). </t>
  </si>
  <si>
    <t>Includes Schedules TOU-GS-3-CPP, and TOU-GS-3 (Option A, B, R, RTP, SOP, Standby, TOU-BIP, GS-APS, GS-APS-E, and ME).</t>
  </si>
  <si>
    <t>6-PlantInService Line 15.</t>
  </si>
  <si>
    <t>6-PlantInService Line 16.</t>
  </si>
  <si>
    <r>
      <t xml:space="preserve">Complete Lines 1-9 of this Schedule every other Annual Update beginning with the </t>
    </r>
    <r>
      <rPr>
        <sz val="10"/>
        <rFont val="Arial"/>
        <family val="2"/>
      </rPr>
      <t>Annual Update submitted in 2014 (for Rate Year 2015).</t>
    </r>
  </si>
  <si>
    <t>Complete Lines 10-14 every Annual Update beginning with the Annual Update submitted in 2014 (for Rate Year 2015).</t>
  </si>
  <si>
    <t>if the absolute value of the sum of the Cumulative PBOPs Recovery Difference and the Future PBOPs Recovery Difference is greater</t>
  </si>
  <si>
    <t>than 20% of the sum of SCE's forecast PBOPs expense for the current year and the following year.</t>
  </si>
  <si>
    <t>Cumulative PBOPs Recovery Difference</t>
  </si>
  <si>
    <t>Future PBOPs Recovery Difference</t>
  </si>
  <si>
    <t>Calculation of PBOPs True Up TRR Adjustment (See Note 3):</t>
  </si>
  <si>
    <t>Authorized PBOPs Expense Amount for Prior Year:</t>
  </si>
  <si>
    <t>Note 1 for Prior Year</t>
  </si>
  <si>
    <t>Sch. 20 Note 3, Line a</t>
  </si>
  <si>
    <t>Reduction from previous year:</t>
  </si>
  <si>
    <t>Wages and Salaries Allocation Factor:</t>
  </si>
  <si>
    <t>PBOPs True Up TRR Adjustment:</t>
  </si>
  <si>
    <t xml:space="preserve">1) The Cumulative PBOPs Recovery Difference is the cumulative over-recovery or under-recovery of SCE’s PBOPs expense amount </t>
  </si>
  <si>
    <t xml:space="preserve">during the period beginning on the date the currently-effective Authorized PBOB Expense Amounts became effective and </t>
  </si>
  <si>
    <t>ending on December 31 of the immediately preceding year (“Prior PBOPs Recovery Period”)</t>
  </si>
  <si>
    <t>Decision</t>
  </si>
  <si>
    <t>Current Authorized PBOPs Expense Amounts:</t>
  </si>
  <si>
    <t>(See Instruction 1)</t>
  </si>
  <si>
    <r>
      <t>Calculation of Cumulative PBOPs Recovery Difference (see Instruction 2</t>
    </r>
    <r>
      <rPr>
        <sz val="10"/>
        <rFont val="Arial"/>
        <family val="2"/>
      </rPr>
      <t>):</t>
    </r>
  </si>
  <si>
    <t>(C4)</t>
  </si>
  <si>
    <t>(C5)</t>
  </si>
  <si>
    <t>= C2 - C3</t>
  </si>
  <si>
    <t>= C1 - C4</t>
  </si>
  <si>
    <t>Adjusted</t>
  </si>
  <si>
    <t>PBOPs Amounts became effective:</t>
  </si>
  <si>
    <t>Cumulative PBOPs Recovery Difference:</t>
  </si>
  <si>
    <t>2) The Future PBOPs Recovery Difference is the difference between:</t>
  </si>
  <si>
    <t>a) The sum of SCE's Forecast PBOPs Expense for the current year and next year ("Projected Expense"); and</t>
  </si>
  <si>
    <t>Calculation of Future PBOPs Recovery Difference:</t>
  </si>
  <si>
    <t>Sum from Note 1 for current and next year.</t>
  </si>
  <si>
    <t>Future PBOPs Recovery Difference:</t>
  </si>
  <si>
    <t>Forecast PBOPs</t>
  </si>
  <si>
    <t>Twenty Percent of sum of forecast PBOPs Expense for current</t>
  </si>
  <si>
    <t>3) The PBOPs True Up TRR Adjustment determines the amount by which the True Up TRR for the Prior Year should be adjusted in order to correctly reflect the</t>
  </si>
  <si>
    <t>Authorized PBOPs Expense Amount that was in effect for the Prior Year (rather than the stated amount that is in effect for the current year as shown on</t>
  </si>
  <si>
    <t>Schedule 20, Note 3, Line a).</t>
  </si>
  <si>
    <t>1) "Current Authorized PBOPs Expense Amounts" in Note 1 are the amounts in effect beginning the first year these amounts were authorized.</t>
  </si>
  <si>
    <t>This schedule is to be filled out (if required by the protocols) utilizing the amounts in effect at that time.  If a filing to revise the Authorized</t>
  </si>
  <si>
    <t>PBOPs Expense Amounts is required, SCE shall make such filing after the Draft Annual Update is posted.</t>
  </si>
  <si>
    <t>SCE shall request that the Commission make the revised Authorized PBOPs Expense Amounts (as determined on Lines 5-9) effective beginning on</t>
  </si>
  <si>
    <t>January 1 of the filing year.</t>
  </si>
  <si>
    <t xml:space="preserve">If the Commission approves SCE's filing, the Authorized PBOPs Expense Amount on Schedule 20, Note 3, Line a for the subsequent </t>
  </si>
  <si>
    <t>Annual Update shall then correspond to the first "Filing PBOPs Expense" in Column 3, Line 5 above.  Absent another filing, subsequent Authorized</t>
  </si>
  <si>
    <t>PBOPs Expense Amounts in subsequent Annual Updates will correspond to the amounts in lines 6-9.</t>
  </si>
  <si>
    <t>2) Fill out table through the year immediately preceeding the current calendar year in which the Annual Update is filed.</t>
  </si>
  <si>
    <t>Enter in C1 "PBOPs Expenses" for each year equal to SCE's actual PBOPs expenses.</t>
  </si>
  <si>
    <t>Enter in C2 PBOPs Recovery based on Commission-approved amounts from most recent PBOPs filing for each year in Prior PBOPs Recovery Period.</t>
  </si>
  <si>
    <t>Enter in C3 "Previous Over (-) or Under (+) Recovery" from previous filing to revise PBOPs amounts (Lines 5 and 6, C2), if any.  Enter with same sign,</t>
  </si>
  <si>
    <t>and corresponding to the years over which it was amortized.</t>
  </si>
  <si>
    <t xml:space="preserve">C4 "Adjusted PBOPs Recovery" represents PBOPs Recovery with the previous period over or undercollection removed. </t>
  </si>
  <si>
    <t>27a</t>
  </si>
  <si>
    <t>PBOPs True Up TRR Adjustment</t>
  </si>
  <si>
    <t xml:space="preserve"> and the American Reinvestment Recovery Act for the Tehachapi Wind Energy Storage Project.</t>
  </si>
  <si>
    <t>Dec 2014</t>
  </si>
  <si>
    <t>d) Amounts resulting from input errors impacting the True Up TRR in a previous Formula Rate filing pursuant to Protocol Section 3(d)(8).</t>
  </si>
  <si>
    <t>One Time True Up Adjustment amounts (see Instruction #5) attributable to a previous Prior Year are entered on Column 4, Line 11 (or other appropriate).</t>
  </si>
  <si>
    <t>5) Only exclude if not already excluded in Schedule 20.</t>
  </si>
  <si>
    <t>LV Substations (Less Than 200kV)</t>
  </si>
  <si>
    <t>(Line 24)</t>
  </si>
  <si>
    <t>(Line 29)</t>
  </si>
  <si>
    <t>(Line 36)</t>
  </si>
  <si>
    <t>(Line 22 x Line 23)</t>
  </si>
  <si>
    <t>(Line 27 x Line 28)</t>
  </si>
  <si>
    <t>(Line 32 x Line 33)</t>
  </si>
  <si>
    <t>(Line 34 x Line 35)</t>
  </si>
  <si>
    <t>Settlement in ER11-3697</t>
  </si>
  <si>
    <t>present</t>
  </si>
  <si>
    <t>Schedule-28 Workpaper, line 3</t>
  </si>
  <si>
    <t>Schedule-28 Workpaper, line 4</t>
  </si>
  <si>
    <t>Series D Pref., 6.500%</t>
  </si>
  <si>
    <t>Series E Pref., 6.250%</t>
  </si>
  <si>
    <t>Series F Pref., 5.625%</t>
  </si>
  <si>
    <t>Series G Pref., 5.100%</t>
  </si>
  <si>
    <t>Series H, Pref., 5.75%</t>
  </si>
  <si>
    <t>8.540% Preferred, premium</t>
  </si>
  <si>
    <t>November 1985</t>
  </si>
  <si>
    <t>Net gain from open-market purchase of 67,400 shares in November 1985</t>
  </si>
  <si>
    <t>12.000% Preferred, redemption</t>
  </si>
  <si>
    <t>February 1986</t>
  </si>
  <si>
    <t>Redemption premium paid to holders (so loss to company)</t>
  </si>
  <si>
    <t>Initial issue discount</t>
  </si>
  <si>
    <t>12eee</t>
  </si>
  <si>
    <t>3rd Party Svs-Outside SCE AES Huntington Beach</t>
  </si>
  <si>
    <t>12fff</t>
  </si>
  <si>
    <t>Advanced Technology 3rd Party Services</t>
  </si>
  <si>
    <t>Amort of Debt Issuance Cost</t>
  </si>
  <si>
    <t>C: Relates to all Regulated Electric Property</t>
  </si>
  <si>
    <t>Executive Incentive Comp</t>
  </si>
  <si>
    <t>C: Relates to employees in all functions</t>
  </si>
  <si>
    <t>DIT - APS Right of Way</t>
  </si>
  <si>
    <t>Relates to 100% ISO facilities</t>
  </si>
  <si>
    <t>Corp Name Change</t>
  </si>
  <si>
    <t>Bond Discount Amort</t>
  </si>
  <si>
    <t>Executive Incentive Plan</t>
  </si>
  <si>
    <t>Ins - Inj/Damages Prov</t>
  </si>
  <si>
    <t>Accrued Vacation</t>
  </si>
  <si>
    <t>Ins Res/Casualty Loss</t>
  </si>
  <si>
    <t>Int Capitalized - AFUDC</t>
  </si>
  <si>
    <t>PBOP 401H Amortization</t>
  </si>
  <si>
    <t>EMS</t>
  </si>
  <si>
    <t>Amortization of Debt Expense</t>
  </si>
  <si>
    <t>DPV2 ADIT - Abandonment</t>
  </si>
  <si>
    <t>Property-Related FERC Costs</t>
  </si>
  <si>
    <t>Decommissioning</t>
  </si>
  <si>
    <t>Relates to Nuclear Decommissioning Costs</t>
  </si>
  <si>
    <t>Balancing Accounts</t>
  </si>
  <si>
    <t>Relates Entirely to CPUC Balancing Account Recovery</t>
  </si>
  <si>
    <t>CIAC/ITCC</t>
  </si>
  <si>
    <t>Pension &amp; PBOP</t>
  </si>
  <si>
    <t>Property/Non-ISO</t>
  </si>
  <si>
    <t>Non-Rate Base Property</t>
  </si>
  <si>
    <t>Regulatory Assets/Liab</t>
  </si>
  <si>
    <t>Temp - Other/Non-ISO</t>
  </si>
  <si>
    <t>Not Component of Rate Base</t>
  </si>
  <si>
    <t>Audit Rollforward</t>
  </si>
  <si>
    <t>Gas and Other Non-ISO Related Costs</t>
  </si>
  <si>
    <t>Temp - Other (Non-Electric)</t>
  </si>
  <si>
    <t xml:space="preserve">Fully Normalized Deferred Tax </t>
  </si>
  <si>
    <t>Acc Def Inc Tax-AFUDC</t>
  </si>
  <si>
    <t>Relates to all Regulated Electric Property</t>
  </si>
  <si>
    <t>Repair Method Changes - FERC</t>
  </si>
  <si>
    <t>Property-Related CPUC Costs</t>
  </si>
  <si>
    <t>Repair Deduction/Non-ISO</t>
  </si>
  <si>
    <t>Property-Related CPUC Costs - Repair</t>
  </si>
  <si>
    <t>Temp - Other</t>
  </si>
  <si>
    <t>Capitalized Software</t>
  </si>
  <si>
    <t>Property-Related CPUC Costs - Cap Software</t>
  </si>
  <si>
    <t xml:space="preserve">Property-Related CPUC Costs - Audit </t>
  </si>
  <si>
    <t>Def Tax State - Other (GSI)</t>
  </si>
  <si>
    <t>C: FERC-Related state deductions</t>
  </si>
  <si>
    <t>Payroll Tax</t>
  </si>
  <si>
    <t>Ad Valorem Lien Date Adj-Electric</t>
  </si>
  <si>
    <t>State Rate Adjustment</t>
  </si>
  <si>
    <t>Refunding &amp; Retirement of Debt</t>
  </si>
  <si>
    <t>Health Care - IBNR</t>
  </si>
  <si>
    <t>Non-Rate Base FAS 109 Tax Flow-Thru</t>
  </si>
  <si>
    <t>Property/Non-Electric</t>
  </si>
  <si>
    <t>Temp - Other/Non-Electric</t>
  </si>
  <si>
    <t>Capitalized Software/Non-ISO</t>
  </si>
  <si>
    <t>Line 17, column 3</t>
  </si>
  <si>
    <t xml:space="preserve">Relates to Nonrecovery Balancing Account  </t>
  </si>
  <si>
    <t>Chino Hills Abandonment</t>
  </si>
  <si>
    <t>Trans. And Dist. Business Unit</t>
  </si>
  <si>
    <t>Domestic (con't)</t>
  </si>
  <si>
    <t>Includes Schedules TOU-8-CPP, TOU-8-RBU, and TOU-8 (Option A, B, R, RTP, TOU-BIP, GS-APS, GS-APS-E, Backup-B, and ME).</t>
  </si>
  <si>
    <t>Jan 1, 2015</t>
  </si>
  <si>
    <t>Dec 31, 2015</t>
  </si>
  <si>
    <t>Jan 2015</t>
  </si>
  <si>
    <t>Feb 2015</t>
  </si>
  <si>
    <t>Mar 2015</t>
  </si>
  <si>
    <t>Apr 2015</t>
  </si>
  <si>
    <t>May 2015</t>
  </si>
  <si>
    <t>Jun 2015</t>
  </si>
  <si>
    <t>Jul 2015</t>
  </si>
  <si>
    <t>Aug 2015</t>
  </si>
  <si>
    <t>Sep 2015</t>
  </si>
  <si>
    <t>Oct 2015</t>
  </si>
  <si>
    <t>Nov 2015</t>
  </si>
  <si>
    <t>Dec 2015</t>
  </si>
  <si>
    <t>Data Network Systems</t>
  </si>
  <si>
    <t>Telecom Power Systems</t>
  </si>
  <si>
    <t>Sales Forecast (Not Including Backup)</t>
  </si>
  <si>
    <t>Sales Forecast (Backup)</t>
  </si>
  <si>
    <t>NEM Adjustment</t>
  </si>
  <si>
    <t>= (Line1:Col3 + Line1:Col4) - Line1:Col5</t>
  </si>
  <si>
    <t>= Line1:Col2 / (Line1:Col8*10^6)</t>
  </si>
  <si>
    <t>= Line1:Col2 / ((Line1:Col6 + Line1:Col7)*10^3)</t>
  </si>
  <si>
    <t xml:space="preserve"> GWh</t>
  </si>
  <si>
    <t>Backup GWh</t>
  </si>
  <si>
    <t>NEM GWh</t>
  </si>
  <si>
    <t>Billing Determinants with NEM Adjustment</t>
  </si>
  <si>
    <t>Notes 9,10</t>
  </si>
  <si>
    <r>
      <t>2) Determination of</t>
    </r>
    <r>
      <rPr>
        <b/>
        <strike/>
        <sz val="12"/>
        <rFont val="Arial"/>
        <family val="2"/>
      </rPr>
      <t xml:space="preserve"> </t>
    </r>
    <r>
      <rPr>
        <b/>
        <sz val="12"/>
        <rFont val="Arial"/>
        <family val="2"/>
      </rPr>
      <t>Demand Rates for Large Power (TOU-8) Rate Groups</t>
    </r>
  </si>
  <si>
    <t>from Line1:Col7</t>
  </si>
  <si>
    <t>= Col1 / Col2 / 10^3</t>
  </si>
  <si>
    <t>= Col 6 / (Col 7 * 10^3)</t>
  </si>
  <si>
    <r>
      <t>Standby</t>
    </r>
    <r>
      <rPr>
        <b/>
        <u/>
        <sz val="10"/>
        <rFont val="Arial"/>
        <family val="2"/>
      </rPr>
      <t xml:space="preserve"> </t>
    </r>
    <r>
      <rPr>
        <b/>
        <sz val="10"/>
        <rFont val="Arial"/>
        <family val="2"/>
      </rPr>
      <t>Allocated costs</t>
    </r>
  </si>
  <si>
    <t>Standby Demand - MW</t>
  </si>
  <si>
    <t>Contracted Standby Demand Charge $/kW</t>
  </si>
  <si>
    <t>Non-Standby Allocated Costs</t>
  </si>
  <si>
    <t>Sum of Standby and Non-Standby Demand</t>
  </si>
  <si>
    <t>Supplemental kW demand Charge $/kW</t>
  </si>
  <si>
    <t>= Col 2 + Col 3</t>
  </si>
  <si>
    <t>= Line1:Col2 - Line16:Col3</t>
  </si>
  <si>
    <t>= Line16:Col7 * Line1:Col7 *10^3</t>
  </si>
  <si>
    <t>= Line16:Col2 / (Line1:Col8 * 10^6)</t>
  </si>
  <si>
    <t>= Line16:Col2 / Line1:Col6 / 10^3</t>
  </si>
  <si>
    <t>from Line9:Col3</t>
  </si>
  <si>
    <t>Note 12</t>
  </si>
  <si>
    <t>Note 13</t>
  </si>
  <si>
    <t>Note 14</t>
  </si>
  <si>
    <t>Total Revenues</t>
  </si>
  <si>
    <t>Note 15</t>
  </si>
  <si>
    <t>Note 16</t>
  </si>
  <si>
    <t>2) Sales forecast in total Giga-watt hours usage, represents the customers' total annual GWh usage.  Based on same forecast as Gross Load forecast in Schedule 32, Line 1, but at customer meter level.</t>
  </si>
  <si>
    <t xml:space="preserve">    Does not include Backup GWh included in Column 4 (the sum of Column 3 and 4 equals total Sales Forecast).</t>
  </si>
  <si>
    <t>3) Backup GWh represents the amount of electric service that is provided by SCE to a customer who has an onsite generating facility during unscheduled outages of the customer’s on-site generator.</t>
  </si>
  <si>
    <t xml:space="preserve">    Only applies to TOU-8-Standby-SEC, TOU-8-Standby-PRI, TOU-8-Standby-SUB Rate Groups.</t>
  </si>
  <si>
    <t>4) Amount of energy included in the sales forecast that is not subject to transmission charges pursuant to the California Public Utilities Commission (“CPUC”) approved Net Energy Metering Program.</t>
  </si>
  <si>
    <t>5) Sales forecast pertaining to the sum of monthly maximum supplemental Mega-watt demand, applies to demand charge schedules</t>
  </si>
  <si>
    <t>6) Sales forecast pertaining to the sum of monthly contracted standby Mega-watt demand, applies to standby schedules</t>
  </si>
  <si>
    <t>7) Net Forecast in total Giga-watt hours usage - represents the customers' annual Net GWh, applicable to Non-Demand Charge Schedules such as Residential or Small General Service</t>
  </si>
  <si>
    <t>8) Recorded sales from Sample meters adjusted for population - use to set the total demand rate for the optional time-of-use schedules within the GS-1 rate group</t>
  </si>
  <si>
    <t>9) Line 1b2, Col11 = Line 1b Col9 * Line 1b Col11 * 10^6</t>
  </si>
  <si>
    <t>10) Total demand rate for the optional time-of-use schedules within the GS-1 rate group, Line 1b2:Col10 =  Line 1b2:Col12 ( which = Line 1b2:Col11  / ((Line1b:Col12 + Line1b:Col13) * 10^3)</t>
  </si>
  <si>
    <t>11) Sum of the TOU-8 Standby and TOU-8 Non-Standby billing determinants in Line1:Col6</t>
  </si>
  <si>
    <t>12) For TOU-8 Rates revenue = Supplemental Demand Charge on Line 9 Column 8 * Maximum Demand on Lines 1 Column 6</t>
  </si>
  <si>
    <r>
      <t>13) For optional time-of-use schedules within the GS-1 rate group (Line16b:Col6), = (Line1b</t>
    </r>
    <r>
      <rPr>
        <vertAlign val="subscript"/>
        <sz val="10"/>
        <rFont val="Arial"/>
        <family val="2"/>
      </rPr>
      <t>2</t>
    </r>
    <r>
      <rPr>
        <sz val="10"/>
        <rFont val="Arial"/>
        <family val="2"/>
      </rPr>
      <t>:Col11</t>
    </r>
    <r>
      <rPr>
        <sz val="10"/>
        <rFont val="Arial"/>
        <family val="2"/>
      </rPr>
      <t xml:space="preserve"> - Line16:Col3) / Line1b:Col12</t>
    </r>
    <r>
      <rPr>
        <sz val="10"/>
        <rFont val="Arial"/>
        <family val="2"/>
      </rPr>
      <t xml:space="preserve"> / 10^3</t>
    </r>
  </si>
  <si>
    <r>
      <t>14) For the non TOU-8-Standby rate group, it is the minimum of Line16i:Col7, or the total demand rate in Line1:Col10</t>
    </r>
    <r>
      <rPr>
        <strike/>
        <sz val="10"/>
        <rFont val="Arial"/>
        <family val="2"/>
      </rPr>
      <t>9</t>
    </r>
  </si>
  <si>
    <t>15)  Applicable to time-of-use schedules within the GS-1 rate group</t>
  </si>
  <si>
    <t>16)  Applicable to the optional schedules that contain horse power charge such as PA-1</t>
  </si>
  <si>
    <t>17) GWh for TOU-8-Standby-SEC, TOU-8-Standby-PRI, TOU-8-Standby-SUB Rate Groups are placed in TOU-8-SEC, TOU-8-PRI, TOU-8-SUB Rate Groups respectively.</t>
  </si>
  <si>
    <t>from Line1:Col4</t>
  </si>
  <si>
    <t>= Col 7 + Col 8</t>
  </si>
  <si>
    <t>= Line35:(Col4*Col5/Col6*Col9)</t>
  </si>
  <si>
    <t>= Line35:(Col10 / total of Col10)</t>
  </si>
  <si>
    <t>Note 17</t>
  </si>
  <si>
    <t>Standby Adjusted Sales Forecast - GWh</t>
  </si>
  <si>
    <t>Total Sales Forecast - GWh</t>
  </si>
  <si>
    <t>Row 6, Column i minus Row12, Column i</t>
  </si>
  <si>
    <t>FF1 322.156b</t>
  </si>
  <si>
    <t>ER14-2788, Order dated October 22, 2014</t>
  </si>
  <si>
    <t>2016 TRBAA</t>
  </si>
  <si>
    <t>ER16-175</t>
  </si>
  <si>
    <t>2014-2015</t>
  </si>
  <si>
    <t>2016</t>
  </si>
  <si>
    <t>Series J., Pref., 5.375%</t>
  </si>
  <si>
    <t>Four months amortization in 2015</t>
  </si>
  <si>
    <t>Internal Revenue Code Section 11(b)(1)(D)</t>
  </si>
  <si>
    <t>California Rev. &amp; Tax. Cd. Section 23151(e)</t>
  </si>
  <si>
    <t>New Mexico Statutes, ¶12,300 Rates in general</t>
  </si>
  <si>
    <t>Arizona Rev. Stat.Ann. Statute, Title 43, Part 43.1139(A)(5)</t>
  </si>
  <si>
    <t>DC Code Ann. §47-1810.02(d-2)</t>
  </si>
  <si>
    <t>CPUC D. 15-11-021</t>
  </si>
  <si>
    <t>2015-2017</t>
  </si>
  <si>
    <t>Non-Rate Base FAS 109 Tax - CIAC</t>
  </si>
  <si>
    <t>Net Operating Losses DTA</t>
  </si>
  <si>
    <t xml:space="preserve">NOL/DTA </t>
  </si>
  <si>
    <t>Reclass Acct 282 Debit Bal on Repair Deduction/Non-ISO to 190</t>
  </si>
  <si>
    <t>2016-2017</t>
  </si>
  <si>
    <t>12ggg</t>
  </si>
  <si>
    <t>12hhh</t>
  </si>
  <si>
    <t>12iii</t>
  </si>
  <si>
    <t>EV Charging Revenue</t>
  </si>
  <si>
    <t>Telcm Sys/Equip Svcs</t>
  </si>
  <si>
    <t>CAMT/8050121</t>
  </si>
  <si>
    <t>15t</t>
  </si>
  <si>
    <t>15u</t>
  </si>
  <si>
    <t>15v</t>
  </si>
  <si>
    <t>15w</t>
  </si>
  <si>
    <t>4198132</t>
  </si>
  <si>
    <t>RLA-Base-Mojave Solr</t>
  </si>
  <si>
    <t>4198134</t>
  </si>
  <si>
    <t>RLA-O&amp;M-Mojave Solr</t>
  </si>
  <si>
    <t>RSR - Non-PTO's</t>
  </si>
  <si>
    <t>4188716</t>
  </si>
  <si>
    <t>ISO Non-Ref Int Depo</t>
  </si>
  <si>
    <t>G&amp;H</t>
  </si>
  <si>
    <t xml:space="preserve">Alberhill </t>
  </si>
  <si>
    <t>Sub</t>
  </si>
  <si>
    <t xml:space="preserve"> SCE records</t>
  </si>
  <si>
    <t>Recorded GWh 
(2012-2014 Average)</t>
  </si>
  <si>
    <t xml:space="preserve">Includes Schedules D, D-CARE, D-FERA,TOU-D-T, TOU-EV-1, DE, D-SDP, D-SDP-O, DM, DMS-1, DMS-2, DMS-3, and DS. </t>
  </si>
  <si>
    <t xml:space="preserve">  D (Option CPP), D-CARE (Option CPP), TOU-D-Option A, TOU-D-Option B, TOU-D-1-P, TOU-D-2-P, TOU-D-3-P</t>
  </si>
  <si>
    <t>Includes Schedules GS-1, TOU-EV-3, and TOU-GS-1 (Option A, B, C, RTP, CPP, Standby, GS-APS, GS-APS-E, and ME).</t>
  </si>
  <si>
    <t>Includes Schedules TOU-8-Standby (Option A, B, RTP, TOU-BIP, GS-APS, GS-APS-E, and ME).</t>
  </si>
  <si>
    <t>Includes Schedules AL-2-B, DWL, LS-1, LS-2, LS-3, LS-3-B, and OL-1.</t>
  </si>
</sst>
</file>

<file path=xl/styles.xml><?xml version="1.0" encoding="utf-8"?>
<styleSheet xmlns="http://schemas.openxmlformats.org/spreadsheetml/2006/main" xmlns:mc="http://schemas.openxmlformats.org/markup-compatibility/2006" xmlns:x14ac="http://schemas.microsoft.com/office/spreadsheetml/2009/9/ac" mc:Ignorable="x14ac">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0%"/>
    <numFmt numFmtId="166" formatCode="&quot;$&quot;#,##0.00"/>
    <numFmt numFmtId="167" formatCode="_(* #,##0_);_(* \(#,##0\);_(* &quot;-&quot;??_);_(@_)"/>
    <numFmt numFmtId="168" formatCode="0.000%"/>
    <numFmt numFmtId="169" formatCode="&quot;$&quot;#,##0.0000000"/>
    <numFmt numFmtId="170" formatCode="0.000"/>
    <numFmt numFmtId="171" formatCode="0.0%"/>
    <numFmt numFmtId="172" formatCode="#,##0.000"/>
    <numFmt numFmtId="173" formatCode="0.00000%"/>
    <numFmt numFmtId="174" formatCode="&quot;$&quot;#,##0.00000"/>
    <numFmt numFmtId="175" formatCode="0.0000"/>
    <numFmt numFmtId="176" formatCode="_(&quot;$&quot;* #,##0.00_);_(&quot;$&quot;* \(#,##0.00\);_(&quot;$&quot;* &quot;-&quot;_);_(@_)"/>
    <numFmt numFmtId="177" formatCode="_-* #,##0.00\ _D_M_-;\-* #,##0.00\ _D_M_-;_-* &quot;-&quot;??\ _D_M_-;_-@_-"/>
    <numFmt numFmtId="178" formatCode="_-* #,##0\ _D_M_-;\-* #,##0\ _D_M_-;_-* &quot;-&quot;??\ _D_M_-;_-@_-"/>
    <numFmt numFmtId="179" formatCode="_(&quot;$&quot;* #,##0_);_(&quot;$&quot;* \(#,##0\);_(&quot;$&quot;* &quot;-&quot;??_);_(@_)"/>
    <numFmt numFmtId="180" formatCode="#,##0.0_);[Red]\(#,##0.0\)"/>
    <numFmt numFmtId="181" formatCode="m/d/yy;@"/>
    <numFmt numFmtId="182" formatCode="&quot;$&quot;#,##0.000000"/>
    <numFmt numFmtId="183" formatCode="0_);\(0\)"/>
    <numFmt numFmtId="184" formatCode="[$-409]mmm\-yy;@"/>
    <numFmt numFmtId="185" formatCode="[$-409]mmmm\ d\,\ yyyy;@"/>
    <numFmt numFmtId="186" formatCode="[$-409]d\-mmm;@"/>
    <numFmt numFmtId="187" formatCode="_([$€-2]* #,##0.00_);_([$€-2]* \(#,##0.00\);_([$€-2]* &quot;-&quot;??_)"/>
    <numFmt numFmtId="188" formatCode="0.000000"/>
    <numFmt numFmtId="189" formatCode="[$-409]d\-mmm\-yy;@"/>
    <numFmt numFmtId="190" formatCode="m\-d\-yy"/>
    <numFmt numFmtId="191" formatCode="yymmmmdd"/>
    <numFmt numFmtId="192" formatCode="0.0%;;"/>
    <numFmt numFmtId="193" formatCode="0.000\ \¢"/>
    <numFmt numFmtId="194" formatCode="&quot;$&quot;.00;;"/>
    <numFmt numFmtId="195" formatCode="_-* #,##0.00\ &quot;DM&quot;_-;\-* #,##0.00\ &quot;DM&quot;_-;_-* &quot;-&quot;??\ &quot;DM&quot;_-;_-@_-"/>
    <numFmt numFmtId="196" formatCode="&quot;$&quot;#,##0.00;\-&quot;$&quot;#,##0.00"/>
    <numFmt numFmtId="197" formatCode="_-* #,##0.0_-;\-* #,##0.0_-;_-* &quot;-&quot;??_-;_-@_-"/>
    <numFmt numFmtId="198" formatCode="General_)"/>
    <numFmt numFmtId="199" formatCode="#,##0.00&quot; $&quot;;\-#,##0.00&quot; $&quot;"/>
    <numFmt numFmtId="200" formatCode=";;;"/>
    <numFmt numFmtId="201" formatCode="#,##0;;"/>
    <numFmt numFmtId="202" formatCode="0.00_)"/>
    <numFmt numFmtId="203" formatCode="&quot;$&quot;#,##0_);[Red]\(&quot;$&quot;#,##0\);&quot;-&quot;???"/>
    <numFmt numFmtId="204" formatCode="[$-409]mmmm\-yy;@"/>
    <numFmt numFmtId="205" formatCode="0.0"/>
    <numFmt numFmtId="206" formatCode="0.0%_);[Red]\(0.0%\)"/>
    <numFmt numFmtId="207" formatCode="mm/dd/yy"/>
  </numFmts>
  <fonts count="17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sz val="10"/>
      <name val="Arial"/>
      <family val="2"/>
    </font>
    <font>
      <b/>
      <u/>
      <sz val="10"/>
      <name val="Arial"/>
      <family val="2"/>
    </font>
    <font>
      <b/>
      <sz val="10"/>
      <color indexed="13"/>
      <name val="Arial"/>
      <family val="2"/>
    </font>
    <font>
      <sz val="10"/>
      <color indexed="13"/>
      <name val="Arial"/>
      <family val="2"/>
    </font>
    <font>
      <u/>
      <sz val="10"/>
      <name val="Arial"/>
      <family val="2"/>
    </font>
    <font>
      <u/>
      <sz val="10"/>
      <name val="Arial"/>
      <family val="2"/>
    </font>
    <font>
      <u/>
      <sz val="10"/>
      <color indexed="12"/>
      <name val="Arial"/>
      <family val="2"/>
    </font>
    <font>
      <sz val="8"/>
      <name val="Times New Roman"/>
      <family val="1"/>
    </font>
    <font>
      <sz val="10"/>
      <name val="Calibri"/>
      <family val="2"/>
    </font>
    <font>
      <b/>
      <sz val="10"/>
      <name val="Calibri"/>
      <family val="2"/>
    </font>
    <font>
      <sz val="9"/>
      <name val="Arial"/>
      <family val="2"/>
    </font>
    <font>
      <u/>
      <sz val="9"/>
      <name val="Arial"/>
      <family val="2"/>
    </font>
    <font>
      <u val="singleAccounting"/>
      <sz val="10"/>
      <name val="Arial"/>
      <family val="2"/>
    </font>
    <font>
      <i/>
      <sz val="10"/>
      <name val="Arial"/>
      <family val="2"/>
    </font>
    <font>
      <sz val="11"/>
      <color indexed="8"/>
      <name val="Calibri"/>
      <family val="2"/>
    </font>
    <font>
      <sz val="11"/>
      <color indexed="9"/>
      <name val="Calibri"/>
      <family val="2"/>
    </font>
    <font>
      <b/>
      <sz val="11"/>
      <color indexed="8"/>
      <name val="Calibri"/>
      <family val="2"/>
    </font>
    <font>
      <sz val="10"/>
      <color indexed="8"/>
      <name val="Arial"/>
      <family val="2"/>
    </font>
    <font>
      <sz val="10"/>
      <color indexed="10"/>
      <name val="Arial"/>
      <family val="2"/>
    </font>
    <font>
      <b/>
      <sz val="10"/>
      <color indexed="8"/>
      <name val="Arial"/>
      <family val="2"/>
    </font>
    <font>
      <sz val="10"/>
      <name val="MS Sans Serif"/>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b/>
      <vertAlign val="subscript"/>
      <sz val="10"/>
      <name val="Arial"/>
      <family val="2"/>
    </font>
    <font>
      <b/>
      <sz val="16"/>
      <name val="Arial"/>
      <family val="2"/>
    </font>
    <font>
      <sz val="11"/>
      <color theme="1"/>
      <name val="Calibri"/>
      <family val="2"/>
      <scheme val="minor"/>
    </font>
    <font>
      <b/>
      <sz val="11"/>
      <color theme="1"/>
      <name val="Calibri"/>
      <family val="2"/>
      <scheme val="minor"/>
    </font>
    <font>
      <sz val="10"/>
      <color rgb="FFFF0000"/>
      <name val="Arial"/>
      <family val="2"/>
    </font>
    <font>
      <sz val="10"/>
      <color theme="1"/>
      <name val="Arial"/>
      <family val="2"/>
    </font>
    <font>
      <b/>
      <sz val="10"/>
      <color theme="1"/>
      <name val="Arial"/>
      <family val="2"/>
    </font>
    <font>
      <b/>
      <u/>
      <sz val="10"/>
      <color theme="1"/>
      <name val="Arial"/>
      <family val="2"/>
    </font>
    <font>
      <b/>
      <u/>
      <sz val="11"/>
      <color theme="1"/>
      <name val="Calibri"/>
      <family val="2"/>
      <scheme val="minor"/>
    </font>
    <font>
      <b/>
      <sz val="10"/>
      <color rgb="FFFF0000"/>
      <name val="Arial"/>
      <family val="2"/>
    </font>
    <font>
      <u/>
      <sz val="10"/>
      <color theme="1"/>
      <name val="Arial"/>
      <family val="2"/>
    </font>
    <font>
      <sz val="11"/>
      <name val="Calibri"/>
      <family val="2"/>
      <scheme val="minor"/>
    </font>
    <font>
      <b/>
      <sz val="11"/>
      <name val="Calibri"/>
      <family val="2"/>
      <scheme val="minor"/>
    </font>
    <font>
      <sz val="10"/>
      <color theme="1"/>
      <name val="Calibri"/>
      <family val="2"/>
      <scheme val="minor"/>
    </font>
    <font>
      <b/>
      <i/>
      <sz val="10"/>
      <name val="Arial"/>
      <family val="2"/>
    </font>
    <font>
      <sz val="10"/>
      <name val="Calibri"/>
      <family val="2"/>
      <scheme val="minor"/>
    </font>
    <font>
      <sz val="10"/>
      <name val="Arial"/>
      <family val="2"/>
    </font>
    <font>
      <strike/>
      <sz val="10"/>
      <name val="Arial"/>
      <family val="2"/>
    </font>
    <font>
      <sz val="10"/>
      <color rgb="FF000000"/>
      <name val="Arial"/>
      <family val="2"/>
    </font>
    <font>
      <sz val="10"/>
      <color theme="1"/>
      <name val="Calibri"/>
      <family val="2"/>
    </font>
    <font>
      <sz val="12"/>
      <name val="Times New Roman"/>
      <family val="1"/>
    </font>
    <font>
      <b/>
      <sz val="20"/>
      <name val="Arial"/>
      <family val="2"/>
    </font>
    <font>
      <u/>
      <sz val="11"/>
      <name val="Calibri"/>
      <family val="2"/>
      <scheme val="minor"/>
    </font>
    <font>
      <b/>
      <sz val="12"/>
      <name val="Arial"/>
      <family val="2"/>
    </font>
    <font>
      <vertAlign val="subscript"/>
      <sz val="10"/>
      <name val="Arial"/>
      <family val="2"/>
    </font>
    <font>
      <u/>
      <sz val="10"/>
      <color rgb="FFFF0000"/>
      <name val="Arial"/>
      <family val="2"/>
    </font>
    <font>
      <b/>
      <u/>
      <sz val="11"/>
      <name val="Calibri"/>
      <family val="2"/>
      <scheme val="minor"/>
    </font>
    <font>
      <sz val="10"/>
      <name val="Arial"/>
      <family val="2"/>
    </font>
    <font>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indexed="8"/>
      <name val="MS Sans Serif"/>
      <family val="2"/>
    </font>
    <font>
      <sz val="10"/>
      <color indexed="11"/>
      <name val="Arial"/>
      <family val="2"/>
    </font>
    <font>
      <i/>
      <sz val="10"/>
      <color indexed="12"/>
      <name val="Arial"/>
      <family val="2"/>
    </font>
    <font>
      <i/>
      <sz val="10"/>
      <color indexed="10"/>
      <name val="Arial"/>
      <family val="2"/>
    </font>
    <font>
      <b/>
      <i/>
      <sz val="9"/>
      <color indexed="33"/>
      <name val="Arial"/>
      <family val="2"/>
    </font>
    <font>
      <sz val="10"/>
      <color indexed="9"/>
      <name val="Arial"/>
      <family val="2"/>
    </font>
    <font>
      <sz val="11"/>
      <color indexed="20"/>
      <name val="Calibri"/>
      <family val="2"/>
    </font>
    <font>
      <sz val="11"/>
      <color indexed="37"/>
      <name val="Calibri"/>
      <family val="2"/>
    </font>
    <font>
      <sz val="11"/>
      <color indexed="16"/>
      <name val="Calibri"/>
      <family val="2"/>
    </font>
    <font>
      <sz val="12"/>
      <name val="Tms Rmn"/>
    </font>
    <font>
      <sz val="10"/>
      <name val="Geneva"/>
      <family val="2"/>
    </font>
    <font>
      <sz val="9"/>
      <color indexed="8"/>
      <name val="Arial"/>
      <family val="2"/>
    </font>
    <font>
      <b/>
      <sz val="11"/>
      <color indexed="52"/>
      <name val="Calibri"/>
      <family val="2"/>
    </font>
    <font>
      <b/>
      <sz val="11"/>
      <color indexed="17"/>
      <name val="Calibri"/>
      <family val="2"/>
    </font>
    <font>
      <b/>
      <sz val="11"/>
      <color indexed="53"/>
      <name val="Calibri"/>
      <family val="2"/>
    </font>
    <font>
      <b/>
      <sz val="10"/>
      <name val="Geneva"/>
      <family val="2"/>
    </font>
    <font>
      <b/>
      <sz val="11"/>
      <color indexed="9"/>
      <name val="Calibri"/>
      <family val="2"/>
    </font>
    <font>
      <sz val="10"/>
      <name val="MS Serif"/>
      <family val="1"/>
    </font>
    <font>
      <sz val="10"/>
      <name val="New Century Schlbk"/>
    </font>
    <font>
      <sz val="11"/>
      <name val="??"/>
      <family val="3"/>
      <charset val="129"/>
    </font>
    <font>
      <sz val="11"/>
      <name val="??"/>
      <family val="3"/>
    </font>
    <font>
      <sz val="12"/>
      <name val="Helv"/>
    </font>
    <font>
      <sz val="10"/>
      <color indexed="16"/>
      <name val="MS Serif"/>
      <family val="1"/>
    </font>
    <font>
      <i/>
      <sz val="11"/>
      <color indexed="23"/>
      <name val="Calibri"/>
      <family val="2"/>
    </font>
    <font>
      <i/>
      <sz val="10"/>
      <color indexed="23"/>
      <name val="Arial"/>
      <family val="2"/>
    </font>
    <font>
      <sz val="11"/>
      <color indexed="17"/>
      <name val="Calibri"/>
      <family val="2"/>
    </font>
    <font>
      <b/>
      <u/>
      <sz val="11"/>
      <color indexed="37"/>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b/>
      <sz val="8"/>
      <name val="MS Sans Serif"/>
      <family val="2"/>
    </font>
    <font>
      <sz val="10"/>
      <color indexed="12"/>
      <name val="Arial"/>
      <family val="2"/>
    </font>
    <font>
      <b/>
      <i/>
      <sz val="10"/>
      <color indexed="62"/>
      <name val="Arial"/>
      <family val="2"/>
    </font>
    <font>
      <sz val="11"/>
      <color indexed="48"/>
      <name val="Calibri"/>
      <family val="2"/>
    </font>
    <font>
      <sz val="11"/>
      <color indexed="62"/>
      <name val="Calibri"/>
      <family val="2"/>
    </font>
    <font>
      <sz val="9"/>
      <name val="Helv"/>
    </font>
    <font>
      <sz val="11"/>
      <color indexed="52"/>
      <name val="Calibri"/>
      <family val="2"/>
    </font>
    <font>
      <sz val="11"/>
      <color indexed="53"/>
      <name val="Calibri"/>
      <family val="2"/>
    </font>
    <font>
      <b/>
      <sz val="9"/>
      <color indexed="18"/>
      <name val="Arial"/>
      <family val="2"/>
    </font>
    <font>
      <b/>
      <sz val="10"/>
      <name val="Helv"/>
    </font>
    <font>
      <sz val="11"/>
      <color indexed="60"/>
      <name val="Calibri"/>
      <family val="2"/>
    </font>
    <font>
      <sz val="7"/>
      <name val="Small Fonts"/>
      <family val="2"/>
    </font>
    <font>
      <b/>
      <i/>
      <sz val="16"/>
      <name val="Helv"/>
    </font>
    <font>
      <sz val="10"/>
      <name val="Tahoma"/>
      <family val="2"/>
    </font>
    <font>
      <sz val="12"/>
      <color indexed="8"/>
      <name val="Helv"/>
    </font>
    <font>
      <b/>
      <sz val="11"/>
      <color indexed="63"/>
      <name val="Calibri"/>
      <family val="2"/>
    </font>
    <font>
      <sz val="8"/>
      <color indexed="8"/>
      <name val="Arial"/>
      <family val="2"/>
    </font>
    <font>
      <b/>
      <sz val="9"/>
      <name val="Helv"/>
    </font>
    <font>
      <sz val="7"/>
      <color indexed="8"/>
      <name val="Arial"/>
      <family val="2"/>
    </font>
    <font>
      <i/>
      <sz val="9"/>
      <color indexed="10"/>
      <name val="Arial"/>
      <family val="2"/>
    </font>
    <font>
      <sz val="8"/>
      <name val="Wingdings"/>
      <charset val="2"/>
    </font>
    <font>
      <sz val="8"/>
      <name val="Helv"/>
    </font>
    <font>
      <sz val="8"/>
      <color indexed="62"/>
      <name val="Arial"/>
      <family val="2"/>
    </font>
    <font>
      <b/>
      <sz val="8"/>
      <color indexed="8"/>
      <name val="Arial"/>
      <family val="2"/>
    </font>
    <font>
      <b/>
      <sz val="8"/>
      <name val="Arial"/>
      <family val="2"/>
    </font>
    <font>
      <sz val="19"/>
      <name val="Arial"/>
      <family val="2"/>
    </font>
    <font>
      <sz val="8"/>
      <color indexed="14"/>
      <name val="Arial"/>
      <family val="2"/>
    </font>
    <font>
      <sz val="8"/>
      <name val="MS Sans Serif"/>
      <family val="2"/>
    </font>
    <font>
      <b/>
      <sz val="10"/>
      <color indexed="12"/>
      <name val="Arial"/>
      <family val="2"/>
    </font>
    <font>
      <b/>
      <sz val="8"/>
      <color indexed="8"/>
      <name val="Helv"/>
    </font>
    <font>
      <b/>
      <sz val="10"/>
      <color indexed="18"/>
      <name val="Arial"/>
      <family val="2"/>
    </font>
    <font>
      <b/>
      <sz val="10"/>
      <color indexed="18"/>
      <name val="Helv"/>
    </font>
    <font>
      <b/>
      <sz val="18"/>
      <color indexed="56"/>
      <name val="Cambria"/>
      <family val="2"/>
    </font>
    <font>
      <sz val="8"/>
      <color indexed="12"/>
      <name val="Arial"/>
      <family val="2"/>
    </font>
    <font>
      <sz val="11"/>
      <color indexed="10"/>
      <name val="Calibri"/>
      <family val="2"/>
    </font>
    <font>
      <sz val="11"/>
      <color indexed="14"/>
      <name val="Calibri"/>
      <family val="2"/>
    </font>
    <font>
      <i/>
      <sz val="7"/>
      <color indexed="9"/>
      <name val="Arial"/>
      <family val="2"/>
    </font>
    <font>
      <b/>
      <sz val="11"/>
      <color theme="1"/>
      <name val="Arial"/>
      <family val="2"/>
    </font>
    <font>
      <sz val="11"/>
      <color theme="1"/>
      <name val="Arial"/>
      <family val="2"/>
    </font>
    <font>
      <u/>
      <sz val="11"/>
      <color rgb="FFFF0000"/>
      <name val="Arial"/>
      <family val="2"/>
    </font>
    <font>
      <b/>
      <sz val="16"/>
      <color theme="1"/>
      <name val="Calibri"/>
      <family val="2"/>
      <scheme val="minor"/>
    </font>
    <font>
      <b/>
      <strike/>
      <sz val="12"/>
      <name val="Arial"/>
      <family val="2"/>
    </font>
    <font>
      <strike/>
      <sz val="10"/>
      <color rgb="FFFF0000"/>
      <name val="Arial"/>
      <family val="2"/>
    </font>
    <font>
      <b/>
      <strike/>
      <u/>
      <sz val="10"/>
      <color rgb="FFFF0000"/>
      <name val="Arial"/>
      <family val="2"/>
    </font>
    <font>
      <b/>
      <strike/>
      <sz val="10"/>
      <color rgb="FFFF0000"/>
      <name val="Arial"/>
      <family val="2"/>
    </font>
  </fonts>
  <fills count="113">
    <fill>
      <patternFill patternType="none"/>
    </fill>
    <fill>
      <patternFill patternType="gray125"/>
    </fill>
    <fill>
      <patternFill patternType="solid">
        <fgColor indexed="45"/>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26"/>
      </patternFill>
    </fill>
    <fill>
      <patternFill patternType="solid">
        <fgColor indexed="40"/>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indexed="13"/>
        <bgColor indexed="64"/>
      </patternFill>
    </fill>
    <fill>
      <patternFill patternType="solid">
        <fgColor indexed="8"/>
        <bgColor indexed="64"/>
      </patternFill>
    </fill>
    <fill>
      <patternFill patternType="solid">
        <fgColor rgb="FFFFFF00"/>
        <bgColor indexed="64"/>
      </patternFill>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44"/>
        <bgColor indexed="64"/>
      </patternFill>
    </fill>
    <fill>
      <patternFill patternType="solid">
        <fgColor indexed="35"/>
        <bgColor indexed="35"/>
      </patternFill>
    </fill>
    <fill>
      <patternFill patternType="solid">
        <fgColor indexed="9"/>
        <bgColor indexed="9"/>
      </patternFill>
    </fill>
    <fill>
      <patternFill patternType="solid">
        <fgColor indexed="55"/>
      </patternFill>
    </fill>
    <fill>
      <patternFill patternType="lightUp">
        <fgColor indexed="9"/>
        <bgColor indexed="24"/>
      </patternFill>
    </fill>
    <fill>
      <patternFill patternType="lightUp">
        <fgColor indexed="9"/>
        <bgColor indexed="12"/>
      </patternFill>
    </fill>
    <fill>
      <patternFill patternType="solid">
        <fgColor indexed="42"/>
        <bgColor indexed="42"/>
      </patternFill>
    </fill>
    <fill>
      <patternFill patternType="solid">
        <fgColor indexed="26"/>
        <bgColor indexed="64"/>
      </patternFill>
    </fill>
    <fill>
      <patternFill patternType="solid">
        <fgColor indexed="14"/>
        <bgColor indexed="64"/>
      </patternFill>
    </fill>
    <fill>
      <patternFill patternType="solid">
        <fgColor indexed="60"/>
      </patternFill>
    </fill>
    <fill>
      <patternFill patternType="gray125">
        <fgColor indexed="22"/>
        <bgColor indexed="9"/>
      </patternFill>
    </fill>
    <fill>
      <patternFill patternType="darkVertical"/>
    </fill>
    <fill>
      <patternFill patternType="solid">
        <fgColor indexed="43"/>
        <bgColor indexed="64"/>
      </patternFill>
    </fill>
    <fill>
      <patternFill patternType="solid">
        <fgColor indexed="12"/>
      </patternFill>
    </fill>
    <fill>
      <patternFill patternType="solid">
        <fgColor indexed="23"/>
      </patternFill>
    </fill>
    <fill>
      <patternFill patternType="solid">
        <fgColor indexed="9"/>
        <bgColor indexed="64"/>
      </patternFill>
    </fill>
    <fill>
      <patternFill patternType="solid">
        <fgColor indexed="20"/>
      </patternFill>
    </fill>
    <fill>
      <patternFill patternType="solid">
        <fgColor indexed="10"/>
        <bgColor indexed="64"/>
      </patternFill>
    </fill>
  </fills>
  <borders count="57">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auto="1"/>
      </top>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30"/>
      </bottom>
      <diagonal/>
    </border>
    <border>
      <left/>
      <right/>
      <top/>
      <bottom style="medium">
        <color indexed="58"/>
      </bottom>
      <diagonal/>
    </border>
    <border>
      <left/>
      <right/>
      <top/>
      <bottom style="medium">
        <color indexed="24"/>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bottom style="double">
        <color indexed="17"/>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ck">
        <color indexed="64"/>
      </left>
      <right style="hair">
        <color indexed="64"/>
      </right>
      <top style="thick">
        <color indexed="64"/>
      </top>
      <bottom style="hair">
        <color indexed="64"/>
      </bottom>
      <diagonal/>
    </border>
    <border>
      <left style="thin">
        <color indexed="63"/>
      </left>
      <right style="thin">
        <color indexed="63"/>
      </right>
      <top style="thin">
        <color indexed="63"/>
      </top>
      <bottom style="thin">
        <color indexed="63"/>
      </bottom>
      <diagonal/>
    </border>
    <border>
      <left style="medium">
        <color indexed="64"/>
      </left>
      <right style="hair">
        <color indexed="64"/>
      </right>
      <top style="thick">
        <color indexed="64"/>
      </top>
      <bottom style="hair">
        <color indexed="64"/>
      </bottom>
      <diagonal/>
    </border>
    <border>
      <left style="thick">
        <color indexed="64"/>
      </left>
      <right style="hair">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62"/>
      </top>
      <bottom style="double">
        <color indexed="62"/>
      </bottom>
      <diagonal/>
    </border>
    <border>
      <left/>
      <right/>
      <top style="thin">
        <color indexed="48"/>
      </top>
      <bottom style="double">
        <color indexed="48"/>
      </bottom>
      <diagonal/>
    </border>
    <border>
      <left style="hair">
        <color indexed="64"/>
      </left>
      <right style="medium">
        <color indexed="64"/>
      </right>
      <top style="hair">
        <color indexed="64"/>
      </top>
      <bottom style="hair">
        <color indexed="64"/>
      </bottom>
      <diagonal/>
    </border>
  </borders>
  <cellStyleXfs count="53895">
    <xf numFmtId="0" fontId="0" fillId="0" borderId="0"/>
    <xf numFmtId="0" fontId="40" fillId="8" borderId="0" applyNumberFormat="0" applyBorder="0" applyAlignment="0" applyProtection="0"/>
    <xf numFmtId="0" fontId="40" fillId="9" borderId="0" applyNumberFormat="0" applyBorder="0" applyAlignment="0" applyProtection="0"/>
    <xf numFmtId="0" fontId="41" fillId="10"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1" fillId="18"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8"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1" fillId="9" borderId="0" applyNumberFormat="0" applyBorder="0" applyAlignment="0" applyProtection="0"/>
    <xf numFmtId="0" fontId="40" fillId="20" borderId="0" applyNumberFormat="0" applyBorder="0" applyAlignment="0" applyProtection="0"/>
    <xf numFmtId="0" fontId="40" fillId="13" borderId="0" applyNumberFormat="0" applyBorder="0" applyAlignment="0" applyProtection="0"/>
    <xf numFmtId="0" fontId="41" fillId="21" borderId="0" applyNumberFormat="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7" fontId="26" fillId="0" borderId="0" applyFont="0" applyFill="0" applyBorder="0" applyAlignment="0" applyProtection="0"/>
    <xf numFmtId="44" fontId="23" fillId="0" borderId="0" applyFon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2" fillId="0" borderId="0" applyNumberFormat="0" applyFill="0" applyBorder="0" applyAlignment="0" applyProtection="0">
      <alignment vertical="top"/>
      <protection locked="0"/>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38" fontId="33" fillId="0" borderId="0"/>
    <xf numFmtId="9" fontId="23" fillId="0" borderId="0" applyFont="0" applyFill="0" applyBorder="0" applyAlignment="0" applyProtection="0"/>
    <xf numFmtId="9" fontId="46" fillId="0" borderId="0" applyFont="0" applyFill="0" applyBorder="0" applyAlignment="0" applyProtection="0"/>
    <xf numFmtId="9" fontId="26" fillId="0" borderId="0" applyFont="0" applyFill="0" applyBorder="0" applyAlignment="0" applyProtection="0"/>
    <xf numFmtId="4" fontId="45" fillId="25" borderId="1" applyNumberFormat="0" applyProtection="0">
      <alignment vertical="center"/>
    </xf>
    <xf numFmtId="4" fontId="47" fillId="25" borderId="1" applyNumberFormat="0" applyProtection="0">
      <alignment vertical="center"/>
    </xf>
    <xf numFmtId="4" fontId="45" fillId="25" borderId="1" applyNumberFormat="0" applyProtection="0">
      <alignment horizontal="left" vertical="center" indent="1"/>
    </xf>
    <xf numFmtId="0" fontId="45" fillId="25" borderId="1" applyNumberFormat="0" applyProtection="0">
      <alignment horizontal="left" vertical="top" indent="1"/>
    </xf>
    <xf numFmtId="4" fontId="45" fillId="27" borderId="0" applyNumberFormat="0" applyProtection="0">
      <alignment horizontal="left" vertical="center" indent="1"/>
    </xf>
    <xf numFmtId="4" fontId="43" fillId="2" borderId="1" applyNumberFormat="0" applyProtection="0">
      <alignment horizontal="right" vertical="center"/>
    </xf>
    <xf numFmtId="4" fontId="43" fillId="4" borderId="1" applyNumberFormat="0" applyProtection="0">
      <alignment horizontal="right" vertical="center"/>
    </xf>
    <xf numFmtId="4" fontId="43" fillId="11" borderId="1" applyNumberFormat="0" applyProtection="0">
      <alignment horizontal="right" vertical="center"/>
    </xf>
    <xf numFmtId="4" fontId="43" fillId="6" borderId="1" applyNumberFormat="0" applyProtection="0">
      <alignment horizontal="right" vertical="center"/>
    </xf>
    <xf numFmtId="4" fontId="43" fillId="7" borderId="1" applyNumberFormat="0" applyProtection="0">
      <alignment horizontal="right" vertical="center"/>
    </xf>
    <xf numFmtId="4" fontId="43" fillId="19" borderId="1" applyNumberFormat="0" applyProtection="0">
      <alignment horizontal="right" vertical="center"/>
    </xf>
    <xf numFmtId="4" fontId="43" fillId="15" borderId="1" applyNumberFormat="0" applyProtection="0">
      <alignment horizontal="right" vertical="center"/>
    </xf>
    <xf numFmtId="4" fontId="43" fillId="28" borderId="1" applyNumberFormat="0" applyProtection="0">
      <alignment horizontal="right" vertical="center"/>
    </xf>
    <xf numFmtId="4" fontId="43" fillId="5" borderId="1" applyNumberFormat="0" applyProtection="0">
      <alignment horizontal="right" vertical="center"/>
    </xf>
    <xf numFmtId="4" fontId="45" fillId="29" borderId="2" applyNumberFormat="0" applyProtection="0">
      <alignment horizontal="left" vertical="center" indent="1"/>
    </xf>
    <xf numFmtId="4" fontId="43" fillId="30" borderId="0" applyNumberFormat="0" applyProtection="0">
      <alignment horizontal="left" vertical="center" indent="1"/>
    </xf>
    <xf numFmtId="4" fontId="48" fillId="31" borderId="0" applyNumberFormat="0" applyProtection="0">
      <alignment horizontal="left" vertical="center" indent="1"/>
    </xf>
    <xf numFmtId="4" fontId="43" fillId="27" borderId="1" applyNumberFormat="0" applyProtection="0">
      <alignment horizontal="right" vertical="center"/>
    </xf>
    <xf numFmtId="4" fontId="43" fillId="30" borderId="0" applyNumberFormat="0" applyProtection="0">
      <alignment horizontal="left" vertical="center" indent="1"/>
    </xf>
    <xf numFmtId="4" fontId="43" fillId="27" borderId="0" applyNumberFormat="0" applyProtection="0">
      <alignment horizontal="left" vertical="center" indent="1"/>
    </xf>
    <xf numFmtId="0" fontId="26" fillId="31" borderId="1" applyNumberFormat="0" applyProtection="0">
      <alignment horizontal="left" vertical="center" indent="1"/>
    </xf>
    <xf numFmtId="0" fontId="26" fillId="31" borderId="1" applyNumberFormat="0" applyProtection="0">
      <alignment horizontal="left" vertical="top" indent="1"/>
    </xf>
    <xf numFmtId="0" fontId="26" fillId="27" borderId="1" applyNumberFormat="0" applyProtection="0">
      <alignment horizontal="left" vertical="center" indent="1"/>
    </xf>
    <xf numFmtId="0" fontId="26" fillId="27" borderId="1" applyNumberFormat="0" applyProtection="0">
      <alignment horizontal="left" vertical="top" indent="1"/>
    </xf>
    <xf numFmtId="0" fontId="26" fillId="3" borderId="1" applyNumberFormat="0" applyProtection="0">
      <alignment horizontal="left" vertical="center" indent="1"/>
    </xf>
    <xf numFmtId="0" fontId="26" fillId="3" borderId="1" applyNumberFormat="0" applyProtection="0">
      <alignment horizontal="left" vertical="top" indent="1"/>
    </xf>
    <xf numFmtId="0" fontId="26" fillId="30" borderId="1" applyNumberFormat="0" applyProtection="0">
      <alignment horizontal="left" vertical="center" indent="1"/>
    </xf>
    <xf numFmtId="0" fontId="26" fillId="30" borderId="1" applyNumberFormat="0" applyProtection="0">
      <alignment horizontal="left" vertical="top" indent="1"/>
    </xf>
    <xf numFmtId="0" fontId="26" fillId="32" borderId="3" applyNumberFormat="0">
      <protection locked="0"/>
    </xf>
    <xf numFmtId="4" fontId="43" fillId="26" borderId="1" applyNumberFormat="0" applyProtection="0">
      <alignment vertical="center"/>
    </xf>
    <xf numFmtId="4" fontId="49" fillId="26" borderId="1" applyNumberFormat="0" applyProtection="0">
      <alignment vertical="center"/>
    </xf>
    <xf numFmtId="4" fontId="43" fillId="26" borderId="1" applyNumberFormat="0" applyProtection="0">
      <alignment horizontal="left" vertical="center" indent="1"/>
    </xf>
    <xf numFmtId="0" fontId="43" fillId="26" borderId="1" applyNumberFormat="0" applyProtection="0">
      <alignment horizontal="left" vertical="top" indent="1"/>
    </xf>
    <xf numFmtId="4" fontId="43" fillId="30" borderId="1" applyNumberFormat="0" applyProtection="0">
      <alignment horizontal="right" vertical="center"/>
    </xf>
    <xf numFmtId="4" fontId="49" fillId="30" borderId="1" applyNumberFormat="0" applyProtection="0">
      <alignment horizontal="right" vertical="center"/>
    </xf>
    <xf numFmtId="4" fontId="43" fillId="27" borderId="1" applyNumberFormat="0" applyProtection="0">
      <alignment horizontal="left" vertical="center" indent="1"/>
    </xf>
    <xf numFmtId="0" fontId="43" fillId="27" borderId="1" applyNumberFormat="0" applyProtection="0">
      <alignment horizontal="left" vertical="top" indent="1"/>
    </xf>
    <xf numFmtId="4" fontId="50" fillId="33" borderId="0" applyNumberFormat="0" applyProtection="0">
      <alignment horizontal="left" vertical="center" indent="1"/>
    </xf>
    <xf numFmtId="4" fontId="44" fillId="30" borderId="1" applyNumberFormat="0" applyProtection="0">
      <alignment horizontal="right" vertical="center"/>
    </xf>
    <xf numFmtId="0" fontId="51" fillId="0" borderId="0" applyNumberFormat="0" applyFill="0" applyBorder="0" applyAlignment="0" applyProtection="0"/>
    <xf numFmtId="0" fontId="23" fillId="0" borderId="0"/>
    <xf numFmtId="0" fontId="21" fillId="0" borderId="0"/>
    <xf numFmtId="0" fontId="21" fillId="0" borderId="0"/>
    <xf numFmtId="177" fontId="23" fillId="0" borderId="0" applyFont="0" applyFill="0" applyBorder="0" applyAlignment="0" applyProtection="0"/>
    <xf numFmtId="0" fontId="23" fillId="31" borderId="1" applyNumberFormat="0" applyProtection="0">
      <alignment horizontal="left" vertical="center" indent="1"/>
    </xf>
    <xf numFmtId="0" fontId="23" fillId="31" borderId="1" applyNumberFormat="0" applyProtection="0">
      <alignment horizontal="left" vertical="top" indent="1"/>
    </xf>
    <xf numFmtId="0" fontId="23" fillId="27" borderId="1" applyNumberFormat="0" applyProtection="0">
      <alignment horizontal="left" vertical="center" indent="1"/>
    </xf>
    <xf numFmtId="0" fontId="23" fillId="27" borderId="1" applyNumberFormat="0" applyProtection="0">
      <alignment horizontal="left" vertical="top" indent="1"/>
    </xf>
    <xf numFmtId="0" fontId="23" fillId="3" borderId="1" applyNumberFormat="0" applyProtection="0">
      <alignment horizontal="left" vertical="center" indent="1"/>
    </xf>
    <xf numFmtId="0" fontId="23" fillId="3" borderId="1" applyNumberFormat="0" applyProtection="0">
      <alignment horizontal="left" vertical="top" indent="1"/>
    </xf>
    <xf numFmtId="0" fontId="23" fillId="30" borderId="1" applyNumberFormat="0" applyProtection="0">
      <alignment horizontal="left" vertical="center" indent="1"/>
    </xf>
    <xf numFmtId="0" fontId="23" fillId="30" borderId="1" applyNumberFormat="0" applyProtection="0">
      <alignment horizontal="left" vertical="top" indent="1"/>
    </xf>
    <xf numFmtId="0" fontId="23" fillId="32" borderId="3" applyNumberFormat="0">
      <protection locked="0"/>
    </xf>
    <xf numFmtId="0" fontId="68" fillId="0" borderId="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44"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0" fillId="0" borderId="0"/>
    <xf numFmtId="0" fontId="20" fillId="0" borderId="0"/>
    <xf numFmtId="0" fontId="19" fillId="0" borderId="0"/>
    <xf numFmtId="0" fontId="19"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23" fillId="0" borderId="0"/>
    <xf numFmtId="0" fontId="23" fillId="0" borderId="0"/>
    <xf numFmtId="0" fontId="23" fillId="0" borderId="0"/>
    <xf numFmtId="0" fontId="46" fillId="0" borderId="0"/>
    <xf numFmtId="0" fontId="46" fillId="0" borderId="0"/>
    <xf numFmtId="0" fontId="46" fillId="0" borderId="0"/>
    <xf numFmtId="0" fontId="46" fillId="0" borderId="0"/>
    <xf numFmtId="0" fontId="46" fillId="0" borderId="0"/>
    <xf numFmtId="43" fontId="57" fillId="0" borderId="0" applyFont="0" applyFill="0" applyBorder="0" applyAlignment="0" applyProtection="0"/>
    <xf numFmtId="9" fontId="23" fillId="0" borderId="0" applyFont="0" applyFill="0" applyBorder="0" applyAlignment="0" applyProtection="0"/>
    <xf numFmtId="0" fontId="23" fillId="0" borderId="0"/>
    <xf numFmtId="0" fontId="14" fillId="0" borderId="0"/>
    <xf numFmtId="0" fontId="14" fillId="0" borderId="0"/>
    <xf numFmtId="0" fontId="14"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0" fontId="10" fillId="0" borderId="0"/>
    <xf numFmtId="0" fontId="79" fillId="0" borderId="0"/>
    <xf numFmtId="0" fontId="80" fillId="0" borderId="0"/>
    <xf numFmtId="0" fontId="23" fillId="0" borderId="0"/>
    <xf numFmtId="0" fontId="23" fillId="0" borderId="0"/>
    <xf numFmtId="0" fontId="9" fillId="0" borderId="0"/>
    <xf numFmtId="0" fontId="23" fillId="0" borderId="0"/>
    <xf numFmtId="43" fontId="23"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184" fontId="5" fillId="0" borderId="0"/>
    <xf numFmtId="43" fontId="40" fillId="0" borderId="0" applyFont="0" applyFill="0" applyBorder="0" applyAlignment="0" applyProtection="0"/>
    <xf numFmtId="0" fontId="96" fillId="0" borderId="0"/>
    <xf numFmtId="185" fontId="96" fillId="0" borderId="0"/>
    <xf numFmtId="186" fontId="96" fillId="0" borderId="0"/>
    <xf numFmtId="187" fontId="96" fillId="0" borderId="0"/>
    <xf numFmtId="185" fontId="96" fillId="0" borderId="0"/>
    <xf numFmtId="186" fontId="96" fillId="0" borderId="0"/>
    <xf numFmtId="186" fontId="96" fillId="0" borderId="0"/>
    <xf numFmtId="186" fontId="96" fillId="0" borderId="0"/>
    <xf numFmtId="0" fontId="96" fillId="0" borderId="0"/>
    <xf numFmtId="185" fontId="96" fillId="0" borderId="0"/>
    <xf numFmtId="186" fontId="96" fillId="0" borderId="0"/>
    <xf numFmtId="187" fontId="96" fillId="0" borderId="0"/>
    <xf numFmtId="185" fontId="96" fillId="0" borderId="0"/>
    <xf numFmtId="186" fontId="96" fillId="0" borderId="0"/>
    <xf numFmtId="186" fontId="96" fillId="0" borderId="0"/>
    <xf numFmtId="186" fontId="96" fillId="0" borderId="0"/>
    <xf numFmtId="185" fontId="97" fillId="0" borderId="0" applyNumberFormat="0" applyFill="0" applyBorder="0" applyAlignment="0" applyProtection="0">
      <alignment vertical="top"/>
    </xf>
    <xf numFmtId="186" fontId="97" fillId="0" borderId="0" applyNumberFormat="0" applyFill="0" applyBorder="0" applyAlignment="0" applyProtection="0">
      <alignment vertical="top"/>
    </xf>
    <xf numFmtId="185" fontId="98" fillId="0" borderId="0" applyNumberFormat="0" applyFill="0" applyBorder="0" applyAlignment="0" applyProtection="0">
      <alignment vertical="top"/>
    </xf>
    <xf numFmtId="186" fontId="98" fillId="0" borderId="0" applyNumberFormat="0" applyFill="0" applyBorder="0" applyAlignment="0" applyProtection="0">
      <alignment vertical="top"/>
    </xf>
    <xf numFmtId="185" fontId="23" fillId="0" borderId="0" applyNumberFormat="0" applyFill="0" applyBorder="0" applyAlignment="0" applyProtection="0"/>
    <xf numFmtId="185" fontId="23" fillId="0" borderId="0" applyNumberFormat="0" applyFill="0" applyBorder="0" applyAlignment="0" applyProtection="0"/>
    <xf numFmtId="186" fontId="23" fillId="0" borderId="0" applyNumberFormat="0" applyFill="0" applyBorder="0" applyAlignment="0" applyProtection="0"/>
    <xf numFmtId="186" fontId="23" fillId="0" borderId="0" applyNumberFormat="0" applyFill="0" applyBorder="0" applyAlignment="0" applyProtection="0"/>
    <xf numFmtId="185" fontId="99" fillId="0" borderId="0" applyNumberFormat="0" applyFill="0" applyBorder="0" applyAlignment="0" applyProtection="0">
      <alignment vertical="top"/>
    </xf>
    <xf numFmtId="186" fontId="99" fillId="0" borderId="0" applyNumberFormat="0" applyFill="0" applyBorder="0" applyAlignment="0" applyProtection="0">
      <alignment vertical="top"/>
    </xf>
    <xf numFmtId="185" fontId="100" fillId="0" borderId="29" applyBorder="0">
      <alignment horizontal="left"/>
    </xf>
    <xf numFmtId="186" fontId="100" fillId="0" borderId="29" applyBorder="0">
      <alignment horizontal="left"/>
    </xf>
    <xf numFmtId="188" fontId="23" fillId="0" borderId="0">
      <alignment horizontal="left" wrapText="1"/>
    </xf>
    <xf numFmtId="188" fontId="23" fillId="0" borderId="0">
      <alignment horizontal="left" wrapText="1"/>
    </xf>
    <xf numFmtId="188" fontId="23" fillId="0" borderId="0">
      <alignment horizontal="left" wrapText="1"/>
    </xf>
    <xf numFmtId="188" fontId="23" fillId="0" borderId="0">
      <alignment horizontal="left" wrapText="1"/>
    </xf>
    <xf numFmtId="188" fontId="23" fillId="0" borderId="0">
      <alignment horizontal="left" wrapText="1"/>
    </xf>
    <xf numFmtId="188" fontId="23" fillId="0" borderId="0">
      <alignment horizontal="left" wrapText="1"/>
    </xf>
    <xf numFmtId="188" fontId="23" fillId="0" borderId="0">
      <alignment horizontal="left" wrapText="1"/>
    </xf>
    <xf numFmtId="188" fontId="23" fillId="0" borderId="0">
      <alignment horizontal="left" wrapText="1"/>
    </xf>
    <xf numFmtId="0" fontId="40" fillId="70" borderId="0" applyNumberFormat="0" applyBorder="0" applyAlignment="0" applyProtection="0"/>
    <xf numFmtId="189" fontId="43" fillId="27" borderId="0" applyNumberFormat="0" applyBorder="0" applyAlignment="0" applyProtection="0"/>
    <xf numFmtId="186" fontId="43" fillId="27" borderId="0" applyNumberFormat="0" applyBorder="0" applyAlignment="0" applyProtection="0"/>
    <xf numFmtId="186" fontId="40" fillId="70" borderId="0" applyNumberFormat="0" applyBorder="0" applyAlignment="0" applyProtection="0"/>
    <xf numFmtId="0" fontId="40" fillId="70" borderId="0" applyNumberFormat="0" applyBorder="0" applyAlignment="0" applyProtection="0"/>
    <xf numFmtId="0" fontId="5" fillId="46"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0"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0"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0"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0"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0"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0" fontId="40" fillId="70" borderId="0" applyNumberFormat="0" applyBorder="0" applyAlignment="0" applyProtection="0"/>
    <xf numFmtId="186" fontId="40" fillId="70" borderId="0" applyNumberFormat="0" applyBorder="0" applyAlignment="0" applyProtection="0"/>
    <xf numFmtId="0" fontId="40" fillId="70"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0" fontId="40" fillId="70"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7" fontId="5" fillId="46" borderId="0" applyNumberFormat="0" applyBorder="0" applyAlignment="0" applyProtection="0"/>
    <xf numFmtId="185"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186" fontId="5" fillId="46" borderId="0" applyNumberFormat="0" applyBorder="0" applyAlignment="0" applyProtection="0"/>
    <xf numFmtId="0" fontId="40" fillId="70"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5" fontId="40" fillId="70" borderId="0" applyNumberFormat="0" applyBorder="0" applyAlignment="0" applyProtection="0"/>
    <xf numFmtId="185"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0" fontId="40" fillId="70" borderId="0" applyNumberFormat="0" applyBorder="0" applyAlignment="0" applyProtection="0"/>
    <xf numFmtId="186" fontId="40" fillId="70" borderId="0" applyNumberFormat="0" applyBorder="0" applyAlignment="0" applyProtection="0"/>
    <xf numFmtId="186" fontId="40" fillId="70" borderId="0" applyNumberFormat="0" applyBorder="0" applyAlignment="0" applyProtection="0"/>
    <xf numFmtId="187" fontId="43" fillId="27" borderId="0" applyNumberFormat="0" applyBorder="0" applyAlignment="0" applyProtection="0"/>
    <xf numFmtId="185" fontId="43" fillId="27" borderId="0" applyNumberFormat="0" applyBorder="0" applyAlignment="0" applyProtection="0"/>
    <xf numFmtId="185"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7" fontId="43" fillId="27" borderId="0" applyNumberFormat="0" applyBorder="0" applyAlignment="0" applyProtection="0"/>
    <xf numFmtId="186" fontId="43" fillId="27" borderId="0" applyNumberFormat="0" applyBorder="0" applyAlignment="0" applyProtection="0"/>
    <xf numFmtId="186" fontId="43" fillId="27" borderId="0" applyNumberFormat="0" applyBorder="0" applyAlignment="0" applyProtection="0"/>
    <xf numFmtId="186" fontId="5" fillId="46" borderId="0" applyNumberFormat="0" applyBorder="0" applyAlignment="0" applyProtection="0"/>
    <xf numFmtId="184" fontId="5" fillId="46" borderId="0" applyNumberFormat="0" applyBorder="0" applyAlignment="0" applyProtection="0"/>
    <xf numFmtId="0" fontId="40" fillId="2" borderId="0" applyNumberFormat="0" applyBorder="0" applyAlignment="0" applyProtection="0"/>
    <xf numFmtId="189" fontId="43" fillId="4" borderId="0" applyNumberFormat="0" applyBorder="0" applyAlignment="0" applyProtection="0"/>
    <xf numFmtId="186" fontId="43" fillId="4" borderId="0" applyNumberFormat="0" applyBorder="0" applyAlignment="0" applyProtection="0"/>
    <xf numFmtId="186" fontId="40" fillId="2" borderId="0" applyNumberFormat="0" applyBorder="0" applyAlignment="0" applyProtection="0"/>
    <xf numFmtId="0" fontId="40" fillId="2" borderId="0" applyNumberFormat="0" applyBorder="0" applyAlignment="0" applyProtection="0"/>
    <xf numFmtId="0" fontId="5" fillId="50"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0"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0"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0" fontId="40" fillId="2" borderId="0" applyNumberFormat="0" applyBorder="0" applyAlignment="0" applyProtection="0"/>
    <xf numFmtId="186" fontId="40" fillId="2" borderId="0" applyNumberFormat="0" applyBorder="0" applyAlignment="0" applyProtection="0"/>
    <xf numFmtId="0" fontId="40" fillId="2"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0" fontId="40" fillId="2"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7" fontId="5" fillId="50" borderId="0" applyNumberFormat="0" applyBorder="0" applyAlignment="0" applyProtection="0"/>
    <xf numFmtId="185"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186" fontId="5" fillId="50" borderId="0" applyNumberFormat="0" applyBorder="0" applyAlignment="0" applyProtection="0"/>
    <xf numFmtId="0" fontId="40" fillId="2"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5" fontId="40" fillId="2" borderId="0" applyNumberFormat="0" applyBorder="0" applyAlignment="0" applyProtection="0"/>
    <xf numFmtId="185"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0" fontId="40" fillId="2" borderId="0" applyNumberFormat="0" applyBorder="0" applyAlignment="0" applyProtection="0"/>
    <xf numFmtId="186" fontId="40" fillId="2" borderId="0" applyNumberFormat="0" applyBorder="0" applyAlignment="0" applyProtection="0"/>
    <xf numFmtId="186" fontId="40" fillId="2"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6" fontId="5" fillId="50" borderId="0" applyNumberFormat="0" applyBorder="0" applyAlignment="0" applyProtection="0"/>
    <xf numFmtId="184" fontId="5" fillId="50" borderId="0" applyNumberFormat="0" applyBorder="0" applyAlignment="0" applyProtection="0"/>
    <xf numFmtId="0" fontId="40" fillId="71" borderId="0" applyNumberFormat="0" applyBorder="0" applyAlignment="0" applyProtection="0"/>
    <xf numFmtId="189" fontId="43" fillId="26" borderId="0" applyNumberFormat="0" applyBorder="0" applyAlignment="0" applyProtection="0"/>
    <xf numFmtId="186" fontId="43" fillId="26" borderId="0" applyNumberFormat="0" applyBorder="0" applyAlignment="0" applyProtection="0"/>
    <xf numFmtId="186" fontId="40" fillId="71" borderId="0" applyNumberFormat="0" applyBorder="0" applyAlignment="0" applyProtection="0"/>
    <xf numFmtId="0" fontId="40" fillId="71" borderId="0" applyNumberFormat="0" applyBorder="0" applyAlignment="0" applyProtection="0"/>
    <xf numFmtId="0" fontId="5" fillId="54"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0"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0"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0"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0"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0"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0" fontId="40" fillId="71" borderId="0" applyNumberFormat="0" applyBorder="0" applyAlignment="0" applyProtection="0"/>
    <xf numFmtId="186" fontId="40" fillId="71" borderId="0" applyNumberFormat="0" applyBorder="0" applyAlignment="0" applyProtection="0"/>
    <xf numFmtId="0" fontId="40" fillId="71"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0" fontId="40" fillId="71"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7" fontId="5" fillId="54" borderId="0" applyNumberFormat="0" applyBorder="0" applyAlignment="0" applyProtection="0"/>
    <xf numFmtId="185"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186" fontId="5" fillId="54" borderId="0" applyNumberFormat="0" applyBorder="0" applyAlignment="0" applyProtection="0"/>
    <xf numFmtId="0" fontId="40" fillId="71"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5" fontId="40" fillId="71" borderId="0" applyNumberFormat="0" applyBorder="0" applyAlignment="0" applyProtection="0"/>
    <xf numFmtId="185"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0" fontId="40" fillId="71" borderId="0" applyNumberFormat="0" applyBorder="0" applyAlignment="0" applyProtection="0"/>
    <xf numFmtId="186" fontId="40" fillId="71" borderId="0" applyNumberFormat="0" applyBorder="0" applyAlignment="0" applyProtection="0"/>
    <xf numFmtId="186" fontId="40" fillId="71" borderId="0" applyNumberFormat="0" applyBorder="0" applyAlignment="0" applyProtection="0"/>
    <xf numFmtId="187" fontId="43" fillId="26" borderId="0" applyNumberFormat="0" applyBorder="0" applyAlignment="0" applyProtection="0"/>
    <xf numFmtId="185" fontId="43" fillId="26" borderId="0" applyNumberFormat="0" applyBorder="0" applyAlignment="0" applyProtection="0"/>
    <xf numFmtId="185"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7" fontId="43" fillId="26" borderId="0" applyNumberFormat="0" applyBorder="0" applyAlignment="0" applyProtection="0"/>
    <xf numFmtId="186" fontId="43" fillId="26" borderId="0" applyNumberFormat="0" applyBorder="0" applyAlignment="0" applyProtection="0"/>
    <xf numFmtId="186" fontId="43" fillId="26" borderId="0" applyNumberFormat="0" applyBorder="0" applyAlignment="0" applyProtection="0"/>
    <xf numFmtId="186" fontId="5" fillId="54" borderId="0" applyNumberFormat="0" applyBorder="0" applyAlignment="0" applyProtection="0"/>
    <xf numFmtId="184" fontId="5" fillId="54" borderId="0" applyNumberFormat="0" applyBorder="0" applyAlignment="0" applyProtection="0"/>
    <xf numFmtId="0" fontId="40" fillId="72" borderId="0" applyNumberFormat="0" applyBorder="0" applyAlignment="0" applyProtection="0"/>
    <xf numFmtId="189" fontId="43" fillId="32" borderId="0" applyNumberFormat="0" applyBorder="0" applyAlignment="0" applyProtection="0"/>
    <xf numFmtId="186" fontId="43" fillId="3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0" fontId="5" fillId="58"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0"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0"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0"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0" fontId="40" fillId="72"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7" fontId="5" fillId="58" borderId="0" applyNumberFormat="0" applyBorder="0" applyAlignment="0" applyProtection="0"/>
    <xf numFmtId="185"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186" fontId="5" fillId="58" borderId="0" applyNumberFormat="0" applyBorder="0" applyAlignment="0" applyProtection="0"/>
    <xf numFmtId="0"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3" fillId="32" borderId="0" applyNumberFormat="0" applyBorder="0" applyAlignment="0" applyProtection="0"/>
    <xf numFmtId="185" fontId="43" fillId="32" borderId="0" applyNumberFormat="0" applyBorder="0" applyAlignment="0" applyProtection="0"/>
    <xf numFmtId="185"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7" fontId="43" fillId="32" borderId="0" applyNumberFormat="0" applyBorder="0" applyAlignment="0" applyProtection="0"/>
    <xf numFmtId="186" fontId="43" fillId="32" borderId="0" applyNumberFormat="0" applyBorder="0" applyAlignment="0" applyProtection="0"/>
    <xf numFmtId="186" fontId="43" fillId="32" borderId="0" applyNumberFormat="0" applyBorder="0" applyAlignment="0" applyProtection="0"/>
    <xf numFmtId="186" fontId="5" fillId="58" borderId="0" applyNumberFormat="0" applyBorder="0" applyAlignment="0" applyProtection="0"/>
    <xf numFmtId="184" fontId="5" fillId="58" borderId="0" applyNumberFormat="0" applyBorder="0" applyAlignment="0" applyProtection="0"/>
    <xf numFmtId="0" fontId="40" fillId="73" borderId="0" applyNumberFormat="0" applyBorder="0" applyAlignment="0" applyProtection="0"/>
    <xf numFmtId="189" fontId="43" fillId="3" borderId="0" applyNumberFormat="0" applyBorder="0" applyAlignment="0" applyProtection="0"/>
    <xf numFmtId="186" fontId="43" fillId="3" borderId="0" applyNumberFormat="0" applyBorder="0" applyAlignment="0" applyProtection="0"/>
    <xf numFmtId="186" fontId="40" fillId="73" borderId="0" applyNumberFormat="0" applyBorder="0" applyAlignment="0" applyProtection="0"/>
    <xf numFmtId="0" fontId="40" fillId="73" borderId="0" applyNumberFormat="0" applyBorder="0" applyAlignment="0" applyProtection="0"/>
    <xf numFmtId="0" fontId="5" fillId="62"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0"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0"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0"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0"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0"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0" fontId="40" fillId="73" borderId="0" applyNumberFormat="0" applyBorder="0" applyAlignment="0" applyProtection="0"/>
    <xf numFmtId="186" fontId="40" fillId="73" borderId="0" applyNumberFormat="0" applyBorder="0" applyAlignment="0" applyProtection="0"/>
    <xf numFmtId="0" fontId="40" fillId="7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0" fontId="40" fillId="73"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7" fontId="5" fillId="62" borderId="0" applyNumberFormat="0" applyBorder="0" applyAlignment="0" applyProtection="0"/>
    <xf numFmtId="185"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186" fontId="5" fillId="62" borderId="0" applyNumberFormat="0" applyBorder="0" applyAlignment="0" applyProtection="0"/>
    <xf numFmtId="0" fontId="40" fillId="73"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5" fontId="40" fillId="73" borderId="0" applyNumberFormat="0" applyBorder="0" applyAlignment="0" applyProtection="0"/>
    <xf numFmtId="185"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0" fontId="40" fillId="73" borderId="0" applyNumberFormat="0" applyBorder="0" applyAlignment="0" applyProtection="0"/>
    <xf numFmtId="186" fontId="40" fillId="73" borderId="0" applyNumberFormat="0" applyBorder="0" applyAlignment="0" applyProtection="0"/>
    <xf numFmtId="186" fontId="40" fillId="73" borderId="0" applyNumberFormat="0" applyBorder="0" applyAlignment="0" applyProtection="0"/>
    <xf numFmtId="187" fontId="43" fillId="3" borderId="0" applyNumberFormat="0" applyBorder="0" applyAlignment="0" applyProtection="0"/>
    <xf numFmtId="185" fontId="43" fillId="3" borderId="0" applyNumberFormat="0" applyBorder="0" applyAlignment="0" applyProtection="0"/>
    <xf numFmtId="185"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7" fontId="43" fillId="3" borderId="0" applyNumberFormat="0" applyBorder="0" applyAlignment="0" applyProtection="0"/>
    <xf numFmtId="186" fontId="43" fillId="3" borderId="0" applyNumberFormat="0" applyBorder="0" applyAlignment="0" applyProtection="0"/>
    <xf numFmtId="186" fontId="43" fillId="3" borderId="0" applyNumberFormat="0" applyBorder="0" applyAlignment="0" applyProtection="0"/>
    <xf numFmtId="186" fontId="5" fillId="62" borderId="0" applyNumberFormat="0" applyBorder="0" applyAlignment="0" applyProtection="0"/>
    <xf numFmtId="184" fontId="5" fillId="62" borderId="0" applyNumberFormat="0" applyBorder="0" applyAlignment="0" applyProtection="0"/>
    <xf numFmtId="0" fontId="40" fillId="74" borderId="0" applyNumberFormat="0" applyBorder="0" applyAlignment="0" applyProtection="0"/>
    <xf numFmtId="189" fontId="43" fillId="2" borderId="0" applyNumberFormat="0" applyBorder="0" applyAlignment="0" applyProtection="0"/>
    <xf numFmtId="186" fontId="43" fillId="2" borderId="0" applyNumberFormat="0" applyBorder="0" applyAlignment="0" applyProtection="0"/>
    <xf numFmtId="186" fontId="40" fillId="74" borderId="0" applyNumberFormat="0" applyBorder="0" applyAlignment="0" applyProtection="0"/>
    <xf numFmtId="0" fontId="40" fillId="74" borderId="0" applyNumberFormat="0" applyBorder="0" applyAlignment="0" applyProtection="0"/>
    <xf numFmtId="0" fontId="5" fillId="66"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0"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0"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0"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0"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0"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0" fontId="40" fillId="74" borderId="0" applyNumberFormat="0" applyBorder="0" applyAlignment="0" applyProtection="0"/>
    <xf numFmtId="186" fontId="40" fillId="74" borderId="0" applyNumberFormat="0" applyBorder="0" applyAlignment="0" applyProtection="0"/>
    <xf numFmtId="0" fontId="40" fillId="74"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0" fontId="40" fillId="74"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7" fontId="5" fillId="66" borderId="0" applyNumberFormat="0" applyBorder="0" applyAlignment="0" applyProtection="0"/>
    <xf numFmtId="185"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186" fontId="5" fillId="66" borderId="0" applyNumberFormat="0" applyBorder="0" applyAlignment="0" applyProtection="0"/>
    <xf numFmtId="0" fontId="40" fillId="74"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5" fontId="40" fillId="74" borderId="0" applyNumberFormat="0" applyBorder="0" applyAlignment="0" applyProtection="0"/>
    <xf numFmtId="185"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0" fontId="40" fillId="74" borderId="0" applyNumberFormat="0" applyBorder="0" applyAlignment="0" applyProtection="0"/>
    <xf numFmtId="186" fontId="40" fillId="74" borderId="0" applyNumberFormat="0" applyBorder="0" applyAlignment="0" applyProtection="0"/>
    <xf numFmtId="186" fontId="40" fillId="74" borderId="0" applyNumberFormat="0" applyBorder="0" applyAlignment="0" applyProtection="0"/>
    <xf numFmtId="187" fontId="43" fillId="2" borderId="0" applyNumberFormat="0" applyBorder="0" applyAlignment="0" applyProtection="0"/>
    <xf numFmtId="185" fontId="43" fillId="2" borderId="0" applyNumberFormat="0" applyBorder="0" applyAlignment="0" applyProtection="0"/>
    <xf numFmtId="185"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7" fontId="43" fillId="2" borderId="0" applyNumberFormat="0" applyBorder="0" applyAlignment="0" applyProtection="0"/>
    <xf numFmtId="186" fontId="43" fillId="2" borderId="0" applyNumberFormat="0" applyBorder="0" applyAlignment="0" applyProtection="0"/>
    <xf numFmtId="186" fontId="43" fillId="2" borderId="0" applyNumberFormat="0" applyBorder="0" applyAlignment="0" applyProtection="0"/>
    <xf numFmtId="186" fontId="5" fillId="66" borderId="0" applyNumberFormat="0" applyBorder="0" applyAlignment="0" applyProtection="0"/>
    <xf numFmtId="184" fontId="5" fillId="66" borderId="0" applyNumberFormat="0" applyBorder="0" applyAlignment="0" applyProtection="0"/>
    <xf numFmtId="0" fontId="40" fillId="3" borderId="0" applyNumberFormat="0" applyBorder="0" applyAlignment="0" applyProtection="0"/>
    <xf numFmtId="189" fontId="43" fillId="31" borderId="0" applyNumberFormat="0" applyBorder="0" applyAlignment="0" applyProtection="0"/>
    <xf numFmtId="186" fontId="43" fillId="31"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0" fontId="5" fillId="47"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0" fontId="40" fillId="3"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7" fontId="5" fillId="47" borderId="0" applyNumberFormat="0" applyBorder="0" applyAlignment="0" applyProtection="0"/>
    <xf numFmtId="185"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186" fontId="5" fillId="47" borderId="0" applyNumberFormat="0" applyBorder="0" applyAlignment="0" applyProtection="0"/>
    <xf numFmtId="0"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6" fontId="5" fillId="47" borderId="0" applyNumberFormat="0" applyBorder="0" applyAlignment="0" applyProtection="0"/>
    <xf numFmtId="184" fontId="5" fillId="47" borderId="0" applyNumberFormat="0" applyBorder="0" applyAlignment="0" applyProtection="0"/>
    <xf numFmtId="0" fontId="40" fillId="4" borderId="0" applyNumberFormat="0" applyBorder="0" applyAlignment="0" applyProtection="0"/>
    <xf numFmtId="189" fontId="43" fillId="4" borderId="0" applyNumberFormat="0" applyBorder="0" applyAlignment="0" applyProtection="0"/>
    <xf numFmtId="186" fontId="43" fillId="4" borderId="0" applyNumberFormat="0" applyBorder="0" applyAlignment="0" applyProtection="0"/>
    <xf numFmtId="186" fontId="40" fillId="4" borderId="0" applyNumberFormat="0" applyBorder="0" applyAlignment="0" applyProtection="0"/>
    <xf numFmtId="0" fontId="40" fillId="4" borderId="0" applyNumberFormat="0" applyBorder="0" applyAlignment="0" applyProtection="0"/>
    <xf numFmtId="0" fontId="5" fillId="51"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0"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0"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0" fontId="40"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0" fontId="40" fillId="4"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7" fontId="5" fillId="51" borderId="0" applyNumberFormat="0" applyBorder="0" applyAlignment="0" applyProtection="0"/>
    <xf numFmtId="185"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186" fontId="5" fillId="51" borderId="0" applyNumberFormat="0" applyBorder="0" applyAlignment="0" applyProtection="0"/>
    <xf numFmtId="0" fontId="40" fillId="4"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5" fontId="40" fillId="4" borderId="0" applyNumberFormat="0" applyBorder="0" applyAlignment="0" applyProtection="0"/>
    <xf numFmtId="185"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0" fontId="40" fillId="4" borderId="0" applyNumberFormat="0" applyBorder="0" applyAlignment="0" applyProtection="0"/>
    <xf numFmtId="186" fontId="40" fillId="4" borderId="0" applyNumberFormat="0" applyBorder="0" applyAlignment="0" applyProtection="0"/>
    <xf numFmtId="186" fontId="40" fillId="4" borderId="0" applyNumberFormat="0" applyBorder="0" applyAlignment="0" applyProtection="0"/>
    <xf numFmtId="187" fontId="43" fillId="4" borderId="0" applyNumberFormat="0" applyBorder="0" applyAlignment="0" applyProtection="0"/>
    <xf numFmtId="185" fontId="43" fillId="4" borderId="0" applyNumberFormat="0" applyBorder="0" applyAlignment="0" applyProtection="0"/>
    <xf numFmtId="185"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7" fontId="43" fillId="4" borderId="0" applyNumberFormat="0" applyBorder="0" applyAlignment="0" applyProtection="0"/>
    <xf numFmtId="186" fontId="43" fillId="4" borderId="0" applyNumberFormat="0" applyBorder="0" applyAlignment="0" applyProtection="0"/>
    <xf numFmtId="186" fontId="43" fillId="4" borderId="0" applyNumberFormat="0" applyBorder="0" applyAlignment="0" applyProtection="0"/>
    <xf numFmtId="186" fontId="5" fillId="51" borderId="0" applyNumberFormat="0" applyBorder="0" applyAlignment="0" applyProtection="0"/>
    <xf numFmtId="184" fontId="5" fillId="51" borderId="0" applyNumberFormat="0" applyBorder="0" applyAlignment="0" applyProtection="0"/>
    <xf numFmtId="0" fontId="40" fillId="5" borderId="0" applyNumberFormat="0" applyBorder="0" applyAlignment="0" applyProtection="0"/>
    <xf numFmtId="189" fontId="43" fillId="15" borderId="0" applyNumberFormat="0" applyBorder="0" applyAlignment="0" applyProtection="0"/>
    <xf numFmtId="186" fontId="43" fillId="15" borderId="0" applyNumberFormat="0" applyBorder="0" applyAlignment="0" applyProtection="0"/>
    <xf numFmtId="186" fontId="40" fillId="5" borderId="0" applyNumberFormat="0" applyBorder="0" applyAlignment="0" applyProtection="0"/>
    <xf numFmtId="0" fontId="40" fillId="5" borderId="0" applyNumberFormat="0" applyBorder="0" applyAlignment="0" applyProtection="0"/>
    <xf numFmtId="0" fontId="5" fillId="5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0"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0"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0"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0"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0" fontId="40" fillId="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0" fontId="40" fillId="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7" fontId="5" fillId="55" borderId="0" applyNumberFormat="0" applyBorder="0" applyAlignment="0" applyProtection="0"/>
    <xf numFmtId="185"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186" fontId="5" fillId="55" borderId="0" applyNumberFormat="0" applyBorder="0" applyAlignment="0" applyProtection="0"/>
    <xf numFmtId="0" fontId="40" fillId="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5" fontId="40" fillId="5" borderId="0" applyNumberFormat="0" applyBorder="0" applyAlignment="0" applyProtection="0"/>
    <xf numFmtId="185"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0" fontId="40" fillId="5" borderId="0" applyNumberFormat="0" applyBorder="0" applyAlignment="0" applyProtection="0"/>
    <xf numFmtId="186" fontId="40" fillId="5" borderId="0" applyNumberFormat="0" applyBorder="0" applyAlignment="0" applyProtection="0"/>
    <xf numFmtId="186" fontId="40" fillId="5" borderId="0" applyNumberFormat="0" applyBorder="0" applyAlignment="0" applyProtection="0"/>
    <xf numFmtId="187" fontId="43" fillId="15" borderId="0" applyNumberFormat="0" applyBorder="0" applyAlignment="0" applyProtection="0"/>
    <xf numFmtId="185" fontId="43" fillId="15" borderId="0" applyNumberFormat="0" applyBorder="0" applyAlignment="0" applyProtection="0"/>
    <xf numFmtId="185"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7" fontId="43" fillId="15" borderId="0" applyNumberFormat="0" applyBorder="0" applyAlignment="0" applyProtection="0"/>
    <xf numFmtId="186" fontId="43" fillId="15" borderId="0" applyNumberFormat="0" applyBorder="0" applyAlignment="0" applyProtection="0"/>
    <xf numFmtId="186" fontId="43" fillId="15" borderId="0" applyNumberFormat="0" applyBorder="0" applyAlignment="0" applyProtection="0"/>
    <xf numFmtId="186" fontId="5" fillId="55" borderId="0" applyNumberFormat="0" applyBorder="0" applyAlignment="0" applyProtection="0"/>
    <xf numFmtId="184" fontId="5" fillId="55" borderId="0" applyNumberFormat="0" applyBorder="0" applyAlignment="0" applyProtection="0"/>
    <xf numFmtId="0" fontId="40" fillId="72" borderId="0" applyNumberFormat="0" applyBorder="0" applyAlignment="0" applyProtection="0"/>
    <xf numFmtId="189" fontId="43" fillId="75" borderId="0" applyNumberFormat="0" applyBorder="0" applyAlignment="0" applyProtection="0"/>
    <xf numFmtId="186" fontId="43" fillId="75"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0" fontId="5" fillId="59"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0"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0"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0"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0" fontId="40" fillId="72"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7" fontId="5" fillId="59" borderId="0" applyNumberFormat="0" applyBorder="0" applyAlignment="0" applyProtection="0"/>
    <xf numFmtId="185"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186" fontId="5" fillId="59" borderId="0" applyNumberFormat="0" applyBorder="0" applyAlignment="0" applyProtection="0"/>
    <xf numFmtId="0"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5" fontId="40" fillId="72" borderId="0" applyNumberFormat="0" applyBorder="0" applyAlignment="0" applyProtection="0"/>
    <xf numFmtId="185"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0" fontId="40" fillId="72" borderId="0" applyNumberFormat="0" applyBorder="0" applyAlignment="0" applyProtection="0"/>
    <xf numFmtId="186" fontId="40" fillId="72" borderId="0" applyNumberFormat="0" applyBorder="0" applyAlignment="0" applyProtection="0"/>
    <xf numFmtId="186" fontId="40" fillId="72" borderId="0" applyNumberFormat="0" applyBorder="0" applyAlignment="0" applyProtection="0"/>
    <xf numFmtId="187" fontId="43" fillId="75" borderId="0" applyNumberFormat="0" applyBorder="0" applyAlignment="0" applyProtection="0"/>
    <xf numFmtId="185" fontId="43" fillId="75" borderId="0" applyNumberFormat="0" applyBorder="0" applyAlignment="0" applyProtection="0"/>
    <xf numFmtId="185"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7" fontId="43" fillId="75" borderId="0" applyNumberFormat="0" applyBorder="0" applyAlignment="0" applyProtection="0"/>
    <xf numFmtId="186" fontId="43" fillId="75" borderId="0" applyNumberFormat="0" applyBorder="0" applyAlignment="0" applyProtection="0"/>
    <xf numFmtId="186" fontId="43" fillId="75" borderId="0" applyNumberFormat="0" applyBorder="0" applyAlignment="0" applyProtection="0"/>
    <xf numFmtId="186" fontId="5" fillId="59" borderId="0" applyNumberFormat="0" applyBorder="0" applyAlignment="0" applyProtection="0"/>
    <xf numFmtId="184" fontId="5" fillId="59" borderId="0" applyNumberFormat="0" applyBorder="0" applyAlignment="0" applyProtection="0"/>
    <xf numFmtId="0" fontId="40" fillId="3" borderId="0" applyNumberFormat="0" applyBorder="0" applyAlignment="0" applyProtection="0"/>
    <xf numFmtId="189" fontId="43" fillId="31" borderId="0" applyNumberFormat="0" applyBorder="0" applyAlignment="0" applyProtection="0"/>
    <xf numFmtId="186" fontId="43" fillId="31"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0" fontId="5" fillId="63"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0"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0" fontId="40" fillId="3"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7" fontId="5" fillId="63" borderId="0" applyNumberFormat="0" applyBorder="0" applyAlignment="0" applyProtection="0"/>
    <xf numFmtId="185"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186" fontId="5" fillId="63" borderId="0" applyNumberFormat="0" applyBorder="0" applyAlignment="0" applyProtection="0"/>
    <xf numFmtId="0"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5" fontId="40" fillId="3" borderId="0" applyNumberFormat="0" applyBorder="0" applyAlignment="0" applyProtection="0"/>
    <xf numFmtId="185"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0" fontId="40" fillId="3" borderId="0" applyNumberFormat="0" applyBorder="0" applyAlignment="0" applyProtection="0"/>
    <xf numFmtId="186" fontId="40" fillId="3" borderId="0" applyNumberFormat="0" applyBorder="0" applyAlignment="0" applyProtection="0"/>
    <xf numFmtId="186" fontId="40" fillId="3" borderId="0" applyNumberFormat="0" applyBorder="0" applyAlignment="0" applyProtection="0"/>
    <xf numFmtId="187" fontId="43" fillId="31" borderId="0" applyNumberFormat="0" applyBorder="0" applyAlignment="0" applyProtection="0"/>
    <xf numFmtId="185" fontId="43" fillId="31" borderId="0" applyNumberFormat="0" applyBorder="0" applyAlignment="0" applyProtection="0"/>
    <xf numFmtId="185"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7" fontId="43" fillId="31" borderId="0" applyNumberFormat="0" applyBorder="0" applyAlignment="0" applyProtection="0"/>
    <xf numFmtId="186" fontId="43" fillId="31" borderId="0" applyNumberFormat="0" applyBorder="0" applyAlignment="0" applyProtection="0"/>
    <xf numFmtId="186" fontId="43" fillId="31" borderId="0" applyNumberFormat="0" applyBorder="0" applyAlignment="0" applyProtection="0"/>
    <xf numFmtId="186" fontId="5" fillId="63" borderId="0" applyNumberFormat="0" applyBorder="0" applyAlignment="0" applyProtection="0"/>
    <xf numFmtId="184" fontId="5" fillId="63" borderId="0" applyNumberFormat="0" applyBorder="0" applyAlignment="0" applyProtection="0"/>
    <xf numFmtId="0" fontId="40" fillId="6" borderId="0" applyNumberFormat="0" applyBorder="0" applyAlignment="0" applyProtection="0"/>
    <xf numFmtId="189" fontId="43" fillId="74" borderId="0" applyNumberFormat="0" applyBorder="0" applyAlignment="0" applyProtection="0"/>
    <xf numFmtId="186" fontId="43" fillId="74" borderId="0" applyNumberFormat="0" applyBorder="0" applyAlignment="0" applyProtection="0"/>
    <xf numFmtId="186" fontId="40" fillId="6" borderId="0" applyNumberFormat="0" applyBorder="0" applyAlignment="0" applyProtection="0"/>
    <xf numFmtId="0" fontId="40" fillId="6" borderId="0" applyNumberFormat="0" applyBorder="0" applyAlignment="0" applyProtection="0"/>
    <xf numFmtId="0" fontId="5" fillId="67"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0"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0"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0"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0"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0"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0" fontId="40" fillId="6" borderId="0" applyNumberFormat="0" applyBorder="0" applyAlignment="0" applyProtection="0"/>
    <xf numFmtId="186" fontId="40" fillId="6" borderId="0" applyNumberFormat="0" applyBorder="0" applyAlignment="0" applyProtection="0"/>
    <xf numFmtId="0" fontId="40" fillId="6"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0" fontId="40" fillId="6"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7" fontId="5" fillId="67" borderId="0" applyNumberFormat="0" applyBorder="0" applyAlignment="0" applyProtection="0"/>
    <xf numFmtId="185"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186" fontId="5" fillId="67" borderId="0" applyNumberFormat="0" applyBorder="0" applyAlignment="0" applyProtection="0"/>
    <xf numFmtId="0" fontId="40" fillId="6"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5" fontId="40" fillId="6" borderId="0" applyNumberFormat="0" applyBorder="0" applyAlignment="0" applyProtection="0"/>
    <xf numFmtId="185"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0" fontId="40" fillId="6" borderId="0" applyNumberFormat="0" applyBorder="0" applyAlignment="0" applyProtection="0"/>
    <xf numFmtId="186" fontId="40" fillId="6" borderId="0" applyNumberFormat="0" applyBorder="0" applyAlignment="0" applyProtection="0"/>
    <xf numFmtId="186" fontId="40" fillId="6" borderId="0" applyNumberFormat="0" applyBorder="0" applyAlignment="0" applyProtection="0"/>
    <xf numFmtId="187" fontId="43" fillId="74" borderId="0" applyNumberFormat="0" applyBorder="0" applyAlignment="0" applyProtection="0"/>
    <xf numFmtId="185" fontId="43" fillId="74" borderId="0" applyNumberFormat="0" applyBorder="0" applyAlignment="0" applyProtection="0"/>
    <xf numFmtId="185"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7" fontId="43" fillId="74" borderId="0" applyNumberFormat="0" applyBorder="0" applyAlignment="0" applyProtection="0"/>
    <xf numFmtId="186" fontId="43" fillId="74" borderId="0" applyNumberFormat="0" applyBorder="0" applyAlignment="0" applyProtection="0"/>
    <xf numFmtId="186" fontId="43" fillId="74" borderId="0" applyNumberFormat="0" applyBorder="0" applyAlignment="0" applyProtection="0"/>
    <xf numFmtId="186" fontId="5" fillId="67" borderId="0" applyNumberFormat="0" applyBorder="0" applyAlignment="0" applyProtection="0"/>
    <xf numFmtId="184" fontId="5" fillId="67" borderId="0" applyNumberFormat="0" applyBorder="0" applyAlignment="0" applyProtection="0"/>
    <xf numFmtId="0" fontId="41" fillId="76" borderId="0" applyNumberFormat="0" applyBorder="0" applyAlignment="0" applyProtection="0"/>
    <xf numFmtId="186" fontId="41" fillId="76" borderId="0" applyNumberFormat="0" applyBorder="0" applyAlignment="0" applyProtection="0"/>
    <xf numFmtId="0" fontId="95" fillId="48"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0"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0"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5" fontId="41" fillId="76"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5" fontId="41" fillId="76" borderId="0" applyNumberFormat="0" applyBorder="0" applyAlignment="0" applyProtection="0"/>
    <xf numFmtId="186" fontId="41" fillId="76" borderId="0" applyNumberFormat="0" applyBorder="0" applyAlignment="0" applyProtection="0"/>
    <xf numFmtId="186" fontId="41" fillId="76" borderId="0" applyNumberFormat="0" applyBorder="0" applyAlignment="0" applyProtection="0"/>
    <xf numFmtId="189" fontId="101" fillId="31" borderId="0" applyNumberFormat="0" applyBorder="0" applyAlignment="0" applyProtection="0"/>
    <xf numFmtId="0" fontId="41" fillId="76" borderId="0" applyNumberFormat="0" applyBorder="0" applyAlignment="0" applyProtection="0"/>
    <xf numFmtId="186" fontId="41" fillId="76" borderId="0" applyNumberFormat="0" applyBorder="0" applyAlignment="0" applyProtection="0"/>
    <xf numFmtId="186" fontId="101" fillId="31" borderId="0" applyNumberFormat="0" applyBorder="0" applyAlignment="0" applyProtection="0"/>
    <xf numFmtId="0" fontId="41" fillId="76"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0" fontId="41" fillId="76"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7" fontId="95" fillId="48" borderId="0" applyNumberFormat="0" applyBorder="0" applyAlignment="0" applyProtection="0"/>
    <xf numFmtId="185"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186" fontId="95" fillId="48" borderId="0" applyNumberFormat="0" applyBorder="0" applyAlignment="0" applyProtection="0"/>
    <xf numFmtId="0" fontId="41" fillId="76" borderId="0" applyNumberFormat="0" applyBorder="0" applyAlignment="0" applyProtection="0"/>
    <xf numFmtId="185" fontId="41" fillId="76" borderId="0" applyNumberFormat="0" applyBorder="0" applyAlignment="0" applyProtection="0"/>
    <xf numFmtId="186" fontId="41" fillId="76" borderId="0" applyNumberFormat="0" applyBorder="0" applyAlignment="0" applyProtection="0"/>
    <xf numFmtId="187" fontId="41" fillId="76" borderId="0" applyNumberFormat="0" applyBorder="0" applyAlignment="0" applyProtection="0"/>
    <xf numFmtId="185" fontId="41" fillId="76" borderId="0" applyNumberFormat="0" applyBorder="0" applyAlignment="0" applyProtection="0"/>
    <xf numFmtId="186" fontId="41" fillId="76" borderId="0" applyNumberFormat="0" applyBorder="0" applyAlignment="0" applyProtection="0"/>
    <xf numFmtId="186" fontId="41" fillId="76" borderId="0" applyNumberFormat="0" applyBorder="0" applyAlignment="0" applyProtection="0"/>
    <xf numFmtId="186" fontId="41" fillId="76"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95" fillId="48" borderId="0" applyNumberFormat="0" applyBorder="0" applyAlignment="0" applyProtection="0"/>
    <xf numFmtId="184" fontId="95" fillId="48" borderId="0" applyNumberFormat="0" applyBorder="0" applyAlignment="0" applyProtection="0"/>
    <xf numFmtId="0" fontId="41" fillId="4" borderId="0" applyNumberFormat="0" applyBorder="0" applyAlignment="0" applyProtection="0"/>
    <xf numFmtId="186" fontId="41" fillId="4" borderId="0" applyNumberFormat="0" applyBorder="0" applyAlignment="0" applyProtection="0"/>
    <xf numFmtId="0" fontId="95" fillId="52"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0"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0"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7"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5" fontId="4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5" fontId="41" fillId="4" borderId="0" applyNumberFormat="0" applyBorder="0" applyAlignment="0" applyProtection="0"/>
    <xf numFmtId="186" fontId="41" fillId="4" borderId="0" applyNumberFormat="0" applyBorder="0" applyAlignment="0" applyProtection="0"/>
    <xf numFmtId="186" fontId="41" fillId="4" borderId="0" applyNumberFormat="0" applyBorder="0" applyAlignment="0" applyProtection="0"/>
    <xf numFmtId="189" fontId="101" fillId="4" borderId="0" applyNumberFormat="0" applyBorder="0" applyAlignment="0" applyProtection="0"/>
    <xf numFmtId="0" fontId="41" fillId="4" borderId="0" applyNumberFormat="0" applyBorder="0" applyAlignment="0" applyProtection="0"/>
    <xf numFmtId="186" fontId="41" fillId="4" borderId="0" applyNumberFormat="0" applyBorder="0" applyAlignment="0" applyProtection="0"/>
    <xf numFmtId="186" fontId="101" fillId="4" borderId="0" applyNumberFormat="0" applyBorder="0" applyAlignment="0" applyProtection="0"/>
    <xf numFmtId="0" fontId="4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0" fontId="41" fillId="4"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7" fontId="95" fillId="52" borderId="0" applyNumberFormat="0" applyBorder="0" applyAlignment="0" applyProtection="0"/>
    <xf numFmtId="185"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186" fontId="95" fillId="52" borderId="0" applyNumberFormat="0" applyBorder="0" applyAlignment="0" applyProtection="0"/>
    <xf numFmtId="0" fontId="41" fillId="4" borderId="0" applyNumberFormat="0" applyBorder="0" applyAlignment="0" applyProtection="0"/>
    <xf numFmtId="185" fontId="41" fillId="4" borderId="0" applyNumberFormat="0" applyBorder="0" applyAlignment="0" applyProtection="0"/>
    <xf numFmtId="186" fontId="41" fillId="4" borderId="0" applyNumberFormat="0" applyBorder="0" applyAlignment="0" applyProtection="0"/>
    <xf numFmtId="187" fontId="41" fillId="4" borderId="0" applyNumberFormat="0" applyBorder="0" applyAlignment="0" applyProtection="0"/>
    <xf numFmtId="185" fontId="41" fillId="4" borderId="0" applyNumberFormat="0" applyBorder="0" applyAlignment="0" applyProtection="0"/>
    <xf numFmtId="186" fontId="41" fillId="4" borderId="0" applyNumberFormat="0" applyBorder="0" applyAlignment="0" applyProtection="0"/>
    <xf numFmtId="186" fontId="41" fillId="4" borderId="0" applyNumberFormat="0" applyBorder="0" applyAlignment="0" applyProtection="0"/>
    <xf numFmtId="186" fontId="41" fillId="4" borderId="0" applyNumberFormat="0" applyBorder="0" applyAlignment="0" applyProtection="0"/>
    <xf numFmtId="187" fontId="101" fillId="4" borderId="0" applyNumberFormat="0" applyBorder="0" applyAlignment="0" applyProtection="0"/>
    <xf numFmtId="185" fontId="101" fillId="4" borderId="0" applyNumberFormat="0" applyBorder="0" applyAlignment="0" applyProtection="0"/>
    <xf numFmtId="186" fontId="101" fillId="4" borderId="0" applyNumberFormat="0" applyBorder="0" applyAlignment="0" applyProtection="0"/>
    <xf numFmtId="186" fontId="101" fillId="4" borderId="0" applyNumberFormat="0" applyBorder="0" applyAlignment="0" applyProtection="0"/>
    <xf numFmtId="186" fontId="95" fillId="52" borderId="0" applyNumberFormat="0" applyBorder="0" applyAlignment="0" applyProtection="0"/>
    <xf numFmtId="184" fontId="95" fillId="52" borderId="0" applyNumberFormat="0" applyBorder="0" applyAlignment="0" applyProtection="0"/>
    <xf numFmtId="0" fontId="41" fillId="5" borderId="0" applyNumberFormat="0" applyBorder="0" applyAlignment="0" applyProtection="0"/>
    <xf numFmtId="186" fontId="41" fillId="5" borderId="0" applyNumberFormat="0" applyBorder="0" applyAlignment="0" applyProtection="0"/>
    <xf numFmtId="0" fontId="95" fillId="56"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0"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0"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7"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5" fontId="41" fillId="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5" fontId="41" fillId="5" borderId="0" applyNumberFormat="0" applyBorder="0" applyAlignment="0" applyProtection="0"/>
    <xf numFmtId="186" fontId="41" fillId="5" borderId="0" applyNumberFormat="0" applyBorder="0" applyAlignment="0" applyProtection="0"/>
    <xf numFmtId="186" fontId="41" fillId="5" borderId="0" applyNumberFormat="0" applyBorder="0" applyAlignment="0" applyProtection="0"/>
    <xf numFmtId="189" fontId="101" fillId="15" borderId="0" applyNumberFormat="0" applyBorder="0" applyAlignment="0" applyProtection="0"/>
    <xf numFmtId="0" fontId="41" fillId="5" borderId="0" applyNumberFormat="0" applyBorder="0" applyAlignment="0" applyProtection="0"/>
    <xf numFmtId="186" fontId="41" fillId="5" borderId="0" applyNumberFormat="0" applyBorder="0" applyAlignment="0" applyProtection="0"/>
    <xf numFmtId="186" fontId="101" fillId="15" borderId="0" applyNumberFormat="0" applyBorder="0" applyAlignment="0" applyProtection="0"/>
    <xf numFmtId="0" fontId="41" fillId="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0" fontId="41" fillId="5"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7" fontId="95" fillId="56" borderId="0" applyNumberFormat="0" applyBorder="0" applyAlignment="0" applyProtection="0"/>
    <xf numFmtId="185"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186" fontId="95" fillId="56" borderId="0" applyNumberFormat="0" applyBorder="0" applyAlignment="0" applyProtection="0"/>
    <xf numFmtId="0" fontId="41" fillId="5" borderId="0" applyNumberFormat="0" applyBorder="0" applyAlignment="0" applyProtection="0"/>
    <xf numFmtId="185" fontId="41" fillId="5" borderId="0" applyNumberFormat="0" applyBorder="0" applyAlignment="0" applyProtection="0"/>
    <xf numFmtId="186" fontId="41" fillId="5" borderId="0" applyNumberFormat="0" applyBorder="0" applyAlignment="0" applyProtection="0"/>
    <xf numFmtId="187" fontId="41" fillId="5" borderId="0" applyNumberFormat="0" applyBorder="0" applyAlignment="0" applyProtection="0"/>
    <xf numFmtId="185" fontId="41" fillId="5" borderId="0" applyNumberFormat="0" applyBorder="0" applyAlignment="0" applyProtection="0"/>
    <xf numFmtId="186" fontId="41" fillId="5" borderId="0" applyNumberFormat="0" applyBorder="0" applyAlignment="0" applyProtection="0"/>
    <xf numFmtId="186" fontId="41" fillId="5" borderId="0" applyNumberFormat="0" applyBorder="0" applyAlignment="0" applyProtection="0"/>
    <xf numFmtId="186" fontId="41" fillId="5" borderId="0" applyNumberFormat="0" applyBorder="0" applyAlignment="0" applyProtection="0"/>
    <xf numFmtId="187" fontId="101" fillId="15" borderId="0" applyNumberFormat="0" applyBorder="0" applyAlignment="0" applyProtection="0"/>
    <xf numFmtId="185" fontId="101" fillId="15" borderId="0" applyNumberFormat="0" applyBorder="0" applyAlignment="0" applyProtection="0"/>
    <xf numFmtId="186" fontId="101" fillId="15" borderId="0" applyNumberFormat="0" applyBorder="0" applyAlignment="0" applyProtection="0"/>
    <xf numFmtId="186" fontId="101" fillId="15" borderId="0" applyNumberFormat="0" applyBorder="0" applyAlignment="0" applyProtection="0"/>
    <xf numFmtId="186" fontId="95" fillId="56" borderId="0" applyNumberFormat="0" applyBorder="0" applyAlignment="0" applyProtection="0"/>
    <xf numFmtId="184" fontId="95" fillId="56"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0" fontId="95" fillId="60"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0"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0"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7"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9" fontId="101" fillId="75"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6" fontId="101" fillId="75" borderId="0" applyNumberFormat="0" applyBorder="0" applyAlignment="0" applyProtection="0"/>
    <xf numFmtId="0" fontId="41" fillId="77"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0" fontId="41" fillId="77"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7" fontId="95" fillId="60" borderId="0" applyNumberFormat="0" applyBorder="0" applyAlignment="0" applyProtection="0"/>
    <xf numFmtId="185"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186" fontId="95" fillId="60"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101" fillId="75" borderId="0" applyNumberFormat="0" applyBorder="0" applyAlignment="0" applyProtection="0"/>
    <xf numFmtId="185" fontId="101" fillId="75" borderId="0" applyNumberFormat="0" applyBorder="0" applyAlignment="0" applyProtection="0"/>
    <xf numFmtId="186" fontId="101" fillId="75" borderId="0" applyNumberFormat="0" applyBorder="0" applyAlignment="0" applyProtection="0"/>
    <xf numFmtId="186" fontId="101" fillId="75" borderId="0" applyNumberFormat="0" applyBorder="0" applyAlignment="0" applyProtection="0"/>
    <xf numFmtId="186" fontId="95" fillId="60" borderId="0" applyNumberFormat="0" applyBorder="0" applyAlignment="0" applyProtection="0"/>
    <xf numFmtId="184" fontId="95" fillId="60"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0" fontId="95" fillId="64"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0"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0"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9" fontId="101" fillId="3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6" fontId="101" fillId="31" borderId="0" applyNumberFormat="0" applyBorder="0" applyAlignment="0" applyProtection="0"/>
    <xf numFmtId="0" fontId="41" fillId="78"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0" fontId="41" fillId="78"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7" fontId="95" fillId="64" borderId="0" applyNumberFormat="0" applyBorder="0" applyAlignment="0" applyProtection="0"/>
    <xf numFmtId="185"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186" fontId="95" fillId="64"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101" fillId="31" borderId="0" applyNumberFormat="0" applyBorder="0" applyAlignment="0" applyProtection="0"/>
    <xf numFmtId="185" fontId="101" fillId="31" borderId="0" applyNumberFormat="0" applyBorder="0" applyAlignment="0" applyProtection="0"/>
    <xf numFmtId="186" fontId="101" fillId="31" borderId="0" applyNumberFormat="0" applyBorder="0" applyAlignment="0" applyProtection="0"/>
    <xf numFmtId="186" fontId="101" fillId="31" borderId="0" applyNumberFormat="0" applyBorder="0" applyAlignment="0" applyProtection="0"/>
    <xf numFmtId="186" fontId="95" fillId="64" borderId="0" applyNumberFormat="0" applyBorder="0" applyAlignment="0" applyProtection="0"/>
    <xf numFmtId="184" fontId="95" fillId="64" borderId="0" applyNumberFormat="0" applyBorder="0" applyAlignment="0" applyProtection="0"/>
    <xf numFmtId="0" fontId="41" fillId="7" borderId="0" applyNumberFormat="0" applyBorder="0" applyAlignment="0" applyProtection="0"/>
    <xf numFmtId="186" fontId="41" fillId="7" borderId="0" applyNumberFormat="0" applyBorder="0" applyAlignment="0" applyProtection="0"/>
    <xf numFmtId="0" fontId="95" fillId="68"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0"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0"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7"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5" fontId="41" fillId="7"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5" fontId="41" fillId="7" borderId="0" applyNumberFormat="0" applyBorder="0" applyAlignment="0" applyProtection="0"/>
    <xf numFmtId="186" fontId="41" fillId="7" borderId="0" applyNumberFormat="0" applyBorder="0" applyAlignment="0" applyProtection="0"/>
    <xf numFmtId="186" fontId="41" fillId="7" borderId="0" applyNumberFormat="0" applyBorder="0" applyAlignment="0" applyProtection="0"/>
    <xf numFmtId="189" fontId="101" fillId="74" borderId="0" applyNumberFormat="0" applyBorder="0" applyAlignment="0" applyProtection="0"/>
    <xf numFmtId="0" fontId="41" fillId="7" borderId="0" applyNumberFormat="0" applyBorder="0" applyAlignment="0" applyProtection="0"/>
    <xf numFmtId="186" fontId="41" fillId="7" borderId="0" applyNumberFormat="0" applyBorder="0" applyAlignment="0" applyProtection="0"/>
    <xf numFmtId="186" fontId="101" fillId="74" borderId="0" applyNumberFormat="0" applyBorder="0" applyAlignment="0" applyProtection="0"/>
    <xf numFmtId="0" fontId="41" fillId="7"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0" fontId="41" fillId="7"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7" fontId="95" fillId="68" borderId="0" applyNumberFormat="0" applyBorder="0" applyAlignment="0" applyProtection="0"/>
    <xf numFmtId="185"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186" fontId="95" fillId="68" borderId="0" applyNumberFormat="0" applyBorder="0" applyAlignment="0" applyProtection="0"/>
    <xf numFmtId="0" fontId="41" fillId="7" borderId="0" applyNumberFormat="0" applyBorder="0" applyAlignment="0" applyProtection="0"/>
    <xf numFmtId="185" fontId="41" fillId="7" borderId="0" applyNumberFormat="0" applyBorder="0" applyAlignment="0" applyProtection="0"/>
    <xf numFmtId="186" fontId="41" fillId="7" borderId="0" applyNumberFormat="0" applyBorder="0" applyAlignment="0" applyProtection="0"/>
    <xf numFmtId="187" fontId="41" fillId="7" borderId="0" applyNumberFormat="0" applyBorder="0" applyAlignment="0" applyProtection="0"/>
    <xf numFmtId="185" fontId="41" fillId="7" borderId="0" applyNumberFormat="0" applyBorder="0" applyAlignment="0" applyProtection="0"/>
    <xf numFmtId="186" fontId="41" fillId="7" borderId="0" applyNumberFormat="0" applyBorder="0" applyAlignment="0" applyProtection="0"/>
    <xf numFmtId="186" fontId="41" fillId="7" borderId="0" applyNumberFormat="0" applyBorder="0" applyAlignment="0" applyProtection="0"/>
    <xf numFmtId="186" fontId="41" fillId="7" borderId="0" applyNumberFormat="0" applyBorder="0" applyAlignment="0" applyProtection="0"/>
    <xf numFmtId="187" fontId="101" fillId="74" borderId="0" applyNumberFormat="0" applyBorder="0" applyAlignment="0" applyProtection="0"/>
    <xf numFmtId="185" fontId="101" fillId="74" borderId="0" applyNumberFormat="0" applyBorder="0" applyAlignment="0" applyProtection="0"/>
    <xf numFmtId="186" fontId="101" fillId="74" borderId="0" applyNumberFormat="0" applyBorder="0" applyAlignment="0" applyProtection="0"/>
    <xf numFmtId="186" fontId="101" fillId="74" borderId="0" applyNumberFormat="0" applyBorder="0" applyAlignment="0" applyProtection="0"/>
    <xf numFmtId="186" fontId="95" fillId="68" borderId="0" applyNumberFormat="0" applyBorder="0" applyAlignment="0" applyProtection="0"/>
    <xf numFmtId="184" fontId="95" fillId="68" borderId="0" applyNumberFormat="0" applyBorder="0" applyAlignment="0" applyProtection="0"/>
    <xf numFmtId="186" fontId="40" fillId="8" borderId="0" applyNumberFormat="0" applyBorder="0" applyAlignment="0" applyProtection="0"/>
    <xf numFmtId="184" fontId="40" fillId="79" borderId="0" applyNumberFormat="0" applyBorder="0" applyAlignment="0" applyProtection="0"/>
    <xf numFmtId="0"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79" borderId="0" applyNumberFormat="0" applyBorder="0" applyAlignment="0" applyProtection="0"/>
    <xf numFmtId="185" fontId="40" fillId="79" borderId="0" applyNumberFormat="0" applyBorder="0" applyAlignment="0" applyProtection="0"/>
    <xf numFmtId="185" fontId="40" fillId="79" borderId="0" applyNumberFormat="0" applyBorder="0" applyAlignment="0" applyProtection="0"/>
    <xf numFmtId="186" fontId="40" fillId="79" borderId="0" applyNumberFormat="0" applyBorder="0" applyAlignment="0" applyProtection="0"/>
    <xf numFmtId="186" fontId="40" fillId="79" borderId="0" applyNumberFormat="0" applyBorder="0" applyAlignment="0" applyProtection="0"/>
    <xf numFmtId="0" fontId="40" fillId="79" borderId="0" applyNumberFormat="0" applyBorder="0" applyAlignment="0" applyProtection="0"/>
    <xf numFmtId="186" fontId="40" fillId="79" borderId="0" applyNumberFormat="0" applyBorder="0" applyAlignment="0" applyProtection="0"/>
    <xf numFmtId="186" fontId="40" fillId="79"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9"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9"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6" fontId="40" fillId="9" borderId="0" applyNumberFormat="0" applyBorder="0" applyAlignment="0" applyProtection="0"/>
    <xf numFmtId="184" fontId="40" fillId="18" borderId="0" applyNumberFormat="0" applyBorder="0" applyAlignment="0" applyProtection="0"/>
    <xf numFmtId="0"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0"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9"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9"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4" fontId="41" fillId="80" borderId="0" applyNumberFormat="0" applyBorder="0" applyAlignment="0" applyProtection="0"/>
    <xf numFmtId="0" fontId="41" fillId="10" borderId="0" applyNumberFormat="0" applyBorder="0" applyAlignment="0" applyProtection="0"/>
    <xf numFmtId="185" fontId="41" fillId="1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185" fontId="41" fillId="10" borderId="0" applyNumberFormat="0" applyBorder="0" applyAlignment="0" applyProtection="0"/>
    <xf numFmtId="186" fontId="41" fillId="10" borderId="0" applyNumberFormat="0" applyBorder="0" applyAlignment="0" applyProtection="0"/>
    <xf numFmtId="186" fontId="41" fillId="1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6" fontId="41" fillId="10" borderId="0" applyNumberFormat="0" applyBorder="0" applyAlignment="0" applyProtection="0"/>
    <xf numFmtId="187" fontId="41" fillId="10" borderId="0" applyNumberFormat="0" applyBorder="0" applyAlignment="0" applyProtection="0"/>
    <xf numFmtId="185" fontId="41" fillId="10" borderId="0" applyNumberFormat="0" applyBorder="0" applyAlignment="0" applyProtection="0"/>
    <xf numFmtId="186" fontId="41" fillId="10" borderId="0" applyNumberFormat="0" applyBorder="0" applyAlignment="0" applyProtection="0"/>
    <xf numFmtId="186" fontId="41" fillId="10" borderId="0" applyNumberFormat="0" applyBorder="0" applyAlignment="0" applyProtection="0"/>
    <xf numFmtId="185" fontId="41" fillId="10" borderId="0" applyNumberFormat="0" applyBorder="0" applyAlignment="0" applyProtection="0"/>
    <xf numFmtId="186" fontId="41" fillId="10" borderId="0" applyNumberFormat="0" applyBorder="0" applyAlignment="0" applyProtection="0"/>
    <xf numFmtId="0" fontId="41" fillId="10" borderId="0" applyNumberFormat="0" applyBorder="0" applyAlignment="0" applyProtection="0"/>
    <xf numFmtId="186" fontId="41" fillId="10" borderId="0" applyNumberFormat="0" applyBorder="0" applyAlignment="0" applyProtection="0"/>
    <xf numFmtId="189" fontId="41" fillId="10" borderId="0" applyNumberFormat="0" applyBorder="0" applyAlignment="0" applyProtection="0"/>
    <xf numFmtId="0" fontId="41" fillId="10" borderId="0" applyNumberFormat="0" applyBorder="0" applyAlignment="0" applyProtection="0"/>
    <xf numFmtId="186" fontId="41" fillId="10" borderId="0" applyNumberFormat="0" applyBorder="0" applyAlignment="0" applyProtection="0"/>
    <xf numFmtId="186" fontId="41" fillId="10" borderId="0" applyNumberFormat="0" applyBorder="0" applyAlignment="0" applyProtection="0"/>
    <xf numFmtId="0" fontId="41" fillId="10" borderId="0" applyNumberFormat="0" applyBorder="0" applyAlignment="0" applyProtection="0"/>
    <xf numFmtId="186" fontId="41" fillId="10" borderId="0" applyNumberFormat="0" applyBorder="0" applyAlignment="0" applyProtection="0"/>
    <xf numFmtId="0" fontId="41" fillId="10" borderId="0" applyNumberFormat="0" applyBorder="0" applyAlignment="0" applyProtection="0"/>
    <xf numFmtId="186" fontId="41" fillId="10" borderId="0" applyNumberFormat="0" applyBorder="0" applyAlignment="0" applyProtection="0"/>
    <xf numFmtId="186" fontId="41" fillId="10"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95" fillId="45" borderId="0" applyNumberFormat="0" applyBorder="0" applyAlignment="0" applyProtection="0"/>
    <xf numFmtId="186" fontId="95" fillId="45"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6" fontId="41" fillId="81" borderId="0" applyNumberFormat="0" applyBorder="0" applyAlignment="0" applyProtection="0"/>
    <xf numFmtId="186"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184" fontId="95" fillId="45"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0"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4" fontId="41" fillId="81" borderId="0" applyNumberFormat="0" applyBorder="0" applyAlignment="0" applyProtection="0"/>
    <xf numFmtId="0"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9"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9" fontId="41" fillId="81" borderId="0" applyNumberFormat="0" applyBorder="0" applyAlignment="0" applyProtection="0"/>
    <xf numFmtId="0" fontId="41" fillId="82" borderId="0" applyNumberFormat="0" applyBorder="0" applyAlignment="0" applyProtection="0"/>
    <xf numFmtId="186" fontId="41" fillId="82"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0"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7" fontId="95" fillId="45" borderId="0" applyNumberFormat="0" applyBorder="0" applyAlignment="0" applyProtection="0"/>
    <xf numFmtId="185"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186" fontId="95" fillId="45"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9"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4"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7" fontId="41" fillId="81" borderId="0" applyNumberFormat="0" applyBorder="0" applyAlignment="0" applyProtection="0"/>
    <xf numFmtId="0"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7"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187" fontId="41" fillId="81" borderId="0" applyNumberFormat="0" applyBorder="0" applyAlignment="0" applyProtection="0"/>
    <xf numFmtId="185" fontId="41" fillId="81" borderId="0" applyNumberFormat="0" applyBorder="0" applyAlignment="0" applyProtection="0"/>
    <xf numFmtId="186" fontId="41" fillId="81" borderId="0" applyNumberFormat="0" applyBorder="0" applyAlignment="0" applyProtection="0"/>
    <xf numFmtId="186" fontId="41" fillId="81"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0" fontId="41" fillId="82" borderId="0" applyNumberFormat="0" applyBorder="0" applyAlignment="0" applyProtection="0"/>
    <xf numFmtId="185" fontId="41" fillId="82" borderId="0" applyNumberFormat="0" applyBorder="0" applyAlignment="0" applyProtection="0"/>
    <xf numFmtId="186" fontId="41" fillId="82" borderId="0" applyNumberFormat="0" applyBorder="0" applyAlignment="0" applyProtection="0"/>
    <xf numFmtId="186" fontId="41" fillId="82" borderId="0" applyNumberFormat="0" applyBorder="0" applyAlignment="0" applyProtection="0"/>
    <xf numFmtId="186" fontId="40" fillId="12" borderId="0" applyNumberFormat="0" applyBorder="0" applyAlignment="0" applyProtection="0"/>
    <xf numFmtId="184" fontId="40" fillId="83" borderId="0" applyNumberFormat="0" applyBorder="0" applyAlignment="0" applyProtection="0"/>
    <xf numFmtId="0" fontId="40" fillId="12" borderId="0" applyNumberFormat="0" applyBorder="0" applyAlignment="0" applyProtection="0"/>
    <xf numFmtId="185" fontId="40" fillId="12" borderId="0" applyNumberFormat="0" applyBorder="0" applyAlignment="0" applyProtection="0"/>
    <xf numFmtId="185"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5" fontId="40" fillId="12" borderId="0" applyNumberFormat="0" applyBorder="0" applyAlignment="0" applyProtection="0"/>
    <xf numFmtId="185"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0" fontId="40" fillId="83" borderId="0" applyNumberFormat="0" applyBorder="0" applyAlignment="0" applyProtection="0"/>
    <xf numFmtId="185" fontId="40" fillId="83" borderId="0" applyNumberFormat="0" applyBorder="0" applyAlignment="0" applyProtection="0"/>
    <xf numFmtId="185"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0"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189"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5" fontId="40" fillId="12" borderId="0" applyNumberFormat="0" applyBorder="0" applyAlignment="0" applyProtection="0"/>
    <xf numFmtId="185"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7"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185" fontId="40" fillId="12" borderId="0" applyNumberFormat="0" applyBorder="0" applyAlignment="0" applyProtection="0"/>
    <xf numFmtId="185"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0" fontId="40" fillId="12"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186" fontId="40" fillId="12"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189" fontId="40" fillId="12" borderId="0" applyNumberFormat="0" applyBorder="0" applyAlignment="0" applyProtection="0"/>
    <xf numFmtId="186" fontId="40" fillId="12"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0" fontId="40" fillId="12" borderId="0" applyNumberFormat="0" applyBorder="0" applyAlignment="0" applyProtection="0"/>
    <xf numFmtId="186" fontId="40" fillId="12" borderId="0" applyNumberFormat="0" applyBorder="0" applyAlignment="0" applyProtection="0"/>
    <xf numFmtId="186" fontId="40" fillId="13" borderId="0" applyNumberFormat="0" applyBorder="0" applyAlignment="0" applyProtection="0"/>
    <xf numFmtId="184" fontId="40" fillId="17" borderId="0" applyNumberFormat="0" applyBorder="0" applyAlignment="0" applyProtection="0"/>
    <xf numFmtId="0"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9"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9"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4" fontId="41" fillId="13"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3" borderId="0" applyNumberFormat="0" applyBorder="0" applyAlignment="0" applyProtection="0"/>
    <xf numFmtId="185" fontId="41" fillId="13" borderId="0" applyNumberFormat="0" applyBorder="0" applyAlignment="0" applyProtection="0"/>
    <xf numFmtId="186" fontId="41" fillId="13" borderId="0" applyNumberFormat="0" applyBorder="0" applyAlignment="0" applyProtection="0"/>
    <xf numFmtId="186" fontId="41" fillId="13"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9"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95" fillId="49" borderId="0" applyNumberFormat="0" applyBorder="0" applyAlignment="0" applyProtection="0"/>
    <xf numFmtId="186" fontId="95" fillId="49"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6" fontId="41" fillId="84" borderId="0" applyNumberFormat="0" applyBorder="0" applyAlignment="0" applyProtection="0"/>
    <xf numFmtId="186"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184" fontId="95" fillId="49"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0"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4" fontId="41" fillId="84" borderId="0" applyNumberFormat="0" applyBorder="0" applyAlignment="0" applyProtection="0"/>
    <xf numFmtId="0"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9"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9" fontId="41" fillId="84" borderId="0" applyNumberFormat="0" applyBorder="0" applyAlignment="0" applyProtection="0"/>
    <xf numFmtId="0" fontId="41" fillId="11" borderId="0" applyNumberFormat="0" applyBorder="0" applyAlignment="0" applyProtection="0"/>
    <xf numFmtId="186" fontId="41" fillId="11"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0"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7" fontId="95" fillId="49" borderId="0" applyNumberFormat="0" applyBorder="0" applyAlignment="0" applyProtection="0"/>
    <xf numFmtId="185"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186" fontId="95" fillId="49"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9"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4"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7" fontId="41" fillId="84" borderId="0" applyNumberFormat="0" applyBorder="0" applyAlignment="0" applyProtection="0"/>
    <xf numFmtId="0"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7"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187" fontId="41" fillId="84" borderId="0" applyNumberFormat="0" applyBorder="0" applyAlignment="0" applyProtection="0"/>
    <xf numFmtId="185" fontId="41" fillId="84" borderId="0" applyNumberFormat="0" applyBorder="0" applyAlignment="0" applyProtection="0"/>
    <xf numFmtId="186" fontId="41" fillId="84" borderId="0" applyNumberFormat="0" applyBorder="0" applyAlignment="0" applyProtection="0"/>
    <xf numFmtId="186" fontId="41" fillId="84"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0" fontId="41" fillId="11" borderId="0" applyNumberFormat="0" applyBorder="0" applyAlignment="0" applyProtection="0"/>
    <xf numFmtId="185" fontId="41" fillId="11" borderId="0" applyNumberFormat="0" applyBorder="0" applyAlignment="0" applyProtection="0"/>
    <xf numFmtId="186" fontId="41" fillId="11" borderId="0" applyNumberFormat="0" applyBorder="0" applyAlignment="0" applyProtection="0"/>
    <xf numFmtId="186" fontId="41" fillId="11" borderId="0" applyNumberFormat="0" applyBorder="0" applyAlignment="0" applyProtection="0"/>
    <xf numFmtId="186" fontId="40" fillId="16" borderId="0" applyNumberFormat="0" applyBorder="0" applyAlignment="0" applyProtection="0"/>
    <xf numFmtId="184" fontId="40" fillId="85" borderId="0" applyNumberFormat="0" applyBorder="0" applyAlignment="0" applyProtection="0"/>
    <xf numFmtId="0" fontId="40" fillId="16" borderId="0" applyNumberFormat="0" applyBorder="0" applyAlignment="0" applyProtection="0"/>
    <xf numFmtId="185" fontId="40" fillId="16" borderId="0" applyNumberFormat="0" applyBorder="0" applyAlignment="0" applyProtection="0"/>
    <xf numFmtId="185"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5" fontId="40" fillId="16" borderId="0" applyNumberFormat="0" applyBorder="0" applyAlignment="0" applyProtection="0"/>
    <xf numFmtId="185"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0" fontId="40" fillId="85" borderId="0" applyNumberFormat="0" applyBorder="0" applyAlignment="0" applyProtection="0"/>
    <xf numFmtId="185" fontId="40" fillId="85" borderId="0" applyNumberFormat="0" applyBorder="0" applyAlignment="0" applyProtection="0"/>
    <xf numFmtId="185" fontId="40" fillId="85" borderId="0" applyNumberFormat="0" applyBorder="0" applyAlignment="0" applyProtection="0"/>
    <xf numFmtId="186" fontId="40" fillId="85" borderId="0" applyNumberFormat="0" applyBorder="0" applyAlignment="0" applyProtection="0"/>
    <xf numFmtId="186" fontId="40" fillId="85" borderId="0" applyNumberFormat="0" applyBorder="0" applyAlignment="0" applyProtection="0"/>
    <xf numFmtId="0" fontId="40" fillId="85" borderId="0" applyNumberFormat="0" applyBorder="0" applyAlignment="0" applyProtection="0"/>
    <xf numFmtId="186" fontId="40" fillId="85" borderId="0" applyNumberFormat="0" applyBorder="0" applyAlignment="0" applyProtection="0"/>
    <xf numFmtId="186" fontId="40" fillId="85"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9"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5" fontId="40" fillId="16" borderId="0" applyNumberFormat="0" applyBorder="0" applyAlignment="0" applyProtection="0"/>
    <xf numFmtId="185"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7"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185" fontId="40" fillId="16" borderId="0" applyNumberFormat="0" applyBorder="0" applyAlignment="0" applyProtection="0"/>
    <xf numFmtId="185"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0" fontId="40" fillId="16"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9" fontId="40" fillId="16" borderId="0" applyNumberFormat="0" applyBorder="0" applyAlignment="0" applyProtection="0"/>
    <xf numFmtId="186" fontId="40" fillId="16"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6" fontId="40" fillId="17" borderId="0" applyNumberFormat="0" applyBorder="0" applyAlignment="0" applyProtection="0"/>
    <xf numFmtId="184" fontId="40" fillId="86" borderId="0" applyNumberFormat="0" applyBorder="0" applyAlignment="0" applyProtection="0"/>
    <xf numFmtId="0"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86" borderId="0" applyNumberFormat="0" applyBorder="0" applyAlignment="0" applyProtection="0"/>
    <xf numFmtId="185" fontId="40" fillId="86" borderId="0" applyNumberFormat="0" applyBorder="0" applyAlignment="0" applyProtection="0"/>
    <xf numFmtId="185" fontId="40" fillId="86"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0" fontId="40" fillId="86"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9"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9"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4" fontId="41" fillId="87" borderId="0" applyNumberFormat="0" applyBorder="0" applyAlignment="0" applyProtection="0"/>
    <xf numFmtId="0"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0" fontId="41" fillId="87" borderId="0" applyNumberFormat="0" applyBorder="0" applyAlignment="0" applyProtection="0"/>
    <xf numFmtId="185" fontId="41" fillId="87" borderId="0" applyNumberFormat="0" applyBorder="0" applyAlignment="0" applyProtection="0"/>
    <xf numFmtId="186" fontId="41" fillId="87" borderId="0" applyNumberFormat="0" applyBorder="0" applyAlignment="0" applyProtection="0"/>
    <xf numFmtId="186" fontId="41" fillId="87"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9"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95" fillId="53" borderId="0" applyNumberFormat="0" applyBorder="0" applyAlignment="0" applyProtection="0"/>
    <xf numFmtId="186" fontId="95" fillId="53"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0" fontId="41" fillId="88" borderId="0" applyNumberFormat="0" applyBorder="0" applyAlignment="0" applyProtection="0"/>
    <xf numFmtId="186" fontId="41" fillId="88" borderId="0" applyNumberFormat="0" applyBorder="0" applyAlignment="0" applyProtection="0"/>
    <xf numFmtId="186"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184" fontId="95" fillId="53"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0" fontId="41" fillId="8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4" fontId="41" fillId="88" borderId="0" applyNumberFormat="0" applyBorder="0" applyAlignment="0" applyProtection="0"/>
    <xf numFmtId="0"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9"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9"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0"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7" fontId="95" fillId="53" borderId="0" applyNumberFormat="0" applyBorder="0" applyAlignment="0" applyProtection="0"/>
    <xf numFmtId="185"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186" fontId="95" fillId="53"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9" fontId="41" fillId="14" borderId="0" applyNumberFormat="0" applyBorder="0" applyAlignment="0" applyProtection="0"/>
    <xf numFmtId="0"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4" fontId="41" fillId="88"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7"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7" fontId="41" fillId="14" borderId="0" applyNumberFormat="0" applyBorder="0" applyAlignment="0" applyProtection="0"/>
    <xf numFmtId="0"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0" fontId="41" fillId="88" borderId="0" applyNumberFormat="0" applyBorder="0" applyAlignment="0" applyProtection="0"/>
    <xf numFmtId="185" fontId="41" fillId="88" borderId="0" applyNumberFormat="0" applyBorder="0" applyAlignment="0" applyProtection="0"/>
    <xf numFmtId="186" fontId="41" fillId="88" borderId="0" applyNumberFormat="0" applyBorder="0" applyAlignment="0" applyProtection="0"/>
    <xf numFmtId="186" fontId="41" fillId="88"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7"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187" fontId="41" fillId="14" borderId="0" applyNumberFormat="0" applyBorder="0" applyAlignment="0" applyProtection="0"/>
    <xf numFmtId="185" fontId="41" fillId="14" borderId="0" applyNumberFormat="0" applyBorder="0" applyAlignment="0" applyProtection="0"/>
    <xf numFmtId="186" fontId="41" fillId="14" borderId="0" applyNumberFormat="0" applyBorder="0" applyAlignment="0" applyProtection="0"/>
    <xf numFmtId="186" fontId="41" fillId="14"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0" fontId="41" fillId="15" borderId="0" applyNumberFormat="0" applyBorder="0" applyAlignment="0" applyProtection="0"/>
    <xf numFmtId="185" fontId="41" fillId="15" borderId="0" applyNumberFormat="0" applyBorder="0" applyAlignment="0" applyProtection="0"/>
    <xf numFmtId="186" fontId="41" fillId="15" borderId="0" applyNumberFormat="0" applyBorder="0" applyAlignment="0" applyProtection="0"/>
    <xf numFmtId="186" fontId="41" fillId="15" borderId="0" applyNumberFormat="0" applyBorder="0" applyAlignment="0" applyProtection="0"/>
    <xf numFmtId="186" fontId="40" fillId="17" borderId="0" applyNumberFormat="0" applyBorder="0" applyAlignment="0" applyProtection="0"/>
    <xf numFmtId="184" fontId="40" fillId="83" borderId="0" applyNumberFormat="0" applyBorder="0" applyAlignment="0" applyProtection="0"/>
    <xf numFmtId="0"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83" borderId="0" applyNumberFormat="0" applyBorder="0" applyAlignment="0" applyProtection="0"/>
    <xf numFmtId="185" fontId="40" fillId="83" borderId="0" applyNumberFormat="0" applyBorder="0" applyAlignment="0" applyProtection="0"/>
    <xf numFmtId="185"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0" fontId="40" fillId="83" borderId="0" applyNumberFormat="0" applyBorder="0" applyAlignment="0" applyProtection="0"/>
    <xf numFmtId="186" fontId="40" fillId="83" borderId="0" applyNumberFormat="0" applyBorder="0" applyAlignment="0" applyProtection="0"/>
    <xf numFmtId="186" fontId="40" fillId="83"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9"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7"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185" fontId="40" fillId="17" borderId="0" applyNumberFormat="0" applyBorder="0" applyAlignment="0" applyProtection="0"/>
    <xf numFmtId="185"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9"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0" fontId="40" fillId="17" borderId="0" applyNumberFormat="0" applyBorder="0" applyAlignment="0" applyProtection="0"/>
    <xf numFmtId="186" fontId="40" fillId="17" borderId="0" applyNumberFormat="0" applyBorder="0" applyAlignment="0" applyProtection="0"/>
    <xf numFmtId="186" fontId="40" fillId="18" borderId="0" applyNumberFormat="0" applyBorder="0" applyAlignment="0" applyProtection="0"/>
    <xf numFmtId="184" fontId="40" fillId="14" borderId="0" applyNumberFormat="0" applyBorder="0" applyAlignment="0" applyProtection="0"/>
    <xf numFmtId="0"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0" fontId="40" fillId="14" borderId="0" applyNumberFormat="0" applyBorder="0" applyAlignment="0" applyProtection="0"/>
    <xf numFmtId="185" fontId="40" fillId="14" borderId="0" applyNumberFormat="0" applyBorder="0" applyAlignment="0" applyProtection="0"/>
    <xf numFmtId="185" fontId="40" fillId="14" borderId="0" applyNumberFormat="0" applyBorder="0" applyAlignment="0" applyProtection="0"/>
    <xf numFmtId="186" fontId="40" fillId="14" borderId="0" applyNumberFormat="0" applyBorder="0" applyAlignment="0" applyProtection="0"/>
    <xf numFmtId="186" fontId="40" fillId="14" borderId="0" applyNumberFormat="0" applyBorder="0" applyAlignment="0" applyProtection="0"/>
    <xf numFmtId="0" fontId="40" fillId="14" borderId="0" applyNumberFormat="0" applyBorder="0" applyAlignment="0" applyProtection="0"/>
    <xf numFmtId="186" fontId="40" fillId="14" borderId="0" applyNumberFormat="0" applyBorder="0" applyAlignment="0" applyProtection="0"/>
    <xf numFmtId="186" fontId="40" fillId="14"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9"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7"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185" fontId="40" fillId="18" borderId="0" applyNumberFormat="0" applyBorder="0" applyAlignment="0" applyProtection="0"/>
    <xf numFmtId="185"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6" fontId="40" fillId="18"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9" fontId="40" fillId="18" borderId="0" applyNumberFormat="0" applyBorder="0" applyAlignment="0" applyProtection="0"/>
    <xf numFmtId="186" fontId="40" fillId="18"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0" fontId="40" fillId="18" borderId="0" applyNumberFormat="0" applyBorder="0" applyAlignment="0" applyProtection="0"/>
    <xf numFmtId="186" fontId="40" fillId="18" borderId="0" applyNumberFormat="0" applyBorder="0" applyAlignment="0" applyProtection="0"/>
    <xf numFmtId="184" fontId="41" fillId="17" borderId="0" applyNumberFormat="0" applyBorder="0" applyAlignment="0" applyProtection="0"/>
    <xf numFmtId="0"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0" fontId="41" fillId="17" borderId="0" applyNumberFormat="0" applyBorder="0" applyAlignment="0" applyProtection="0"/>
    <xf numFmtId="185" fontId="41" fillId="17" borderId="0" applyNumberFormat="0" applyBorder="0" applyAlignment="0" applyProtection="0"/>
    <xf numFmtId="186" fontId="41" fillId="17" borderId="0" applyNumberFormat="0" applyBorder="0" applyAlignment="0" applyProtection="0"/>
    <xf numFmtId="186" fontId="41" fillId="17" borderId="0" applyNumberFormat="0" applyBorder="0" applyAlignment="0" applyProtection="0"/>
    <xf numFmtId="186" fontId="41" fillId="18" borderId="0" applyNumberFormat="0" applyBorder="0" applyAlignment="0" applyProtection="0"/>
    <xf numFmtId="187"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185"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9"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0" fontId="41" fillId="18" borderId="0" applyNumberFormat="0" applyBorder="0" applyAlignment="0" applyProtection="0"/>
    <xf numFmtId="186" fontId="41" fillId="18" borderId="0" applyNumberFormat="0" applyBorder="0" applyAlignment="0" applyProtection="0"/>
    <xf numFmtId="186" fontId="41" fillId="18"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95" fillId="57" borderId="0" applyNumberFormat="0" applyBorder="0" applyAlignment="0" applyProtection="0"/>
    <xf numFmtId="186" fontId="95" fillId="57"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0" fontId="41" fillId="90" borderId="0" applyNumberFormat="0" applyBorder="0" applyAlignment="0" applyProtection="0"/>
    <xf numFmtId="186" fontId="41" fillId="90" borderId="0" applyNumberFormat="0" applyBorder="0" applyAlignment="0" applyProtection="0"/>
    <xf numFmtId="186"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184" fontId="95" fillId="57"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0" fontId="41" fillId="90"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4" fontId="41" fillId="90" borderId="0" applyNumberFormat="0" applyBorder="0" applyAlignment="0" applyProtection="0"/>
    <xf numFmtId="0"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9"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9"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0"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7" fontId="95" fillId="57" borderId="0" applyNumberFormat="0" applyBorder="0" applyAlignment="0" applyProtection="0"/>
    <xf numFmtId="185"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186" fontId="95" fillId="57"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9" fontId="41" fillId="89" borderId="0" applyNumberFormat="0" applyBorder="0" applyAlignment="0" applyProtection="0"/>
    <xf numFmtId="0"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4" fontId="41" fillId="90"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7"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41" fillId="89"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41" fillId="89" borderId="0" applyNumberFormat="0" applyBorder="0" applyAlignment="0" applyProtection="0"/>
    <xf numFmtId="0"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0" fontId="41" fillId="90" borderId="0" applyNumberFormat="0" applyBorder="0" applyAlignment="0" applyProtection="0"/>
    <xf numFmtId="185" fontId="41" fillId="90" borderId="0" applyNumberFormat="0" applyBorder="0" applyAlignment="0" applyProtection="0"/>
    <xf numFmtId="186" fontId="41" fillId="90" borderId="0" applyNumberFormat="0" applyBorder="0" applyAlignment="0" applyProtection="0"/>
    <xf numFmtId="186" fontId="41" fillId="90"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7"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187" fontId="41" fillId="89" borderId="0" applyNumberFormat="0" applyBorder="0" applyAlignment="0" applyProtection="0"/>
    <xf numFmtId="185" fontId="41" fillId="89" borderId="0" applyNumberFormat="0" applyBorder="0" applyAlignment="0" applyProtection="0"/>
    <xf numFmtId="186" fontId="41" fillId="89" borderId="0" applyNumberFormat="0" applyBorder="0" applyAlignment="0" applyProtection="0"/>
    <xf numFmtId="186" fontId="41" fillId="89"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0" fontId="41" fillId="77" borderId="0" applyNumberFormat="0" applyBorder="0" applyAlignment="0" applyProtection="0"/>
    <xf numFmtId="185" fontId="41" fillId="77" borderId="0" applyNumberFormat="0" applyBorder="0" applyAlignment="0" applyProtection="0"/>
    <xf numFmtId="186" fontId="41" fillId="77" borderId="0" applyNumberFormat="0" applyBorder="0" applyAlignment="0" applyProtection="0"/>
    <xf numFmtId="186" fontId="41" fillId="77" borderId="0" applyNumberFormat="0" applyBorder="0" applyAlignment="0" applyProtection="0"/>
    <xf numFmtId="186" fontId="40" fillId="8" borderId="0" applyNumberFormat="0" applyBorder="0" applyAlignment="0" applyProtection="0"/>
    <xf numFmtId="184" fontId="40" fillId="16" borderId="0" applyNumberFormat="0" applyBorder="0" applyAlignment="0" applyProtection="0"/>
    <xf numFmtId="0"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16" borderId="0" applyNumberFormat="0" applyBorder="0" applyAlignment="0" applyProtection="0"/>
    <xf numFmtId="185" fontId="40" fillId="16" borderId="0" applyNumberFormat="0" applyBorder="0" applyAlignment="0" applyProtection="0"/>
    <xf numFmtId="185"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0" fontId="40" fillId="16" borderId="0" applyNumberFormat="0" applyBorder="0" applyAlignment="0" applyProtection="0"/>
    <xf numFmtId="186" fontId="40" fillId="16" borderId="0" applyNumberFormat="0" applyBorder="0" applyAlignment="0" applyProtection="0"/>
    <xf numFmtId="186" fontId="40" fillId="16"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9"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7"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185" fontId="40" fillId="8" borderId="0" applyNumberFormat="0" applyBorder="0" applyAlignment="0" applyProtection="0"/>
    <xf numFmtId="185"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189"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0" fontId="40" fillId="8" borderId="0" applyNumberFormat="0" applyBorder="0" applyAlignment="0" applyProtection="0"/>
    <xf numFmtId="186" fontId="40" fillId="8" borderId="0" applyNumberFormat="0" applyBorder="0" applyAlignment="0" applyProtection="0"/>
    <xf numFmtId="0"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9"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7"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5" fontId="40" fillId="9" borderId="0" applyNumberFormat="0" applyBorder="0" applyAlignment="0" applyProtection="0"/>
    <xf numFmtId="185"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0" fontId="40" fillId="9" borderId="0" applyNumberFormat="0" applyBorder="0" applyAlignment="0" applyProtection="0"/>
    <xf numFmtId="186" fontId="40" fillId="9" borderId="0" applyNumberFormat="0" applyBorder="0" applyAlignment="0" applyProtection="0"/>
    <xf numFmtId="189" fontId="40" fillId="9" borderId="0" applyNumberFormat="0" applyBorder="0" applyAlignment="0" applyProtection="0"/>
    <xf numFmtId="186" fontId="40" fillId="9" borderId="0" applyNumberFormat="0" applyBorder="0" applyAlignment="0" applyProtection="0"/>
    <xf numFmtId="186" fontId="40" fillId="9" borderId="0" applyNumberFormat="0" applyBorder="0" applyAlignment="0" applyProtection="0"/>
    <xf numFmtId="184" fontId="40" fillId="9" borderId="0" applyNumberFormat="0" applyBorder="0" applyAlignment="0" applyProtection="0"/>
    <xf numFmtId="184" fontId="41" fillId="80" borderId="0" applyNumberFormat="0" applyBorder="0" applyAlignment="0" applyProtection="0"/>
    <xf numFmtId="0" fontId="41" fillId="9" borderId="0" applyNumberFormat="0" applyBorder="0" applyAlignment="0" applyProtection="0"/>
    <xf numFmtId="185" fontId="41" fillId="9"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185" fontId="41" fillId="9" borderId="0" applyNumberFormat="0" applyBorder="0" applyAlignment="0" applyProtection="0"/>
    <xf numFmtId="186" fontId="41" fillId="9" borderId="0" applyNumberFormat="0" applyBorder="0" applyAlignment="0" applyProtection="0"/>
    <xf numFmtId="186" fontId="41" fillId="9"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6" fontId="41" fillId="9" borderId="0" applyNumberFormat="0" applyBorder="0" applyAlignment="0" applyProtection="0"/>
    <xf numFmtId="187" fontId="41" fillId="9" borderId="0" applyNumberFormat="0" applyBorder="0" applyAlignment="0" applyProtection="0"/>
    <xf numFmtId="185" fontId="41" fillId="9" borderId="0" applyNumberFormat="0" applyBorder="0" applyAlignment="0" applyProtection="0"/>
    <xf numFmtId="186" fontId="41" fillId="9" borderId="0" applyNumberFormat="0" applyBorder="0" applyAlignment="0" applyProtection="0"/>
    <xf numFmtId="186" fontId="41" fillId="9" borderId="0" applyNumberFormat="0" applyBorder="0" applyAlignment="0" applyProtection="0"/>
    <xf numFmtId="185" fontId="41" fillId="9" borderId="0" applyNumberFormat="0" applyBorder="0" applyAlignment="0" applyProtection="0"/>
    <xf numFmtId="186" fontId="41" fillId="9" borderId="0" applyNumberFormat="0" applyBorder="0" applyAlignment="0" applyProtection="0"/>
    <xf numFmtId="0" fontId="41" fillId="9" borderId="0" applyNumberFormat="0" applyBorder="0" applyAlignment="0" applyProtection="0"/>
    <xf numFmtId="186" fontId="41" fillId="9" borderId="0" applyNumberFormat="0" applyBorder="0" applyAlignment="0" applyProtection="0"/>
    <xf numFmtId="189" fontId="41" fillId="9" borderId="0" applyNumberFormat="0" applyBorder="0" applyAlignment="0" applyProtection="0"/>
    <xf numFmtId="0" fontId="41" fillId="9" borderId="0" applyNumberFormat="0" applyBorder="0" applyAlignment="0" applyProtection="0"/>
    <xf numFmtId="186" fontId="41" fillId="9" borderId="0" applyNumberFormat="0" applyBorder="0" applyAlignment="0" applyProtection="0"/>
    <xf numFmtId="186" fontId="41" fillId="9" borderId="0" applyNumberFormat="0" applyBorder="0" applyAlignment="0" applyProtection="0"/>
    <xf numFmtId="0" fontId="41" fillId="9" borderId="0" applyNumberFormat="0" applyBorder="0" applyAlignment="0" applyProtection="0"/>
    <xf numFmtId="186" fontId="41" fillId="9" borderId="0" applyNumberFormat="0" applyBorder="0" applyAlignment="0" applyProtection="0"/>
    <xf numFmtId="0" fontId="41" fillId="9" borderId="0" applyNumberFormat="0" applyBorder="0" applyAlignment="0" applyProtection="0"/>
    <xf numFmtId="186" fontId="41" fillId="9" borderId="0" applyNumberFormat="0" applyBorder="0" applyAlignment="0" applyProtection="0"/>
    <xf numFmtId="186" fontId="41" fillId="9"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95" fillId="61" borderId="0" applyNumberFormat="0" applyBorder="0" applyAlignment="0" applyProtection="0"/>
    <xf numFmtId="186" fontId="95" fillId="61"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0" fontId="41" fillId="80" borderId="0" applyNumberFormat="0" applyBorder="0" applyAlignment="0" applyProtection="0"/>
    <xf numFmtId="186" fontId="41" fillId="80" borderId="0" applyNumberFormat="0" applyBorder="0" applyAlignment="0" applyProtection="0"/>
    <xf numFmtId="186"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184" fontId="95" fillId="61"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0" fontId="41" fillId="80"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4" fontId="41" fillId="80" borderId="0" applyNumberFormat="0" applyBorder="0" applyAlignment="0" applyProtection="0"/>
    <xf numFmtId="0"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6" fontId="95" fillId="61" borderId="0" applyNumberFormat="0" applyBorder="0" applyAlignment="0" applyProtection="0"/>
    <xf numFmtId="189" fontId="41" fillId="91" borderId="0" applyNumberFormat="0" applyBorder="0" applyAlignment="0" applyProtection="0"/>
    <xf numFmtId="186" fontId="41" fillId="91" borderId="0" applyNumberFormat="0" applyBorder="0" applyAlignment="0" applyProtection="0"/>
    <xf numFmtId="186" fontId="95" fillId="6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9"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9"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6" fontId="95" fillId="61" borderId="0" applyNumberFormat="0" applyBorder="0" applyAlignment="0" applyProtection="0"/>
    <xf numFmtId="186" fontId="95" fillId="6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0"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7" fontId="95" fillId="61" borderId="0" applyNumberFormat="0" applyBorder="0" applyAlignment="0" applyProtection="0"/>
    <xf numFmtId="185" fontId="95" fillId="61" borderId="0" applyNumberFormat="0" applyBorder="0" applyAlignment="0" applyProtection="0"/>
    <xf numFmtId="186" fontId="95" fillId="61" borderId="0" applyNumberFormat="0" applyBorder="0" applyAlignment="0" applyProtection="0"/>
    <xf numFmtId="186" fontId="95" fillId="61" borderId="0" applyNumberFormat="0" applyBorder="0" applyAlignment="0" applyProtection="0"/>
    <xf numFmtId="186" fontId="95" fillId="6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9" fontId="41" fillId="91" borderId="0" applyNumberFormat="0" applyBorder="0" applyAlignment="0" applyProtection="0"/>
    <xf numFmtId="0"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4" fontId="41" fillId="80"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7"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41" fillId="9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41" fillId="91" borderId="0" applyNumberFormat="0" applyBorder="0" applyAlignment="0" applyProtection="0"/>
    <xf numFmtId="0"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0" fontId="41" fillId="80" borderId="0" applyNumberFormat="0" applyBorder="0" applyAlignment="0" applyProtection="0"/>
    <xf numFmtId="185" fontId="41" fillId="80" borderId="0" applyNumberFormat="0" applyBorder="0" applyAlignment="0" applyProtection="0"/>
    <xf numFmtId="186" fontId="41" fillId="80" borderId="0" applyNumberFormat="0" applyBorder="0" applyAlignment="0" applyProtection="0"/>
    <xf numFmtId="186" fontId="41" fillId="80"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7"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187" fontId="41" fillId="91" borderId="0" applyNumberFormat="0" applyBorder="0" applyAlignment="0" applyProtection="0"/>
    <xf numFmtId="185" fontId="41" fillId="91" borderId="0" applyNumberFormat="0" applyBorder="0" applyAlignment="0" applyProtection="0"/>
    <xf numFmtId="186" fontId="41" fillId="91" borderId="0" applyNumberFormat="0" applyBorder="0" applyAlignment="0" applyProtection="0"/>
    <xf numFmtId="186" fontId="41" fillId="91"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1" fillId="78" borderId="0" applyNumberFormat="0" applyBorder="0" applyAlignment="0" applyProtection="0"/>
    <xf numFmtId="185" fontId="41" fillId="78" borderId="0" applyNumberFormat="0" applyBorder="0" applyAlignment="0" applyProtection="0"/>
    <xf numFmtId="186" fontId="41" fillId="78" borderId="0" applyNumberFormat="0" applyBorder="0" applyAlignment="0" applyProtection="0"/>
    <xf numFmtId="186" fontId="41" fillId="78" borderId="0" applyNumberFormat="0" applyBorder="0" applyAlignment="0" applyProtection="0"/>
    <xf numFmtId="0"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0" fontId="40" fillId="20" borderId="0" applyNumberFormat="0" applyBorder="0" applyAlignment="0" applyProtection="0"/>
    <xf numFmtId="186" fontId="40" fillId="20" borderId="0" applyNumberFormat="0" applyBorder="0" applyAlignment="0" applyProtection="0"/>
    <xf numFmtId="189"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7"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5" fontId="40" fillId="20" borderId="0" applyNumberFormat="0" applyBorder="0" applyAlignment="0" applyProtection="0"/>
    <xf numFmtId="185"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0" fontId="40" fillId="20" borderId="0" applyNumberFormat="0" applyBorder="0" applyAlignment="0" applyProtection="0"/>
    <xf numFmtId="186" fontId="40" fillId="20" borderId="0" applyNumberFormat="0" applyBorder="0" applyAlignment="0" applyProtection="0"/>
    <xf numFmtId="189" fontId="40" fillId="20" borderId="0" applyNumberFormat="0" applyBorder="0" applyAlignment="0" applyProtection="0"/>
    <xf numFmtId="186" fontId="40" fillId="20" borderId="0" applyNumberFormat="0" applyBorder="0" applyAlignment="0" applyProtection="0"/>
    <xf numFmtId="186" fontId="40" fillId="20" borderId="0" applyNumberFormat="0" applyBorder="0" applyAlignment="0" applyProtection="0"/>
    <xf numFmtId="184" fontId="40" fillId="20" borderId="0" applyNumberFormat="0" applyBorder="0" applyAlignment="0" applyProtection="0"/>
    <xf numFmtId="186" fontId="40" fillId="13" borderId="0" applyNumberFormat="0" applyBorder="0" applyAlignment="0" applyProtection="0"/>
    <xf numFmtId="184" fontId="40" fillId="21" borderId="0" applyNumberFormat="0" applyBorder="0" applyAlignment="0" applyProtection="0"/>
    <xf numFmtId="0"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21" borderId="0" applyNumberFormat="0" applyBorder="0" applyAlignment="0" applyProtection="0"/>
    <xf numFmtId="185" fontId="40" fillId="21" borderId="0" applyNumberFormat="0" applyBorder="0" applyAlignment="0" applyProtection="0"/>
    <xf numFmtId="185" fontId="40" fillId="21" borderId="0" applyNumberFormat="0" applyBorder="0" applyAlignment="0" applyProtection="0"/>
    <xf numFmtId="186" fontId="40" fillId="21" borderId="0" applyNumberFormat="0" applyBorder="0" applyAlignment="0" applyProtection="0"/>
    <xf numFmtId="186" fontId="40" fillId="21" borderId="0" applyNumberFormat="0" applyBorder="0" applyAlignment="0" applyProtection="0"/>
    <xf numFmtId="0" fontId="40" fillId="21" borderId="0" applyNumberFormat="0" applyBorder="0" applyAlignment="0" applyProtection="0"/>
    <xf numFmtId="186" fontId="40" fillId="21" borderId="0" applyNumberFormat="0" applyBorder="0" applyAlignment="0" applyProtection="0"/>
    <xf numFmtId="186" fontId="40" fillId="21"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9"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7"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185" fontId="40" fillId="13" borderId="0" applyNumberFormat="0" applyBorder="0" applyAlignment="0" applyProtection="0"/>
    <xf numFmtId="185"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9"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0" fontId="40" fillId="13" borderId="0" applyNumberFormat="0" applyBorder="0" applyAlignment="0" applyProtection="0"/>
    <xf numFmtId="186" fontId="40" fillId="13" borderId="0" applyNumberFormat="0" applyBorder="0" applyAlignment="0" applyProtection="0"/>
    <xf numFmtId="184" fontId="41" fillId="92" borderId="0" applyNumberFormat="0" applyBorder="0" applyAlignment="0" applyProtection="0"/>
    <xf numFmtId="0" fontId="41" fillId="21" borderId="0" applyNumberFormat="0" applyBorder="0" applyAlignment="0" applyProtection="0"/>
    <xf numFmtId="185" fontId="41" fillId="21"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185" fontId="41" fillId="21" borderId="0" applyNumberFormat="0" applyBorder="0" applyAlignment="0" applyProtection="0"/>
    <xf numFmtId="186" fontId="41" fillId="21" borderId="0" applyNumberFormat="0" applyBorder="0" applyAlignment="0" applyProtection="0"/>
    <xf numFmtId="186" fontId="41" fillId="21" borderId="0" applyNumberFormat="0" applyBorder="0" applyAlignment="0" applyProtection="0"/>
    <xf numFmtId="0" fontId="41" fillId="92" borderId="0" applyNumberFormat="0" applyBorder="0" applyAlignment="0" applyProtection="0"/>
    <xf numFmtId="185" fontId="41" fillId="92" borderId="0" applyNumberFormat="0" applyBorder="0" applyAlignment="0" applyProtection="0"/>
    <xf numFmtId="186" fontId="41" fillId="92" borderId="0" applyNumberFormat="0" applyBorder="0" applyAlignment="0" applyProtection="0"/>
    <xf numFmtId="186" fontId="41" fillId="92" borderId="0" applyNumberFormat="0" applyBorder="0" applyAlignment="0" applyProtection="0"/>
    <xf numFmtId="186" fontId="41" fillId="21" borderId="0" applyNumberFormat="0" applyBorder="0" applyAlignment="0" applyProtection="0"/>
    <xf numFmtId="187" fontId="41" fillId="21" borderId="0" applyNumberFormat="0" applyBorder="0" applyAlignment="0" applyProtection="0"/>
    <xf numFmtId="185" fontId="41" fillId="21" borderId="0" applyNumberFormat="0" applyBorder="0" applyAlignment="0" applyProtection="0"/>
    <xf numFmtId="186" fontId="41" fillId="21" borderId="0" applyNumberFormat="0" applyBorder="0" applyAlignment="0" applyProtection="0"/>
    <xf numFmtId="186" fontId="41" fillId="21" borderId="0" applyNumberFormat="0" applyBorder="0" applyAlignment="0" applyProtection="0"/>
    <xf numFmtId="185" fontId="41" fillId="21" borderId="0" applyNumberFormat="0" applyBorder="0" applyAlignment="0" applyProtection="0"/>
    <xf numFmtId="186" fontId="41" fillId="21" borderId="0" applyNumberFormat="0" applyBorder="0" applyAlignment="0" applyProtection="0"/>
    <xf numFmtId="0" fontId="41" fillId="21" borderId="0" applyNumberFormat="0" applyBorder="0" applyAlignment="0" applyProtection="0"/>
    <xf numFmtId="186" fontId="41" fillId="21" borderId="0" applyNumberFormat="0" applyBorder="0" applyAlignment="0" applyProtection="0"/>
    <xf numFmtId="189" fontId="41" fillId="21" borderId="0" applyNumberFormat="0" applyBorder="0" applyAlignment="0" applyProtection="0"/>
    <xf numFmtId="0" fontId="41" fillId="21" borderId="0" applyNumberFormat="0" applyBorder="0" applyAlignment="0" applyProtection="0"/>
    <xf numFmtId="186" fontId="41" fillId="21" borderId="0" applyNumberFormat="0" applyBorder="0" applyAlignment="0" applyProtection="0"/>
    <xf numFmtId="186" fontId="41" fillId="21" borderId="0" applyNumberFormat="0" applyBorder="0" applyAlignment="0" applyProtection="0"/>
    <xf numFmtId="0" fontId="41" fillId="21" borderId="0" applyNumberFormat="0" applyBorder="0" applyAlignment="0" applyProtection="0"/>
    <xf numFmtId="186" fontId="41" fillId="21" borderId="0" applyNumberFormat="0" applyBorder="0" applyAlignment="0" applyProtection="0"/>
    <xf numFmtId="0" fontId="41" fillId="21" borderId="0" applyNumberFormat="0" applyBorder="0" applyAlignment="0" applyProtection="0"/>
    <xf numFmtId="186" fontId="41" fillId="21" borderId="0" applyNumberFormat="0" applyBorder="0" applyAlignment="0" applyProtection="0"/>
    <xf numFmtId="186" fontId="41" fillId="21"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95" fillId="65" borderId="0" applyNumberFormat="0" applyBorder="0" applyAlignment="0" applyProtection="0"/>
    <xf numFmtId="186" fontId="95" fillId="65"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0" fontId="41" fillId="94" borderId="0" applyNumberFormat="0" applyBorder="0" applyAlignment="0" applyProtection="0"/>
    <xf numFmtId="186" fontId="41" fillId="94" borderId="0" applyNumberFormat="0" applyBorder="0" applyAlignment="0" applyProtection="0"/>
    <xf numFmtId="186"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184" fontId="95" fillId="65"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0" fontId="41" fillId="94"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4" fontId="41" fillId="94" borderId="0" applyNumberFormat="0" applyBorder="0" applyAlignment="0" applyProtection="0"/>
    <xf numFmtId="0"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9"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9"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0"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7" fontId="95" fillId="65" borderId="0" applyNumberFormat="0" applyBorder="0" applyAlignment="0" applyProtection="0"/>
    <xf numFmtId="185"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186" fontId="95" fillId="65"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9" fontId="41" fillId="93" borderId="0" applyNumberFormat="0" applyBorder="0" applyAlignment="0" applyProtection="0"/>
    <xf numFmtId="0"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4" fontId="41" fillId="94"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7"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7" fontId="41" fillId="93"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7" fontId="41" fillId="93" borderId="0" applyNumberFormat="0" applyBorder="0" applyAlignment="0" applyProtection="0"/>
    <xf numFmtId="0"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0" fontId="41" fillId="94" borderId="0" applyNumberFormat="0" applyBorder="0" applyAlignment="0" applyProtection="0"/>
    <xf numFmtId="185" fontId="41" fillId="94" borderId="0" applyNumberFormat="0" applyBorder="0" applyAlignment="0" applyProtection="0"/>
    <xf numFmtId="186" fontId="41" fillId="94" borderId="0" applyNumberFormat="0" applyBorder="0" applyAlignment="0" applyProtection="0"/>
    <xf numFmtId="186" fontId="41" fillId="94"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7"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187" fontId="41" fillId="93" borderId="0" applyNumberFormat="0" applyBorder="0" applyAlignment="0" applyProtection="0"/>
    <xf numFmtId="185" fontId="41" fillId="93" borderId="0" applyNumberFormat="0" applyBorder="0" applyAlignment="0" applyProtection="0"/>
    <xf numFmtId="186" fontId="41" fillId="93" borderId="0" applyNumberFormat="0" applyBorder="0" applyAlignment="0" applyProtection="0"/>
    <xf numFmtId="186" fontId="41" fillId="93"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41" fillId="19" borderId="0" applyNumberFormat="0" applyBorder="0" applyAlignment="0" applyProtection="0"/>
    <xf numFmtId="185" fontId="41" fillId="19" borderId="0" applyNumberFormat="0" applyBorder="0" applyAlignment="0" applyProtection="0"/>
    <xf numFmtId="186" fontId="41" fillId="19" borderId="0" applyNumberFormat="0" applyBorder="0" applyAlignment="0" applyProtection="0"/>
    <xf numFmtId="186" fontId="41" fillId="19" borderId="0" applyNumberFormat="0" applyBorder="0" applyAlignment="0" applyProtection="0"/>
    <xf numFmtId="0" fontId="25" fillId="0" borderId="0" applyNumberFormat="0" applyAlignment="0"/>
    <xf numFmtId="0" fontId="25" fillId="0" borderId="0" applyNumberFormat="0" applyAlignment="0"/>
    <xf numFmtId="185" fontId="25" fillId="0" borderId="0" applyNumberFormat="0" applyAlignment="0"/>
    <xf numFmtId="186" fontId="25" fillId="0" borderId="0" applyNumberFormat="0" applyAlignment="0"/>
    <xf numFmtId="187" fontId="25" fillId="0" borderId="0" applyNumberFormat="0" applyAlignment="0"/>
    <xf numFmtId="185" fontId="25" fillId="0" borderId="0" applyNumberFormat="0" applyAlignment="0"/>
    <xf numFmtId="186" fontId="25" fillId="0" borderId="0" applyNumberFormat="0" applyAlignment="0"/>
    <xf numFmtId="186" fontId="25" fillId="0" borderId="0" applyNumberFormat="0" applyAlignment="0"/>
    <xf numFmtId="186" fontId="25" fillId="0" borderId="0" applyNumberFormat="0" applyAlignment="0"/>
    <xf numFmtId="187" fontId="25" fillId="0" borderId="0" applyNumberFormat="0" applyAlignment="0"/>
    <xf numFmtId="185" fontId="25" fillId="0" borderId="0" applyNumberFormat="0" applyAlignment="0"/>
    <xf numFmtId="186" fontId="25" fillId="0" borderId="0" applyNumberFormat="0" applyAlignment="0"/>
    <xf numFmtId="186" fontId="25" fillId="0" borderId="0" applyNumberFormat="0" applyAlignment="0"/>
    <xf numFmtId="185" fontId="25" fillId="0" borderId="0" applyNumberFormat="0" applyAlignment="0"/>
    <xf numFmtId="186" fontId="25" fillId="0" borderId="0" applyNumberFormat="0" applyAlignment="0"/>
    <xf numFmtId="189" fontId="25" fillId="0" borderId="0" applyNumberFormat="0" applyAlignment="0"/>
    <xf numFmtId="186" fontId="25" fillId="0" borderId="0" applyNumberFormat="0" applyAlignment="0"/>
    <xf numFmtId="186" fontId="25" fillId="0" borderId="0" applyNumberFormat="0" applyAlignment="0"/>
    <xf numFmtId="190" fontId="24" fillId="95" borderId="30">
      <alignment horizontal="center" vertical="center"/>
    </xf>
    <xf numFmtId="191" fontId="96" fillId="95" borderId="30">
      <alignment horizontal="center" vertical="center"/>
    </xf>
    <xf numFmtId="190" fontId="24" fillId="95" borderId="30">
      <alignment horizontal="center" vertical="center"/>
    </xf>
    <xf numFmtId="0" fontId="33" fillId="0" borderId="0">
      <alignment horizontal="center" wrapText="1"/>
      <protection locked="0"/>
    </xf>
    <xf numFmtId="0" fontId="33" fillId="0" borderId="0">
      <alignment horizontal="center" wrapText="1"/>
      <protection locked="0"/>
    </xf>
    <xf numFmtId="185"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5" fontId="33" fillId="0" borderId="0">
      <alignment horizontal="center" wrapText="1"/>
      <protection locked="0"/>
    </xf>
    <xf numFmtId="186" fontId="33" fillId="0" borderId="0">
      <alignment horizontal="center" wrapText="1"/>
      <protection locked="0"/>
    </xf>
    <xf numFmtId="186"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5" fontId="33" fillId="0" borderId="0">
      <alignment horizontal="center" wrapText="1"/>
      <protection locked="0"/>
    </xf>
    <xf numFmtId="186" fontId="33" fillId="0" borderId="0">
      <alignment horizontal="center" wrapText="1"/>
      <protection locked="0"/>
    </xf>
    <xf numFmtId="186" fontId="33" fillId="0" borderId="0">
      <alignment horizontal="center" wrapText="1"/>
      <protection locked="0"/>
    </xf>
    <xf numFmtId="187" fontId="33" fillId="0" borderId="0">
      <alignment horizontal="center" wrapText="1"/>
      <protection locked="0"/>
    </xf>
    <xf numFmtId="185" fontId="33" fillId="0" borderId="0">
      <alignment horizontal="center" wrapText="1"/>
      <protection locked="0"/>
    </xf>
    <xf numFmtId="186" fontId="33" fillId="0" borderId="0">
      <alignment horizontal="center" wrapText="1"/>
      <protection locked="0"/>
    </xf>
    <xf numFmtId="186" fontId="33" fillId="0" borderId="0">
      <alignment horizontal="center" wrapText="1"/>
      <protection locked="0"/>
    </xf>
    <xf numFmtId="185" fontId="33" fillId="0" borderId="0">
      <alignment horizontal="center" wrapText="1"/>
      <protection locked="0"/>
    </xf>
    <xf numFmtId="186" fontId="33" fillId="0" borderId="0">
      <alignment horizontal="center" wrapText="1"/>
      <protection locked="0"/>
    </xf>
    <xf numFmtId="189" fontId="33" fillId="0" borderId="0">
      <alignment horizontal="center" wrapText="1"/>
      <protection locked="0"/>
    </xf>
    <xf numFmtId="186" fontId="33" fillId="0" borderId="0">
      <alignment horizontal="center" wrapText="1"/>
      <protection locked="0"/>
    </xf>
    <xf numFmtId="186" fontId="33" fillId="0" borderId="0">
      <alignment horizontal="center" wrapText="1"/>
      <protection locked="0"/>
    </xf>
    <xf numFmtId="0" fontId="102" fillId="2" borderId="0" applyNumberFormat="0" applyBorder="0" applyAlignment="0" applyProtection="0"/>
    <xf numFmtId="0"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4" fontId="103" fillId="20" borderId="0" applyNumberFormat="0" applyBorder="0" applyAlignment="0" applyProtection="0"/>
    <xf numFmtId="0" fontId="86" fillId="39"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189" fontId="104" fillId="13" borderId="0" applyNumberFormat="0" applyBorder="0" applyAlignment="0" applyProtection="0"/>
    <xf numFmtId="186" fontId="104" fillId="13" borderId="0" applyNumberFormat="0" applyBorder="0" applyAlignment="0" applyProtection="0"/>
    <xf numFmtId="186" fontId="86" fillId="39" borderId="0" applyNumberFormat="0" applyBorder="0" applyAlignment="0" applyProtection="0"/>
    <xf numFmtId="0"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0"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0" fontId="103" fillId="20"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5" fontId="103" fillId="20" borderId="0" applyNumberFormat="0" applyBorder="0" applyAlignment="0" applyProtection="0"/>
    <xf numFmtId="186" fontId="103" fillId="20" borderId="0" applyNumberFormat="0" applyBorder="0" applyAlignment="0" applyProtection="0"/>
    <xf numFmtId="186" fontId="103" fillId="20"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9" fontId="104" fillId="13" borderId="0" applyNumberFormat="0" applyBorder="0" applyAlignment="0" applyProtection="0"/>
    <xf numFmtId="0" fontId="102" fillId="2" borderId="0" applyNumberFormat="0" applyBorder="0" applyAlignment="0" applyProtection="0"/>
    <xf numFmtId="186" fontId="102" fillId="2" borderId="0" applyNumberFormat="0" applyBorder="0" applyAlignment="0" applyProtection="0"/>
    <xf numFmtId="186" fontId="104" fillId="13" borderId="0" applyNumberFormat="0" applyBorder="0" applyAlignment="0" applyProtection="0"/>
    <xf numFmtId="0" fontId="102" fillId="2"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0" fontId="102" fillId="2"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7" fontId="86" fillId="39" borderId="0" applyNumberFormat="0" applyBorder="0" applyAlignment="0" applyProtection="0"/>
    <xf numFmtId="185"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0" fontId="102" fillId="2" borderId="0" applyNumberFormat="0" applyBorder="0" applyAlignment="0" applyProtection="0"/>
    <xf numFmtId="0" fontId="104" fillId="13" borderId="0" applyNumberFormat="0" applyBorder="0" applyAlignment="0" applyProtection="0"/>
    <xf numFmtId="0" fontId="102" fillId="2"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7" fontId="102" fillId="2" borderId="0" applyNumberFormat="0" applyBorder="0" applyAlignment="0" applyProtection="0"/>
    <xf numFmtId="185"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6" fontId="102" fillId="2" borderId="0" applyNumberFormat="0" applyBorder="0" applyAlignment="0" applyProtection="0"/>
    <xf numFmtId="187" fontId="104" fillId="13" borderId="0" applyNumberFormat="0" applyBorder="0" applyAlignment="0" applyProtection="0"/>
    <xf numFmtId="185" fontId="104" fillId="13" borderId="0" applyNumberFormat="0" applyBorder="0" applyAlignment="0" applyProtection="0"/>
    <xf numFmtId="186" fontId="104" fillId="13" borderId="0" applyNumberFormat="0" applyBorder="0" applyAlignment="0" applyProtection="0"/>
    <xf numFmtId="186" fontId="104" fillId="13" borderId="0" applyNumberFormat="0" applyBorder="0" applyAlignment="0" applyProtection="0"/>
    <xf numFmtId="0" fontId="86" fillId="39" borderId="0" applyNumberFormat="0" applyBorder="0" applyAlignment="0" applyProtection="0"/>
    <xf numFmtId="186" fontId="86" fillId="39" borderId="0" applyNumberFormat="0" applyBorder="0" applyAlignment="0" applyProtection="0"/>
    <xf numFmtId="186" fontId="86" fillId="39" borderId="0" applyNumberFormat="0" applyBorder="0" applyAlignment="0" applyProtection="0"/>
    <xf numFmtId="184" fontId="86" fillId="39" borderId="0" applyNumberFormat="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185"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85" fontId="105" fillId="0" borderId="0" applyNumberFormat="0" applyFill="0" applyBorder="0" applyAlignment="0" applyProtection="0"/>
    <xf numFmtId="186" fontId="105" fillId="0" borderId="0" applyNumberFormat="0" applyFill="0" applyBorder="0" applyAlignment="0" applyProtection="0"/>
    <xf numFmtId="186" fontId="105" fillId="0" borderId="0" applyNumberFormat="0" applyFill="0" applyBorder="0" applyAlignment="0" applyProtection="0"/>
    <xf numFmtId="186" fontId="105" fillId="0" borderId="0" applyNumberFormat="0" applyFill="0" applyBorder="0" applyAlignment="0" applyProtection="0"/>
    <xf numFmtId="187" fontId="105" fillId="0" borderId="0" applyNumberFormat="0" applyFill="0" applyBorder="0" applyAlignment="0" applyProtection="0"/>
    <xf numFmtId="185" fontId="105" fillId="0" borderId="0" applyNumberFormat="0" applyFill="0" applyBorder="0" applyAlignment="0" applyProtection="0"/>
    <xf numFmtId="186" fontId="105" fillId="0" borderId="0" applyNumberFormat="0" applyFill="0" applyBorder="0" applyAlignment="0" applyProtection="0"/>
    <xf numFmtId="186" fontId="105" fillId="0" borderId="0" applyNumberFormat="0" applyFill="0" applyBorder="0" applyAlignment="0" applyProtection="0"/>
    <xf numFmtId="185" fontId="105" fillId="0" borderId="0" applyNumberFormat="0" applyFill="0" applyBorder="0" applyAlignment="0" applyProtection="0"/>
    <xf numFmtId="186" fontId="105" fillId="0" borderId="0" applyNumberFormat="0" applyFill="0" applyBorder="0" applyAlignment="0" applyProtection="0"/>
    <xf numFmtId="189" fontId="105" fillId="0" borderId="0" applyNumberFormat="0" applyFill="0" applyBorder="0" applyAlignment="0" applyProtection="0"/>
    <xf numFmtId="186" fontId="105" fillId="0" borderId="0" applyNumberFormat="0" applyFill="0" applyBorder="0" applyAlignment="0" applyProtection="0"/>
    <xf numFmtId="186" fontId="105" fillId="0" borderId="0" applyNumberFormat="0" applyFill="0" applyBorder="0" applyAlignment="0" applyProtection="0"/>
    <xf numFmtId="171" fontId="106" fillId="0" borderId="3" applyFont="0"/>
    <xf numFmtId="1" fontId="106" fillId="0" borderId="3"/>
    <xf numFmtId="9" fontId="107" fillId="0" borderId="29" applyNumberFormat="0" applyBorder="0">
      <alignment horizontal="right"/>
    </xf>
    <xf numFmtId="165" fontId="23" fillId="0" borderId="0" applyFill="0" applyBorder="0" applyAlignment="0"/>
    <xf numFmtId="165" fontId="23" fillId="0" borderId="0" applyFill="0" applyBorder="0" applyAlignment="0"/>
    <xf numFmtId="165" fontId="23" fillId="0" borderId="0" applyFill="0" applyBorder="0" applyAlignment="0"/>
    <xf numFmtId="165" fontId="23" fillId="0" borderId="0" applyFill="0" applyBorder="0" applyAlignment="0"/>
    <xf numFmtId="184" fontId="90" fillId="42" borderId="23" applyNumberFormat="0" applyAlignment="0" applyProtection="0"/>
    <xf numFmtId="0" fontId="108" fillId="75" borderId="31" applyNumberFormat="0" applyAlignment="0" applyProtection="0"/>
    <xf numFmtId="0" fontId="108" fillId="75" borderId="31" applyNumberFormat="0" applyAlignment="0" applyProtection="0"/>
    <xf numFmtId="0" fontId="108" fillId="75" borderId="31" applyNumberFormat="0" applyAlignment="0" applyProtection="0"/>
    <xf numFmtId="186" fontId="108" fillId="75" borderId="31" applyNumberFormat="0" applyAlignment="0" applyProtection="0"/>
    <xf numFmtId="0" fontId="109" fillId="96" borderId="32" applyNumberFormat="0" applyAlignment="0" applyProtection="0"/>
    <xf numFmtId="186" fontId="109" fillId="96" borderId="32" applyNumberFormat="0" applyAlignment="0" applyProtection="0"/>
    <xf numFmtId="186" fontId="108" fillId="75" borderId="31" applyNumberFormat="0" applyAlignment="0" applyProtection="0"/>
    <xf numFmtId="184" fontId="109" fillId="96" borderId="32" applyNumberFormat="0" applyAlignment="0" applyProtection="0"/>
    <xf numFmtId="0" fontId="90" fillId="42" borderId="23" applyNumberFormat="0" applyAlignment="0" applyProtection="0"/>
    <xf numFmtId="185"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5"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0"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109" fillId="96" borderId="32"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5" fontId="109" fillId="96" borderId="32" applyNumberFormat="0" applyAlignment="0" applyProtection="0"/>
    <xf numFmtId="185" fontId="109" fillId="96" borderId="32" applyNumberFormat="0" applyAlignment="0" applyProtection="0"/>
    <xf numFmtId="185" fontId="109" fillId="96" borderId="32" applyNumberFormat="0" applyAlignment="0" applyProtection="0"/>
    <xf numFmtId="185"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5"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5" fontId="109" fillId="96" borderId="32" applyNumberFormat="0" applyAlignment="0" applyProtection="0"/>
    <xf numFmtId="185"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5"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0"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0" fontId="109" fillId="96" borderId="32" applyNumberFormat="0" applyAlignment="0" applyProtection="0"/>
    <xf numFmtId="0"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0" fontId="109" fillId="96" borderId="32" applyNumberFormat="0" applyAlignment="0" applyProtection="0"/>
    <xf numFmtId="186" fontId="109" fillId="96" borderId="32" applyNumberFormat="0" applyAlignment="0" applyProtection="0"/>
    <xf numFmtId="186" fontId="109" fillId="96" borderId="32" applyNumberFormat="0" applyAlignment="0" applyProtection="0"/>
    <xf numFmtId="185" fontId="108" fillId="75" borderId="31" applyNumberFormat="0" applyAlignment="0" applyProtection="0"/>
    <xf numFmtId="185"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5" fontId="108" fillId="75" borderId="31" applyNumberFormat="0" applyAlignment="0" applyProtection="0"/>
    <xf numFmtId="185"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9" fontId="110" fillId="97" borderId="31" applyNumberFormat="0" applyAlignment="0" applyProtection="0"/>
    <xf numFmtId="0" fontId="108" fillId="75" borderId="31" applyNumberFormat="0" applyAlignment="0" applyProtection="0"/>
    <xf numFmtId="0"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0" fontId="108" fillId="75" borderId="31" applyNumberFormat="0" applyAlignment="0" applyProtection="0"/>
    <xf numFmtId="186" fontId="108" fillId="75" borderId="31" applyNumberFormat="0" applyAlignment="0" applyProtection="0"/>
    <xf numFmtId="189"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108" fillId="75"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5"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5"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0" fontId="108" fillId="75" borderId="31" applyNumberFormat="0" applyAlignment="0" applyProtection="0"/>
    <xf numFmtId="185" fontId="90" fillId="42" borderId="23" applyNumberFormat="0" applyAlignment="0" applyProtection="0"/>
    <xf numFmtId="186" fontId="90" fillId="42" borderId="23" applyNumberFormat="0" applyAlignment="0" applyProtection="0"/>
    <xf numFmtId="187" fontId="90" fillId="42" borderId="23" applyNumberFormat="0" applyAlignment="0" applyProtection="0"/>
    <xf numFmtId="185"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186" fontId="90" fillId="42" borderId="23" applyNumberFormat="0" applyAlignment="0" applyProtection="0"/>
    <xf numFmtId="0" fontId="108" fillId="75" borderId="31" applyNumberFormat="0" applyAlignment="0" applyProtection="0"/>
    <xf numFmtId="185" fontId="108" fillId="75" borderId="31" applyNumberFormat="0" applyAlignment="0" applyProtection="0"/>
    <xf numFmtId="185"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5" fontId="108" fillId="75" borderId="31" applyNumberFormat="0" applyAlignment="0" applyProtection="0"/>
    <xf numFmtId="185"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0" fontId="108" fillId="75" borderId="31" applyNumberFormat="0" applyAlignment="0" applyProtection="0"/>
    <xf numFmtId="186" fontId="108" fillId="75" borderId="31" applyNumberFormat="0" applyAlignment="0" applyProtection="0"/>
    <xf numFmtId="186" fontId="108" fillId="75" borderId="31" applyNumberFormat="0" applyAlignment="0" applyProtection="0"/>
    <xf numFmtId="187" fontId="110" fillId="97" borderId="31" applyNumberFormat="0" applyAlignment="0" applyProtection="0"/>
    <xf numFmtId="185" fontId="110" fillId="97" borderId="31" applyNumberFormat="0" applyAlignment="0" applyProtection="0"/>
    <xf numFmtId="185"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187" fontId="110" fillId="97" borderId="31" applyNumberFormat="0" applyAlignment="0" applyProtection="0"/>
    <xf numFmtId="186" fontId="110" fillId="97" borderId="31" applyNumberFormat="0" applyAlignment="0" applyProtection="0"/>
    <xf numFmtId="186" fontId="110" fillId="97" borderId="31" applyNumberFormat="0" applyAlignment="0" applyProtection="0"/>
    <xf numFmtId="0" fontId="90" fillId="42" borderId="23" applyNumberFormat="0" applyAlignment="0" applyProtection="0"/>
    <xf numFmtId="186" fontId="90" fillId="42" borderId="23" applyNumberFormat="0" applyAlignment="0" applyProtection="0"/>
    <xf numFmtId="0" fontId="109" fillId="96" borderId="32" applyNumberFormat="0" applyAlignment="0" applyProtection="0"/>
    <xf numFmtId="186" fontId="109" fillId="96" borderId="32" applyNumberFormat="0" applyAlignment="0" applyProtection="0"/>
    <xf numFmtId="186" fontId="90" fillId="42" borderId="23" applyNumberFormat="0" applyAlignment="0" applyProtection="0"/>
    <xf numFmtId="0" fontId="111" fillId="0" borderId="0" applyNumberFormat="0" applyFont="0" applyFill="0" applyBorder="0" applyProtection="0">
      <alignment horizontal="centerContinuous"/>
    </xf>
    <xf numFmtId="185"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87" fontId="111" fillId="0" borderId="0" applyNumberFormat="0" applyFont="0" applyFill="0" applyBorder="0" applyProtection="0">
      <alignment horizontal="centerContinuous"/>
    </xf>
    <xf numFmtId="185"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86" fontId="111" fillId="0" borderId="0" applyNumberFormat="0" applyFont="0" applyFill="0" applyBorder="0" applyProtection="0">
      <alignment horizontal="centerContinuous"/>
    </xf>
    <xf numFmtId="192" fontId="111" fillId="0" borderId="0" applyNumberFormat="0" applyFont="0" applyFill="0" applyBorder="0" applyProtection="0">
      <alignment horizontal="centerContinuous" wrapText="1"/>
    </xf>
    <xf numFmtId="193" fontId="23" fillId="0" borderId="0"/>
    <xf numFmtId="0" fontId="112" fillId="98" borderId="33" applyNumberFormat="0" applyAlignment="0" applyProtection="0"/>
    <xf numFmtId="0" fontId="112" fillId="98" borderId="33" applyNumberFormat="0" applyAlignment="0" applyProtection="0"/>
    <xf numFmtId="186" fontId="112" fillId="98" borderId="33" applyNumberFormat="0" applyAlignment="0" applyProtection="0"/>
    <xf numFmtId="186" fontId="112" fillId="98" borderId="33" applyNumberFormat="0" applyAlignment="0" applyProtection="0"/>
    <xf numFmtId="184" fontId="112" fillId="90" borderId="33" applyNumberFormat="0" applyAlignment="0" applyProtection="0"/>
    <xf numFmtId="0" fontId="92" fillId="43" borderId="26" applyNumberFormat="0" applyAlignment="0" applyProtection="0"/>
    <xf numFmtId="185"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5"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0"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0"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7"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0" fontId="112" fillId="90" borderId="33" applyNumberFormat="0" applyAlignment="0" applyProtection="0"/>
    <xf numFmtId="185" fontId="112" fillId="14" borderId="33" applyNumberFormat="0" applyAlignment="0" applyProtection="0"/>
    <xf numFmtId="186" fontId="112" fillId="14" borderId="33" applyNumberFormat="0" applyAlignment="0" applyProtection="0"/>
    <xf numFmtId="185" fontId="112" fillId="90" borderId="33" applyNumberFormat="0" applyAlignment="0" applyProtection="0"/>
    <xf numFmtId="186" fontId="112" fillId="90" borderId="33" applyNumberFormat="0" applyAlignment="0" applyProtection="0"/>
    <xf numFmtId="186" fontId="112" fillId="90" borderId="33" applyNumberFormat="0" applyAlignment="0" applyProtection="0"/>
    <xf numFmtId="185" fontId="112" fillId="98" borderId="33" applyNumberFormat="0" applyAlignment="0" applyProtection="0"/>
    <xf numFmtId="186" fontId="112" fillId="98" borderId="33" applyNumberFormat="0" applyAlignment="0" applyProtection="0"/>
    <xf numFmtId="187" fontId="112" fillId="98" borderId="33" applyNumberFormat="0" applyAlignment="0" applyProtection="0"/>
    <xf numFmtId="185" fontId="112" fillId="98" borderId="33" applyNumberFormat="0" applyAlignment="0" applyProtection="0"/>
    <xf numFmtId="186" fontId="112" fillId="98" borderId="33" applyNumberFormat="0" applyAlignment="0" applyProtection="0"/>
    <xf numFmtId="186" fontId="112" fillId="98" borderId="33" applyNumberFormat="0" applyAlignment="0" applyProtection="0"/>
    <xf numFmtId="189" fontId="112" fillId="14" borderId="33" applyNumberFormat="0" applyAlignment="0" applyProtection="0"/>
    <xf numFmtId="0" fontId="112" fillId="98" borderId="33" applyNumberFormat="0" applyAlignment="0" applyProtection="0"/>
    <xf numFmtId="186" fontId="112" fillId="98" borderId="33" applyNumberFormat="0" applyAlignment="0" applyProtection="0"/>
    <xf numFmtId="186" fontId="112" fillId="14" borderId="33" applyNumberFormat="0" applyAlignment="0" applyProtection="0"/>
    <xf numFmtId="0" fontId="112" fillId="98" borderId="33" applyNumberFormat="0" applyAlignment="0" applyProtection="0"/>
    <xf numFmtId="185" fontId="112" fillId="14" borderId="33" applyNumberFormat="0" applyAlignment="0" applyProtection="0"/>
    <xf numFmtId="186" fontId="112" fillId="14" borderId="33" applyNumberFormat="0" applyAlignment="0" applyProtection="0"/>
    <xf numFmtId="185"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5"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0" fontId="112" fillId="98" borderId="33" applyNumberFormat="0" applyAlignment="0" applyProtection="0"/>
    <xf numFmtId="185" fontId="92" fillId="43" borderId="26" applyNumberFormat="0" applyAlignment="0" applyProtection="0"/>
    <xf numFmtId="186" fontId="92" fillId="43" borderId="26" applyNumberFormat="0" applyAlignment="0" applyProtection="0"/>
    <xf numFmtId="187" fontId="92" fillId="43" borderId="26" applyNumberFormat="0" applyAlignment="0" applyProtection="0"/>
    <xf numFmtId="185"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0" fontId="112" fillId="98" borderId="33" applyNumberFormat="0" applyAlignment="0" applyProtection="0"/>
    <xf numFmtId="185" fontId="112" fillId="98" borderId="33" applyNumberFormat="0" applyAlignment="0" applyProtection="0"/>
    <xf numFmtId="186" fontId="112" fillId="98" borderId="33" applyNumberFormat="0" applyAlignment="0" applyProtection="0"/>
    <xf numFmtId="187" fontId="112" fillId="98" borderId="33" applyNumberFormat="0" applyAlignment="0" applyProtection="0"/>
    <xf numFmtId="185" fontId="112" fillId="98" borderId="33" applyNumberFormat="0" applyAlignment="0" applyProtection="0"/>
    <xf numFmtId="186" fontId="112" fillId="98" borderId="33" applyNumberFormat="0" applyAlignment="0" applyProtection="0"/>
    <xf numFmtId="186" fontId="112" fillId="98" borderId="33" applyNumberFormat="0" applyAlignment="0" applyProtection="0"/>
    <xf numFmtId="186" fontId="112" fillId="98" borderId="33" applyNumberFormat="0" applyAlignment="0" applyProtection="0"/>
    <xf numFmtId="187" fontId="112" fillId="14" borderId="33" applyNumberFormat="0" applyAlignment="0" applyProtection="0"/>
    <xf numFmtId="185" fontId="112" fillId="14" borderId="33" applyNumberFormat="0" applyAlignment="0" applyProtection="0"/>
    <xf numFmtId="186" fontId="112" fillId="14" borderId="33" applyNumberFormat="0" applyAlignment="0" applyProtection="0"/>
    <xf numFmtId="186" fontId="112" fillId="14" borderId="33" applyNumberFormat="0" applyAlignment="0" applyProtection="0"/>
    <xf numFmtId="0" fontId="92" fillId="43" borderId="26" applyNumberFormat="0" applyAlignment="0" applyProtection="0"/>
    <xf numFmtId="186" fontId="92" fillId="43" borderId="26" applyNumberFormat="0" applyAlignment="0" applyProtection="0"/>
    <xf numFmtId="186" fontId="92" fillId="43" borderId="26" applyNumberFormat="0" applyAlignment="0" applyProtection="0"/>
    <xf numFmtId="184" fontId="92" fillId="43" borderId="26" applyNumberFormat="0" applyAlignment="0" applyProtection="0"/>
    <xf numFmtId="41" fontId="23" fillId="0" borderId="0" applyFont="0" applyFill="0" applyBorder="0" applyAlignment="0" applyProtection="0"/>
    <xf numFmtId="41"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177" fontId="23" fillId="0" borderId="0" applyFont="0" applyFill="0" applyBorder="0" applyAlignment="0" applyProtection="0"/>
    <xf numFmtId="177" fontId="23" fillId="0" borderId="0" applyFont="0" applyFill="0" applyBorder="0" applyAlignment="0" applyProtection="0"/>
    <xf numFmtId="43" fontId="23"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5"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43" fontId="43" fillId="0" borderId="0" applyFont="0" applyFill="0" applyBorder="0" applyAlignment="0" applyProtection="0"/>
    <xf numFmtId="0" fontId="113" fillId="0" borderId="0" applyNumberFormat="0" applyAlignment="0">
      <alignment horizontal="left"/>
    </xf>
    <xf numFmtId="0" fontId="113" fillId="0" borderId="0" applyNumberFormat="0" applyAlignment="0">
      <alignment horizontal="left"/>
    </xf>
    <xf numFmtId="185"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5" fontId="113" fillId="0" borderId="0" applyNumberFormat="0" applyAlignment="0">
      <alignment horizontal="left"/>
    </xf>
    <xf numFmtId="186" fontId="113" fillId="0" borderId="0" applyNumberFormat="0" applyAlignment="0">
      <alignment horizontal="left"/>
    </xf>
    <xf numFmtId="186"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5" fontId="113" fillId="0" borderId="0" applyNumberFormat="0" applyAlignment="0">
      <alignment horizontal="left"/>
    </xf>
    <xf numFmtId="186" fontId="113" fillId="0" borderId="0" applyNumberFormat="0" applyAlignment="0">
      <alignment horizontal="left"/>
    </xf>
    <xf numFmtId="186" fontId="113" fillId="0" borderId="0" applyNumberFormat="0" applyAlignment="0">
      <alignment horizontal="left"/>
    </xf>
    <xf numFmtId="187" fontId="113" fillId="0" borderId="0" applyNumberFormat="0" applyAlignment="0">
      <alignment horizontal="left"/>
    </xf>
    <xf numFmtId="185" fontId="113" fillId="0" borderId="0" applyNumberFormat="0" applyAlignment="0">
      <alignment horizontal="left"/>
    </xf>
    <xf numFmtId="186" fontId="113" fillId="0" borderId="0" applyNumberFormat="0" applyAlignment="0">
      <alignment horizontal="left"/>
    </xf>
    <xf numFmtId="186" fontId="113" fillId="0" borderId="0" applyNumberFormat="0" applyAlignment="0">
      <alignment horizontal="left"/>
    </xf>
    <xf numFmtId="185" fontId="113" fillId="0" borderId="0" applyNumberFormat="0" applyAlignment="0">
      <alignment horizontal="left"/>
    </xf>
    <xf numFmtId="186" fontId="113" fillId="0" borderId="0" applyNumberFormat="0" applyAlignment="0">
      <alignment horizontal="left"/>
    </xf>
    <xf numFmtId="189" fontId="113" fillId="0" borderId="0" applyNumberFormat="0" applyAlignment="0">
      <alignment horizontal="left"/>
    </xf>
    <xf numFmtId="186" fontId="113" fillId="0" borderId="0" applyNumberFormat="0" applyAlignment="0">
      <alignment horizontal="left"/>
    </xf>
    <xf numFmtId="186" fontId="113" fillId="0" borderId="0" applyNumberFormat="0" applyAlignment="0">
      <alignment horizontal="left"/>
    </xf>
    <xf numFmtId="194" fontId="106" fillId="0" borderId="3"/>
    <xf numFmtId="44" fontId="40"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195" fontId="23" fillId="0" borderId="0" applyFont="0" applyFill="0" applyBorder="0" applyAlignment="0" applyProtection="0"/>
    <xf numFmtId="195" fontId="23"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43" fillId="0" borderId="0" applyFont="0" applyFill="0" applyBorder="0" applyAlignment="0" applyProtection="0"/>
    <xf numFmtId="44" fontId="43"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96" fontId="114" fillId="0" borderId="0" applyFont="0" applyFill="0" applyBorder="0" applyAlignment="0" applyProtection="0"/>
    <xf numFmtId="6" fontId="115" fillId="0" borderId="0">
      <protection locked="0"/>
    </xf>
    <xf numFmtId="14" fontId="23" fillId="0" borderId="0" applyFont="0" applyFill="0" applyBorder="0" applyAlignment="0" applyProtection="0"/>
    <xf numFmtId="14" fontId="23" fillId="0" borderId="0" applyFont="0" applyFill="0" applyBorder="0" applyAlignment="0" applyProtection="0"/>
    <xf numFmtId="6" fontId="116" fillId="0" borderId="0">
      <protection locked="0"/>
    </xf>
    <xf numFmtId="4" fontId="117" fillId="0" borderId="0" applyFont="0" applyFill="0" applyBorder="0" applyAlignment="0" applyProtection="0"/>
    <xf numFmtId="184" fontId="42" fillId="99" borderId="0" applyNumberFormat="0" applyBorder="0" applyAlignment="0" applyProtection="0"/>
    <xf numFmtId="0" fontId="42" fillId="22" borderId="0" applyNumberFormat="0" applyBorder="0" applyAlignment="0" applyProtection="0"/>
    <xf numFmtId="185" fontId="42" fillId="22"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185" fontId="42" fillId="22" borderId="0" applyNumberFormat="0" applyBorder="0" applyAlignment="0" applyProtection="0"/>
    <xf numFmtId="186" fontId="42" fillId="22" borderId="0" applyNumberFormat="0" applyBorder="0" applyAlignment="0" applyProtection="0"/>
    <xf numFmtId="186" fontId="42" fillId="22" borderId="0" applyNumberFormat="0" applyBorder="0" applyAlignment="0" applyProtection="0"/>
    <xf numFmtId="0" fontId="42" fillId="99" borderId="0" applyNumberFormat="0" applyBorder="0" applyAlignment="0" applyProtection="0"/>
    <xf numFmtId="185" fontId="42" fillId="99" borderId="0" applyNumberFormat="0" applyBorder="0" applyAlignment="0" applyProtection="0"/>
    <xf numFmtId="186" fontId="42" fillId="99" borderId="0" applyNumberFormat="0" applyBorder="0" applyAlignment="0" applyProtection="0"/>
    <xf numFmtId="186" fontId="42" fillId="99" borderId="0" applyNumberFormat="0" applyBorder="0" applyAlignment="0" applyProtection="0"/>
    <xf numFmtId="186" fontId="42" fillId="22" borderId="0" applyNumberFormat="0" applyBorder="0" applyAlignment="0" applyProtection="0"/>
    <xf numFmtId="187" fontId="42" fillId="22" borderId="0" applyNumberFormat="0" applyBorder="0" applyAlignment="0" applyProtection="0"/>
    <xf numFmtId="185" fontId="42" fillId="22" borderId="0" applyNumberFormat="0" applyBorder="0" applyAlignment="0" applyProtection="0"/>
    <xf numFmtId="186" fontId="42" fillId="22" borderId="0" applyNumberFormat="0" applyBorder="0" applyAlignment="0" applyProtection="0"/>
    <xf numFmtId="186" fontId="42" fillId="22" borderId="0" applyNumberFormat="0" applyBorder="0" applyAlignment="0" applyProtection="0"/>
    <xf numFmtId="185" fontId="42" fillId="22" borderId="0" applyNumberFormat="0" applyBorder="0" applyAlignment="0" applyProtection="0"/>
    <xf numFmtId="186" fontId="42" fillId="22" borderId="0" applyNumberFormat="0" applyBorder="0" applyAlignment="0" applyProtection="0"/>
    <xf numFmtId="0" fontId="42" fillId="22" borderId="0" applyNumberFormat="0" applyBorder="0" applyAlignment="0" applyProtection="0"/>
    <xf numFmtId="186" fontId="42" fillId="22" borderId="0" applyNumberFormat="0" applyBorder="0" applyAlignment="0" applyProtection="0"/>
    <xf numFmtId="189" fontId="42" fillId="22" borderId="0" applyNumberFormat="0" applyBorder="0" applyAlignment="0" applyProtection="0"/>
    <xf numFmtId="0" fontId="42" fillId="22" borderId="0" applyNumberFormat="0" applyBorder="0" applyAlignment="0" applyProtection="0"/>
    <xf numFmtId="186" fontId="42" fillId="22" borderId="0" applyNumberFormat="0" applyBorder="0" applyAlignment="0" applyProtection="0"/>
    <xf numFmtId="186" fontId="42" fillId="22" borderId="0" applyNumberFormat="0" applyBorder="0" applyAlignment="0" applyProtection="0"/>
    <xf numFmtId="0" fontId="42" fillId="22" borderId="0" applyNumberFormat="0" applyBorder="0" applyAlignment="0" applyProtection="0"/>
    <xf numFmtId="186" fontId="42" fillId="22" borderId="0" applyNumberFormat="0" applyBorder="0" applyAlignment="0" applyProtection="0"/>
    <xf numFmtId="0" fontId="42" fillId="22" borderId="0" applyNumberFormat="0" applyBorder="0" applyAlignment="0" applyProtection="0"/>
    <xf numFmtId="186" fontId="42" fillId="22" borderId="0" applyNumberFormat="0" applyBorder="0" applyAlignment="0" applyProtection="0"/>
    <xf numFmtId="186" fontId="42" fillId="22" borderId="0" applyNumberFormat="0" applyBorder="0" applyAlignment="0" applyProtection="0"/>
    <xf numFmtId="184" fontId="42" fillId="100" borderId="0" applyNumberFormat="0" applyBorder="0" applyAlignment="0" applyProtection="0"/>
    <xf numFmtId="0" fontId="42" fillId="23" borderId="0" applyNumberFormat="0" applyBorder="0" applyAlignment="0" applyProtection="0"/>
    <xf numFmtId="185" fontId="42" fillId="23"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185" fontId="42" fillId="23" borderId="0" applyNumberFormat="0" applyBorder="0" applyAlignment="0" applyProtection="0"/>
    <xf numFmtId="186" fontId="42" fillId="23" borderId="0" applyNumberFormat="0" applyBorder="0" applyAlignment="0" applyProtection="0"/>
    <xf numFmtId="186" fontId="42" fillId="23" borderId="0" applyNumberFormat="0" applyBorder="0" applyAlignment="0" applyProtection="0"/>
    <xf numFmtId="0" fontId="42" fillId="100" borderId="0" applyNumberFormat="0" applyBorder="0" applyAlignment="0" applyProtection="0"/>
    <xf numFmtId="185" fontId="42" fillId="100" borderId="0" applyNumberFormat="0" applyBorder="0" applyAlignment="0" applyProtection="0"/>
    <xf numFmtId="186" fontId="42" fillId="100" borderId="0" applyNumberFormat="0" applyBorder="0" applyAlignment="0" applyProtection="0"/>
    <xf numFmtId="186" fontId="42" fillId="100" borderId="0" applyNumberFormat="0" applyBorder="0" applyAlignment="0" applyProtection="0"/>
    <xf numFmtId="186" fontId="42" fillId="23" borderId="0" applyNumberFormat="0" applyBorder="0" applyAlignment="0" applyProtection="0"/>
    <xf numFmtId="187" fontId="42" fillId="23" borderId="0" applyNumberFormat="0" applyBorder="0" applyAlignment="0" applyProtection="0"/>
    <xf numFmtId="185" fontId="42" fillId="23" borderId="0" applyNumberFormat="0" applyBorder="0" applyAlignment="0" applyProtection="0"/>
    <xf numFmtId="186" fontId="42" fillId="23" borderId="0" applyNumberFormat="0" applyBorder="0" applyAlignment="0" applyProtection="0"/>
    <xf numFmtId="186" fontId="42" fillId="23" borderId="0" applyNumberFormat="0" applyBorder="0" applyAlignment="0" applyProtection="0"/>
    <xf numFmtId="185" fontId="42" fillId="23" borderId="0" applyNumberFormat="0" applyBorder="0" applyAlignment="0" applyProtection="0"/>
    <xf numFmtId="186" fontId="42" fillId="23" borderId="0" applyNumberFormat="0" applyBorder="0" applyAlignment="0" applyProtection="0"/>
    <xf numFmtId="0" fontId="42" fillId="23" borderId="0" applyNumberFormat="0" applyBorder="0" applyAlignment="0" applyProtection="0"/>
    <xf numFmtId="186" fontId="42" fillId="23" borderId="0" applyNumberFormat="0" applyBorder="0" applyAlignment="0" applyProtection="0"/>
    <xf numFmtId="189" fontId="42" fillId="23" borderId="0" applyNumberFormat="0" applyBorder="0" applyAlignment="0" applyProtection="0"/>
    <xf numFmtId="0" fontId="42" fillId="23" borderId="0" applyNumberFormat="0" applyBorder="0" applyAlignment="0" applyProtection="0"/>
    <xf numFmtId="186" fontId="42" fillId="23" borderId="0" applyNumberFormat="0" applyBorder="0" applyAlignment="0" applyProtection="0"/>
    <xf numFmtId="186" fontId="42" fillId="23" borderId="0" applyNumberFormat="0" applyBorder="0" applyAlignment="0" applyProtection="0"/>
    <xf numFmtId="0" fontId="42" fillId="23" borderId="0" applyNumberFormat="0" applyBorder="0" applyAlignment="0" applyProtection="0"/>
    <xf numFmtId="186" fontId="42" fillId="23" borderId="0" applyNumberFormat="0" applyBorder="0" applyAlignment="0" applyProtection="0"/>
    <xf numFmtId="0" fontId="42" fillId="23" borderId="0" applyNumberFormat="0" applyBorder="0" applyAlignment="0" applyProtection="0"/>
    <xf numFmtId="186" fontId="42" fillId="23" borderId="0" applyNumberFormat="0" applyBorder="0" applyAlignment="0" applyProtection="0"/>
    <xf numFmtId="186" fontId="42" fillId="23" borderId="0" applyNumberFormat="0" applyBorder="0" applyAlignment="0" applyProtection="0"/>
    <xf numFmtId="0" fontId="42" fillId="24" borderId="0" applyNumberFormat="0" applyBorder="0" applyAlignment="0" applyProtection="0"/>
    <xf numFmtId="185"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85" fontId="42" fillId="24" borderId="0" applyNumberFormat="0" applyBorder="0" applyAlignment="0" applyProtection="0"/>
    <xf numFmtId="186" fontId="42" fillId="24" borderId="0" applyNumberFormat="0" applyBorder="0" applyAlignment="0" applyProtection="0"/>
    <xf numFmtId="186" fontId="42" fillId="24" borderId="0" applyNumberFormat="0" applyBorder="0" applyAlignment="0" applyProtection="0"/>
    <xf numFmtId="186" fontId="42" fillId="24" borderId="0" applyNumberFormat="0" applyBorder="0" applyAlignment="0" applyProtection="0"/>
    <xf numFmtId="187" fontId="42" fillId="24" borderId="0" applyNumberFormat="0" applyBorder="0" applyAlignment="0" applyProtection="0"/>
    <xf numFmtId="185" fontId="42" fillId="24" borderId="0" applyNumberFormat="0" applyBorder="0" applyAlignment="0" applyProtection="0"/>
    <xf numFmtId="186" fontId="42" fillId="24" borderId="0" applyNumberFormat="0" applyBorder="0" applyAlignment="0" applyProtection="0"/>
    <xf numFmtId="186" fontId="42" fillId="24" borderId="0" applyNumberFormat="0" applyBorder="0" applyAlignment="0" applyProtection="0"/>
    <xf numFmtId="185" fontId="42" fillId="24" borderId="0" applyNumberFormat="0" applyBorder="0" applyAlignment="0" applyProtection="0"/>
    <xf numFmtId="186" fontId="42" fillId="24" borderId="0" applyNumberFormat="0" applyBorder="0" applyAlignment="0" applyProtection="0"/>
    <xf numFmtId="189" fontId="42" fillId="24" borderId="0" applyNumberFormat="0" applyBorder="0" applyAlignment="0" applyProtection="0"/>
    <xf numFmtId="186" fontId="42" fillId="24" borderId="0" applyNumberFormat="0" applyBorder="0" applyAlignment="0" applyProtection="0"/>
    <xf numFmtId="186" fontId="42" fillId="24" borderId="0" applyNumberFormat="0" applyBorder="0" applyAlignment="0" applyProtection="0"/>
    <xf numFmtId="184" fontId="42" fillId="24" borderId="0" applyNumberFormat="0" applyBorder="0" applyAlignment="0" applyProtection="0"/>
    <xf numFmtId="0" fontId="118" fillId="0" borderId="0" applyNumberFormat="0" applyAlignment="0">
      <alignment horizontal="left"/>
    </xf>
    <xf numFmtId="0" fontId="118" fillId="0" borderId="0" applyNumberFormat="0" applyAlignment="0">
      <alignment horizontal="left"/>
    </xf>
    <xf numFmtId="185"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5" fontId="118" fillId="0" borderId="0" applyNumberFormat="0" applyAlignment="0">
      <alignment horizontal="left"/>
    </xf>
    <xf numFmtId="186" fontId="118" fillId="0" borderId="0" applyNumberFormat="0" applyAlignment="0">
      <alignment horizontal="left"/>
    </xf>
    <xf numFmtId="186"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5" fontId="118" fillId="0" borderId="0" applyNumberFormat="0" applyAlignment="0">
      <alignment horizontal="left"/>
    </xf>
    <xf numFmtId="186" fontId="118" fillId="0" borderId="0" applyNumberFormat="0" applyAlignment="0">
      <alignment horizontal="left"/>
    </xf>
    <xf numFmtId="186" fontId="118" fillId="0" borderId="0" applyNumberFormat="0" applyAlignment="0">
      <alignment horizontal="left"/>
    </xf>
    <xf numFmtId="187" fontId="118" fillId="0" borderId="0" applyNumberFormat="0" applyAlignment="0">
      <alignment horizontal="left"/>
    </xf>
    <xf numFmtId="185" fontId="118" fillId="0" borderId="0" applyNumberFormat="0" applyAlignment="0">
      <alignment horizontal="left"/>
    </xf>
    <xf numFmtId="186" fontId="118" fillId="0" borderId="0" applyNumberFormat="0" applyAlignment="0">
      <alignment horizontal="left"/>
    </xf>
    <xf numFmtId="186" fontId="118" fillId="0" borderId="0" applyNumberFormat="0" applyAlignment="0">
      <alignment horizontal="left"/>
    </xf>
    <xf numFmtId="185" fontId="118" fillId="0" borderId="0" applyNumberFormat="0" applyAlignment="0">
      <alignment horizontal="left"/>
    </xf>
    <xf numFmtId="186" fontId="118" fillId="0" borderId="0" applyNumberFormat="0" applyAlignment="0">
      <alignment horizontal="left"/>
    </xf>
    <xf numFmtId="189" fontId="118" fillId="0" borderId="0" applyNumberFormat="0" applyAlignment="0">
      <alignment horizontal="left"/>
    </xf>
    <xf numFmtId="186" fontId="118" fillId="0" borderId="0" applyNumberFormat="0" applyAlignment="0">
      <alignment horizontal="left"/>
    </xf>
    <xf numFmtId="186" fontId="118" fillId="0" borderId="0" applyNumberFormat="0" applyAlignment="0">
      <alignment horizontal="left"/>
    </xf>
    <xf numFmtId="187" fontId="23" fillId="0" borderId="0" applyFon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9"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0" fontId="94"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0"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0"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7"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5"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5" fontId="119" fillId="0" borderId="0" applyNumberFormat="0" applyFill="0" applyBorder="0" applyAlignment="0" applyProtection="0"/>
    <xf numFmtId="186" fontId="119" fillId="0" borderId="0" applyNumberFormat="0" applyFill="0" applyBorder="0" applyAlignment="0" applyProtection="0"/>
    <xf numFmtId="186" fontId="119" fillId="0" borderId="0" applyNumberFormat="0" applyFill="0" applyBorder="0" applyAlignment="0" applyProtection="0"/>
    <xf numFmtId="189" fontId="120" fillId="0" borderId="0" applyNumberFormat="0" applyFill="0" applyBorder="0" applyAlignment="0" applyProtection="0"/>
    <xf numFmtId="0" fontId="119" fillId="0" borderId="0" applyNumberFormat="0" applyFill="0" applyBorder="0" applyAlignment="0" applyProtection="0"/>
    <xf numFmtId="186" fontId="119" fillId="0" borderId="0" applyNumberFormat="0" applyFill="0" applyBorder="0" applyAlignment="0" applyProtection="0"/>
    <xf numFmtId="186" fontId="120" fillId="0" borderId="0" applyNumberFormat="0" applyFill="0" applyBorder="0" applyAlignment="0" applyProtection="0"/>
    <xf numFmtId="0" fontId="119"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0" fontId="119"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7" fontId="94" fillId="0" borderId="0" applyNumberFormat="0" applyFill="0" applyBorder="0" applyAlignment="0" applyProtection="0"/>
    <xf numFmtId="185"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186" fontId="94" fillId="0" borderId="0" applyNumberFormat="0" applyFill="0" applyBorder="0" applyAlignment="0" applyProtection="0"/>
    <xf numFmtId="0" fontId="119" fillId="0" borderId="0" applyNumberFormat="0" applyFill="0" applyBorder="0" applyAlignment="0" applyProtection="0"/>
    <xf numFmtId="185" fontId="119" fillId="0" borderId="0" applyNumberFormat="0" applyFill="0" applyBorder="0" applyAlignment="0" applyProtection="0"/>
    <xf numFmtId="186" fontId="119" fillId="0" borderId="0" applyNumberFormat="0" applyFill="0" applyBorder="0" applyAlignment="0" applyProtection="0"/>
    <xf numFmtId="187" fontId="119" fillId="0" borderId="0" applyNumberFormat="0" applyFill="0" applyBorder="0" applyAlignment="0" applyProtection="0"/>
    <xf numFmtId="185" fontId="119" fillId="0" borderId="0" applyNumberFormat="0" applyFill="0" applyBorder="0" applyAlignment="0" applyProtection="0"/>
    <xf numFmtId="186" fontId="119" fillId="0" borderId="0" applyNumberFormat="0" applyFill="0" applyBorder="0" applyAlignment="0" applyProtection="0"/>
    <xf numFmtId="186" fontId="119" fillId="0" borderId="0" applyNumberFormat="0" applyFill="0" applyBorder="0" applyAlignment="0" applyProtection="0"/>
    <xf numFmtId="186" fontId="119" fillId="0" borderId="0" applyNumberFormat="0" applyFill="0" applyBorder="0" applyAlignment="0" applyProtection="0"/>
    <xf numFmtId="187" fontId="120" fillId="0" borderId="0" applyNumberFormat="0" applyFill="0" applyBorder="0" applyAlignment="0" applyProtection="0"/>
    <xf numFmtId="185" fontId="120" fillId="0" borderId="0" applyNumberFormat="0" applyFill="0" applyBorder="0" applyAlignment="0" applyProtection="0"/>
    <xf numFmtId="186" fontId="120" fillId="0" borderId="0" applyNumberFormat="0" applyFill="0" applyBorder="0" applyAlignment="0" applyProtection="0"/>
    <xf numFmtId="186" fontId="120" fillId="0" borderId="0" applyNumberFormat="0" applyFill="0" applyBorder="0" applyAlignment="0" applyProtection="0"/>
    <xf numFmtId="186" fontId="94" fillId="0" borderId="0" applyNumberFormat="0" applyFill="0" applyBorder="0" applyAlignment="0" applyProtection="0"/>
    <xf numFmtId="184" fontId="94" fillId="0" borderId="0" applyNumberFormat="0" applyFill="0" applyBorder="0" applyAlignment="0" applyProtection="0"/>
    <xf numFmtId="197" fontId="23" fillId="0" borderId="0">
      <protection locked="0"/>
    </xf>
    <xf numFmtId="197" fontId="23" fillId="0" borderId="0">
      <protection locked="0"/>
    </xf>
    <xf numFmtId="197" fontId="23" fillId="0" borderId="0">
      <protection locked="0"/>
    </xf>
    <xf numFmtId="197" fontId="23" fillId="0" borderId="0">
      <protection locked="0"/>
    </xf>
    <xf numFmtId="0" fontId="117" fillId="0" borderId="0" applyFont="0" applyFill="0" applyBorder="0" applyAlignment="0" applyProtection="0"/>
    <xf numFmtId="0" fontId="23"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7"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23" fillId="0" borderId="0" applyFont="0" applyFill="0" applyBorder="0" applyAlignment="0" applyProtection="0"/>
    <xf numFmtId="185"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198" fontId="36" fillId="0" borderId="0"/>
    <xf numFmtId="0" fontId="121" fillId="71" borderId="0" applyNumberFormat="0" applyBorder="0" applyAlignment="0" applyProtection="0"/>
    <xf numFmtId="0" fontId="121" fillId="71" borderId="0" applyNumberFormat="0" applyBorder="0" applyAlignment="0" applyProtection="0"/>
    <xf numFmtId="186" fontId="121" fillId="71" borderId="0" applyNumberFormat="0" applyBorder="0" applyAlignment="0" applyProtection="0"/>
    <xf numFmtId="186" fontId="121" fillId="71" borderId="0" applyNumberFormat="0" applyBorder="0" applyAlignment="0" applyProtection="0"/>
    <xf numFmtId="184" fontId="40" fillId="86" borderId="0" applyNumberFormat="0" applyBorder="0" applyAlignment="0" applyProtection="0"/>
    <xf numFmtId="0" fontId="85" fillId="38"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189" fontId="121" fillId="101" borderId="0" applyNumberFormat="0" applyBorder="0" applyAlignment="0" applyProtection="0"/>
    <xf numFmtId="186" fontId="121" fillId="101" borderId="0" applyNumberFormat="0" applyBorder="0" applyAlignment="0" applyProtection="0"/>
    <xf numFmtId="186" fontId="85" fillId="38" borderId="0" applyNumberFormat="0" applyBorder="0" applyAlignment="0" applyProtection="0"/>
    <xf numFmtId="0"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0"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7"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0" fontId="40" fillId="86"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5" fontId="40" fillId="86" borderId="0" applyNumberFormat="0" applyBorder="0" applyAlignment="0" applyProtection="0"/>
    <xf numFmtId="185" fontId="40" fillId="86"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0" fontId="40" fillId="86" borderId="0" applyNumberFormat="0" applyBorder="0" applyAlignment="0" applyProtection="0"/>
    <xf numFmtId="186" fontId="40" fillId="86" borderId="0" applyNumberFormat="0" applyBorder="0" applyAlignment="0" applyProtection="0"/>
    <xf numFmtId="186" fontId="40" fillId="86" borderId="0" applyNumberFormat="0" applyBorder="0" applyAlignment="0" applyProtection="0"/>
    <xf numFmtId="185" fontId="121" fillId="71"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5" fontId="121" fillId="71" borderId="0" applyNumberFormat="0" applyBorder="0" applyAlignment="0" applyProtection="0"/>
    <xf numFmtId="186" fontId="121" fillId="71" borderId="0" applyNumberFormat="0" applyBorder="0" applyAlignment="0" applyProtection="0"/>
    <xf numFmtId="186" fontId="121" fillId="71" borderId="0" applyNumberFormat="0" applyBorder="0" applyAlignment="0" applyProtection="0"/>
    <xf numFmtId="189" fontId="121" fillId="101" borderId="0" applyNumberFormat="0" applyBorder="0" applyAlignment="0" applyProtection="0"/>
    <xf numFmtId="0" fontId="121" fillId="71" borderId="0" applyNumberFormat="0" applyBorder="0" applyAlignment="0" applyProtection="0"/>
    <xf numFmtId="186" fontId="121" fillId="71" borderId="0" applyNumberFormat="0" applyBorder="0" applyAlignment="0" applyProtection="0"/>
    <xf numFmtId="186" fontId="121" fillId="101" borderId="0" applyNumberFormat="0" applyBorder="0" applyAlignment="0" applyProtection="0"/>
    <xf numFmtId="0" fontId="121" fillId="7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0" fontId="121" fillId="71"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7" fontId="85" fillId="38" borderId="0" applyNumberFormat="0" applyBorder="0" applyAlignment="0" applyProtection="0"/>
    <xf numFmtId="185"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0" fontId="121" fillId="71" borderId="0" applyNumberFormat="0" applyBorder="0" applyAlignment="0" applyProtection="0"/>
    <xf numFmtId="185" fontId="121" fillId="71" borderId="0" applyNumberFormat="0" applyBorder="0" applyAlignment="0" applyProtection="0"/>
    <xf numFmtId="186" fontId="121" fillId="71" borderId="0" applyNumberFormat="0" applyBorder="0" applyAlignment="0" applyProtection="0"/>
    <xf numFmtId="187" fontId="121" fillId="71" borderId="0" applyNumberFormat="0" applyBorder="0" applyAlignment="0" applyProtection="0"/>
    <xf numFmtId="185" fontId="121" fillId="71" borderId="0" applyNumberFormat="0" applyBorder="0" applyAlignment="0" applyProtection="0"/>
    <xf numFmtId="186" fontId="121" fillId="71" borderId="0" applyNumberFormat="0" applyBorder="0" applyAlignment="0" applyProtection="0"/>
    <xf numFmtId="186" fontId="121" fillId="71" borderId="0" applyNumberFormat="0" applyBorder="0" applyAlignment="0" applyProtection="0"/>
    <xf numFmtId="186" fontId="121" fillId="71" borderId="0" applyNumberFormat="0" applyBorder="0" applyAlignment="0" applyProtection="0"/>
    <xf numFmtId="187" fontId="121" fillId="101" borderId="0" applyNumberFormat="0" applyBorder="0" applyAlignment="0" applyProtection="0"/>
    <xf numFmtId="185" fontId="121" fillId="101" borderId="0" applyNumberFormat="0" applyBorder="0" applyAlignment="0" applyProtection="0"/>
    <xf numFmtId="186" fontId="121" fillId="101" borderId="0" applyNumberFormat="0" applyBorder="0" applyAlignment="0" applyProtection="0"/>
    <xf numFmtId="186" fontId="121" fillId="101" borderId="0" applyNumberFormat="0" applyBorder="0" applyAlignment="0" applyProtection="0"/>
    <xf numFmtId="0" fontId="85" fillId="38" borderId="0" applyNumberFormat="0" applyBorder="0" applyAlignment="0" applyProtection="0"/>
    <xf numFmtId="186" fontId="85" fillId="38" borderId="0" applyNumberFormat="0" applyBorder="0" applyAlignment="0" applyProtection="0"/>
    <xf numFmtId="186" fontId="85" fillId="38" borderId="0" applyNumberFormat="0" applyBorder="0" applyAlignment="0" applyProtection="0"/>
    <xf numFmtId="184" fontId="85" fillId="38" borderId="0" applyNumberFormat="0" applyBorder="0" applyAlignment="0" applyProtection="0"/>
    <xf numFmtId="38" fontId="25" fillId="69" borderId="0" applyNumberFormat="0" applyBorder="0" applyAlignment="0" applyProtection="0"/>
    <xf numFmtId="38" fontId="25" fillId="69" borderId="0" applyNumberFormat="0" applyBorder="0" applyAlignment="0" applyProtection="0"/>
    <xf numFmtId="0" fontId="122" fillId="0" borderId="0" applyNumberFormat="0" applyFill="0" applyBorder="0" applyAlignment="0" applyProtection="0"/>
    <xf numFmtId="187" fontId="122" fillId="0" borderId="0" applyNumberFormat="0" applyFill="0" applyBorder="0" applyAlignment="0" applyProtection="0"/>
    <xf numFmtId="0" fontId="122" fillId="0" borderId="0" applyNumberFormat="0" applyFill="0" applyBorder="0" applyAlignment="0" applyProtection="0"/>
    <xf numFmtId="185" fontId="122" fillId="0" borderId="0" applyNumberFormat="0" applyFill="0" applyBorder="0" applyAlignment="0" applyProtection="0"/>
    <xf numFmtId="186" fontId="122" fillId="0" borderId="0" applyNumberFormat="0" applyFill="0" applyBorder="0" applyAlignment="0" applyProtection="0"/>
    <xf numFmtId="187" fontId="122" fillId="0" borderId="0" applyNumberFormat="0" applyFill="0" applyBorder="0" applyAlignment="0" applyProtection="0"/>
    <xf numFmtId="185" fontId="122" fillId="0" borderId="0" applyNumberFormat="0" applyFill="0" applyBorder="0" applyAlignment="0" applyProtection="0"/>
    <xf numFmtId="186" fontId="122" fillId="0" borderId="0" applyNumberFormat="0" applyFill="0" applyBorder="0" applyAlignment="0" applyProtection="0"/>
    <xf numFmtId="186" fontId="122" fillId="0" borderId="0" applyNumberFormat="0" applyFill="0" applyBorder="0" applyAlignment="0" applyProtection="0"/>
    <xf numFmtId="186" fontId="122" fillId="0" borderId="0" applyNumberFormat="0" applyFill="0" applyBorder="0" applyAlignment="0" applyProtection="0"/>
    <xf numFmtId="185" fontId="122" fillId="0" borderId="0" applyNumberFormat="0" applyFill="0" applyBorder="0" applyAlignment="0" applyProtection="0"/>
    <xf numFmtId="186" fontId="122" fillId="0" borderId="0" applyNumberFormat="0" applyFill="0" applyBorder="0" applyAlignment="0" applyProtection="0"/>
    <xf numFmtId="186" fontId="122" fillId="0" borderId="0" applyNumberFormat="0" applyFill="0" applyBorder="0" applyAlignment="0" applyProtection="0"/>
    <xf numFmtId="185" fontId="122" fillId="0" borderId="0" applyNumberFormat="0" applyFill="0" applyBorder="0" applyAlignment="0" applyProtection="0"/>
    <xf numFmtId="186" fontId="122" fillId="0" borderId="0" applyNumberFormat="0" applyFill="0" applyBorder="0" applyAlignment="0" applyProtection="0"/>
    <xf numFmtId="189" fontId="122" fillId="0" borderId="0" applyNumberFormat="0" applyFill="0" applyBorder="0" applyAlignment="0" applyProtection="0"/>
    <xf numFmtId="186" fontId="122" fillId="0" borderId="0" applyNumberFormat="0" applyFill="0" applyBorder="0" applyAlignment="0" applyProtection="0"/>
    <xf numFmtId="186" fontId="122" fillId="0" borderId="0" applyNumberFormat="0" applyFill="0" applyBorder="0" applyAlignment="0" applyProtection="0"/>
    <xf numFmtId="0" fontId="75" fillId="0" borderId="18" applyNumberFormat="0" applyAlignment="0" applyProtection="0">
      <alignment horizontal="left" vertical="center"/>
    </xf>
    <xf numFmtId="0" fontId="75" fillId="0" borderId="18" applyNumberFormat="0" applyAlignment="0" applyProtection="0">
      <alignment horizontal="left" vertical="center"/>
    </xf>
    <xf numFmtId="185"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85" fontId="75" fillId="0" borderId="18" applyNumberFormat="0" applyAlignment="0" applyProtection="0">
      <alignment horizontal="left" vertical="center"/>
    </xf>
    <xf numFmtId="186" fontId="75" fillId="0" borderId="18" applyNumberFormat="0" applyAlignment="0" applyProtection="0">
      <alignment horizontal="left" vertical="center"/>
    </xf>
    <xf numFmtId="186" fontId="75" fillId="0" borderId="18" applyNumberFormat="0" applyAlignment="0" applyProtection="0">
      <alignment horizontal="left" vertical="center"/>
    </xf>
    <xf numFmtId="186" fontId="75" fillId="0" borderId="18" applyNumberFormat="0" applyAlignment="0" applyProtection="0">
      <alignment horizontal="left" vertical="center"/>
    </xf>
    <xf numFmtId="187" fontId="75" fillId="0" borderId="18" applyNumberFormat="0" applyAlignment="0" applyProtection="0">
      <alignment horizontal="left" vertical="center"/>
    </xf>
    <xf numFmtId="185" fontId="75" fillId="0" borderId="18" applyNumberFormat="0" applyAlignment="0" applyProtection="0">
      <alignment horizontal="left" vertical="center"/>
    </xf>
    <xf numFmtId="186" fontId="75" fillId="0" borderId="18" applyNumberFormat="0" applyAlignment="0" applyProtection="0">
      <alignment horizontal="left" vertical="center"/>
    </xf>
    <xf numFmtId="186" fontId="75" fillId="0" borderId="18" applyNumberFormat="0" applyAlignment="0" applyProtection="0">
      <alignment horizontal="left" vertical="center"/>
    </xf>
    <xf numFmtId="185" fontId="75" fillId="0" borderId="18" applyNumberFormat="0" applyAlignment="0" applyProtection="0">
      <alignment horizontal="left" vertical="center"/>
    </xf>
    <xf numFmtId="186" fontId="75" fillId="0" borderId="18" applyNumberFormat="0" applyAlignment="0" applyProtection="0">
      <alignment horizontal="left" vertical="center"/>
    </xf>
    <xf numFmtId="189" fontId="75" fillId="0" borderId="18" applyNumberFormat="0" applyAlignment="0" applyProtection="0">
      <alignment horizontal="left" vertical="center"/>
    </xf>
    <xf numFmtId="186" fontId="75" fillId="0" borderId="18" applyNumberFormat="0" applyAlignment="0" applyProtection="0">
      <alignment horizontal="left" vertical="center"/>
    </xf>
    <xf numFmtId="186" fontId="75" fillId="0" borderId="18" applyNumberFormat="0" applyAlignment="0" applyProtection="0">
      <alignment horizontal="left" vertical="center"/>
    </xf>
    <xf numFmtId="0" fontId="75" fillId="0" borderId="9">
      <alignment horizontal="left" vertical="center"/>
    </xf>
    <xf numFmtId="0"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7" fontId="75" fillId="0" borderId="9">
      <alignment horizontal="left" vertical="center"/>
    </xf>
    <xf numFmtId="187"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5" fontId="75" fillId="0" borderId="9">
      <alignment horizontal="left" vertical="center"/>
    </xf>
    <xf numFmtId="185"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189" fontId="75" fillId="0" borderId="9">
      <alignment horizontal="left" vertical="center"/>
    </xf>
    <xf numFmtId="189" fontId="75" fillId="0" borderId="9">
      <alignment horizontal="left" vertical="center"/>
    </xf>
    <xf numFmtId="189" fontId="75" fillId="0" borderId="9">
      <alignment horizontal="left" vertical="center"/>
    </xf>
    <xf numFmtId="189"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0" fontId="75" fillId="0" borderId="9">
      <alignment horizontal="left" vertical="center"/>
    </xf>
    <xf numFmtId="0" fontId="75" fillId="0" borderId="9">
      <alignment horizontal="left" vertical="center"/>
    </xf>
    <xf numFmtId="186" fontId="75" fillId="0" borderId="9">
      <alignment horizontal="left" vertical="center"/>
    </xf>
    <xf numFmtId="186" fontId="75" fillId="0" borderId="9">
      <alignment horizontal="left" vertical="center"/>
    </xf>
    <xf numFmtId="186" fontId="75" fillId="0" borderId="9">
      <alignment horizontal="left" vertical="center"/>
    </xf>
    <xf numFmtId="0" fontId="123" fillId="0" borderId="34" applyNumberFormat="0" applyFill="0" applyAlignment="0" applyProtection="0"/>
    <xf numFmtId="0" fontId="123" fillId="0" borderId="34" applyNumberFormat="0" applyFill="0" applyAlignment="0" applyProtection="0"/>
    <xf numFmtId="186" fontId="123" fillId="0" borderId="34" applyNumberFormat="0" applyFill="0" applyAlignment="0" applyProtection="0"/>
    <xf numFmtId="186" fontId="123" fillId="0" borderId="34" applyNumberFormat="0" applyFill="0" applyAlignment="0" applyProtection="0"/>
    <xf numFmtId="184" fontId="124" fillId="0" borderId="35" applyNumberFormat="0" applyFill="0" applyAlignment="0" applyProtection="0"/>
    <xf numFmtId="0" fontId="82" fillId="0" borderId="20"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0"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0"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7"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5" fontId="123" fillId="0" borderId="34"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5" fontId="123" fillId="0" borderId="34" applyNumberFormat="0" applyFill="0" applyAlignment="0" applyProtection="0"/>
    <xf numFmtId="186" fontId="123" fillId="0" borderId="34" applyNumberFormat="0" applyFill="0" applyAlignment="0" applyProtection="0"/>
    <xf numFmtId="186" fontId="123" fillId="0" borderId="34" applyNumberFormat="0" applyFill="0" applyAlignment="0" applyProtection="0"/>
    <xf numFmtId="189" fontId="124" fillId="0" borderId="35" applyNumberFormat="0" applyFill="0" applyAlignment="0" applyProtection="0"/>
    <xf numFmtId="0" fontId="123" fillId="0" borderId="34" applyNumberFormat="0" applyFill="0" applyAlignment="0" applyProtection="0"/>
    <xf numFmtId="186" fontId="123" fillId="0" borderId="34" applyNumberFormat="0" applyFill="0" applyAlignment="0" applyProtection="0"/>
    <xf numFmtId="186" fontId="124" fillId="0" borderId="35" applyNumberFormat="0" applyFill="0" applyAlignment="0" applyProtection="0"/>
    <xf numFmtId="0" fontId="123" fillId="0" borderId="34"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0" fontId="123" fillId="0" borderId="34"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7" fontId="82" fillId="0" borderId="20" applyNumberFormat="0" applyFill="0" applyAlignment="0" applyProtection="0"/>
    <xf numFmtId="185"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0" fontId="123" fillId="0" borderId="34" applyNumberFormat="0" applyFill="0" applyAlignment="0" applyProtection="0"/>
    <xf numFmtId="185" fontId="123" fillId="0" borderId="34" applyNumberFormat="0" applyFill="0" applyAlignment="0" applyProtection="0"/>
    <xf numFmtId="186" fontId="123" fillId="0" borderId="34" applyNumberFormat="0" applyFill="0" applyAlignment="0" applyProtection="0"/>
    <xf numFmtId="187" fontId="123" fillId="0" borderId="34" applyNumberFormat="0" applyFill="0" applyAlignment="0" applyProtection="0"/>
    <xf numFmtId="185" fontId="123" fillId="0" borderId="34" applyNumberFormat="0" applyFill="0" applyAlignment="0" applyProtection="0"/>
    <xf numFmtId="186" fontId="123" fillId="0" borderId="34" applyNumberFormat="0" applyFill="0" applyAlignment="0" applyProtection="0"/>
    <xf numFmtId="186" fontId="123" fillId="0" borderId="34" applyNumberFormat="0" applyFill="0" applyAlignment="0" applyProtection="0"/>
    <xf numFmtId="186" fontId="123" fillId="0" borderId="34" applyNumberFormat="0" applyFill="0" applyAlignment="0" applyProtection="0"/>
    <xf numFmtId="187" fontId="124" fillId="0" borderId="35" applyNumberFormat="0" applyFill="0" applyAlignment="0" applyProtection="0"/>
    <xf numFmtId="185" fontId="124" fillId="0" borderId="35" applyNumberFormat="0" applyFill="0" applyAlignment="0" applyProtection="0"/>
    <xf numFmtId="186" fontId="124" fillId="0" borderId="35" applyNumberFormat="0" applyFill="0" applyAlignment="0" applyProtection="0"/>
    <xf numFmtId="186" fontId="124" fillId="0" borderId="35" applyNumberFormat="0" applyFill="0" applyAlignment="0" applyProtection="0"/>
    <xf numFmtId="0" fontId="82" fillId="0" borderId="20" applyNumberFormat="0" applyFill="0" applyAlignment="0" applyProtection="0"/>
    <xf numFmtId="186" fontId="82" fillId="0" borderId="20" applyNumberFormat="0" applyFill="0" applyAlignment="0" applyProtection="0"/>
    <xf numFmtId="186" fontId="82" fillId="0" borderId="20" applyNumberFormat="0" applyFill="0" applyAlignment="0" applyProtection="0"/>
    <xf numFmtId="184" fontId="82" fillId="0" borderId="20" applyNumberFormat="0" applyFill="0" applyAlignment="0" applyProtection="0"/>
    <xf numFmtId="0" fontId="125" fillId="0" borderId="36"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6" fontId="125" fillId="0" borderId="36" applyNumberFormat="0" applyFill="0" applyAlignment="0" applyProtection="0"/>
    <xf numFmtId="184" fontId="126" fillId="0" borderId="37" applyNumberFormat="0" applyFill="0" applyAlignment="0" applyProtection="0"/>
    <xf numFmtId="0" fontId="83" fillId="0" borderId="21"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0"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0"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7"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0" fontId="126" fillId="0" borderId="37"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5" fontId="126" fillId="0" borderId="37" applyNumberFormat="0" applyFill="0" applyAlignment="0" applyProtection="0"/>
    <xf numFmtId="186" fontId="126" fillId="0" borderId="37" applyNumberFormat="0" applyFill="0" applyAlignment="0" applyProtection="0"/>
    <xf numFmtId="186" fontId="126" fillId="0" borderId="37" applyNumberFormat="0" applyFill="0" applyAlignment="0" applyProtection="0"/>
    <xf numFmtId="185"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5" fontId="125" fillId="0" borderId="36" applyNumberFormat="0" applyFill="0" applyAlignment="0" applyProtection="0"/>
    <xf numFmtId="186" fontId="125" fillId="0" borderId="36" applyNumberFormat="0" applyFill="0" applyAlignment="0" applyProtection="0"/>
    <xf numFmtId="186" fontId="125" fillId="0" borderId="36" applyNumberFormat="0" applyFill="0" applyAlignment="0" applyProtection="0"/>
    <xf numFmtId="189" fontId="126" fillId="0" borderId="36" applyNumberFormat="0" applyFill="0" applyAlignment="0" applyProtection="0"/>
    <xf numFmtId="0" fontId="125" fillId="0" borderId="36" applyNumberFormat="0" applyFill="0" applyAlignment="0" applyProtection="0"/>
    <xf numFmtId="186" fontId="125" fillId="0" borderId="36" applyNumberFormat="0" applyFill="0" applyAlignment="0" applyProtection="0"/>
    <xf numFmtId="186" fontId="126" fillId="0" borderId="36" applyNumberFormat="0" applyFill="0" applyAlignment="0" applyProtection="0"/>
    <xf numFmtId="0" fontId="125"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0" fontId="125" fillId="0" borderId="36"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7" fontId="83" fillId="0" borderId="21" applyNumberFormat="0" applyFill="0" applyAlignment="0" applyProtection="0"/>
    <xf numFmtId="185"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0" fontId="125" fillId="0" borderId="36" applyNumberFormat="0" applyFill="0" applyAlignment="0" applyProtection="0"/>
    <xf numFmtId="185" fontId="125" fillId="0" borderId="36" applyNumberFormat="0" applyFill="0" applyAlignment="0" applyProtection="0"/>
    <xf numFmtId="186" fontId="125" fillId="0" borderId="36" applyNumberFormat="0" applyFill="0" applyAlignment="0" applyProtection="0"/>
    <xf numFmtId="187" fontId="125" fillId="0" borderId="36" applyNumberFormat="0" applyFill="0" applyAlignment="0" applyProtection="0"/>
    <xf numFmtId="185" fontId="125" fillId="0" borderId="36" applyNumberFormat="0" applyFill="0" applyAlignment="0" applyProtection="0"/>
    <xf numFmtId="186" fontId="125" fillId="0" borderId="36" applyNumberFormat="0" applyFill="0" applyAlignment="0" applyProtection="0"/>
    <xf numFmtId="186" fontId="125" fillId="0" borderId="36" applyNumberFormat="0" applyFill="0" applyAlignment="0" applyProtection="0"/>
    <xf numFmtId="186" fontId="125" fillId="0" borderId="36" applyNumberFormat="0" applyFill="0" applyAlignment="0" applyProtection="0"/>
    <xf numFmtId="187" fontId="126" fillId="0" borderId="36" applyNumberFormat="0" applyFill="0" applyAlignment="0" applyProtection="0"/>
    <xf numFmtId="185" fontId="126" fillId="0" borderId="36" applyNumberFormat="0" applyFill="0" applyAlignment="0" applyProtection="0"/>
    <xf numFmtId="186" fontId="126" fillId="0" borderId="36" applyNumberFormat="0" applyFill="0" applyAlignment="0" applyProtection="0"/>
    <xf numFmtId="186" fontId="126" fillId="0" borderId="36" applyNumberFormat="0" applyFill="0" applyAlignment="0" applyProtection="0"/>
    <xf numFmtId="0" fontId="83" fillId="0" borderId="21" applyNumberFormat="0" applyFill="0" applyAlignment="0" applyProtection="0"/>
    <xf numFmtId="186" fontId="83" fillId="0" borderId="21" applyNumberFormat="0" applyFill="0" applyAlignment="0" applyProtection="0"/>
    <xf numFmtId="186" fontId="83" fillId="0" borderId="21" applyNumberFormat="0" applyFill="0" applyAlignment="0" applyProtection="0"/>
    <xf numFmtId="184" fontId="83" fillId="0" borderId="21" applyNumberFormat="0" applyFill="0" applyAlignment="0" applyProtection="0"/>
    <xf numFmtId="0" fontId="127" fillId="0" borderId="38" applyNumberFormat="0" applyFill="0" applyAlignment="0" applyProtection="0"/>
    <xf numFmtId="0" fontId="127" fillId="0" borderId="38" applyNumberFormat="0" applyFill="0" applyAlignment="0" applyProtection="0"/>
    <xf numFmtId="186" fontId="127" fillId="0" borderId="38" applyNumberFormat="0" applyFill="0" applyAlignment="0" applyProtection="0"/>
    <xf numFmtId="186" fontId="127" fillId="0" borderId="38" applyNumberFormat="0" applyFill="0" applyAlignment="0" applyProtection="0"/>
    <xf numFmtId="184" fontId="128" fillId="0" borderId="39" applyNumberFormat="0" applyFill="0" applyAlignment="0" applyProtection="0"/>
    <xf numFmtId="0" fontId="84" fillId="0" borderId="22"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0"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0"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7"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0" fontId="128" fillId="0" borderId="39"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5" fontId="128" fillId="0" borderId="39" applyNumberFormat="0" applyFill="0" applyAlignment="0" applyProtection="0"/>
    <xf numFmtId="186" fontId="128" fillId="0" borderId="39" applyNumberFormat="0" applyFill="0" applyAlignment="0" applyProtection="0"/>
    <xf numFmtId="186" fontId="128" fillId="0" borderId="39" applyNumberFormat="0" applyFill="0" applyAlignment="0" applyProtection="0"/>
    <xf numFmtId="185" fontId="127" fillId="0" borderId="38"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5" fontId="127" fillId="0" borderId="38" applyNumberFormat="0" applyFill="0" applyAlignment="0" applyProtection="0"/>
    <xf numFmtId="186" fontId="127" fillId="0" borderId="38" applyNumberFormat="0" applyFill="0" applyAlignment="0" applyProtection="0"/>
    <xf numFmtId="186" fontId="127" fillId="0" borderId="38" applyNumberFormat="0" applyFill="0" applyAlignment="0" applyProtection="0"/>
    <xf numFmtId="189" fontId="128" fillId="0" borderId="40" applyNumberFormat="0" applyFill="0" applyAlignment="0" applyProtection="0"/>
    <xf numFmtId="0" fontId="127" fillId="0" borderId="38" applyNumberFormat="0" applyFill="0" applyAlignment="0" applyProtection="0"/>
    <xf numFmtId="186" fontId="127" fillId="0" borderId="38" applyNumberFormat="0" applyFill="0" applyAlignment="0" applyProtection="0"/>
    <xf numFmtId="186" fontId="128" fillId="0" borderId="40" applyNumberFormat="0" applyFill="0" applyAlignment="0" applyProtection="0"/>
    <xf numFmtId="0" fontId="127" fillId="0" borderId="38"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0" fontId="127" fillId="0" borderId="38"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7" fontId="84" fillId="0" borderId="22" applyNumberFormat="0" applyFill="0" applyAlignment="0" applyProtection="0"/>
    <xf numFmtId="185"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0" fontId="127" fillId="0" borderId="38" applyNumberFormat="0" applyFill="0" applyAlignment="0" applyProtection="0"/>
    <xf numFmtId="185" fontId="127" fillId="0" borderId="38" applyNumberFormat="0" applyFill="0" applyAlignment="0" applyProtection="0"/>
    <xf numFmtId="186" fontId="127" fillId="0" borderId="38" applyNumberFormat="0" applyFill="0" applyAlignment="0" applyProtection="0"/>
    <xf numFmtId="187" fontId="127" fillId="0" borderId="38" applyNumberFormat="0" applyFill="0" applyAlignment="0" applyProtection="0"/>
    <xf numFmtId="185" fontId="127" fillId="0" borderId="38" applyNumberFormat="0" applyFill="0" applyAlignment="0" applyProtection="0"/>
    <xf numFmtId="186" fontId="127" fillId="0" borderId="38" applyNumberFormat="0" applyFill="0" applyAlignment="0" applyProtection="0"/>
    <xf numFmtId="186" fontId="127" fillId="0" borderId="38" applyNumberFormat="0" applyFill="0" applyAlignment="0" applyProtection="0"/>
    <xf numFmtId="186" fontId="127" fillId="0" borderId="38" applyNumberFormat="0" applyFill="0" applyAlignment="0" applyProtection="0"/>
    <xf numFmtId="187" fontId="128" fillId="0" borderId="40" applyNumberFormat="0" applyFill="0" applyAlignment="0" applyProtection="0"/>
    <xf numFmtId="185" fontId="128" fillId="0" borderId="40" applyNumberFormat="0" applyFill="0" applyAlignment="0" applyProtection="0"/>
    <xf numFmtId="186" fontId="128" fillId="0" borderId="40" applyNumberFormat="0" applyFill="0" applyAlignment="0" applyProtection="0"/>
    <xf numFmtId="186" fontId="128" fillId="0" borderId="40" applyNumberFormat="0" applyFill="0" applyAlignment="0" applyProtection="0"/>
    <xf numFmtId="0" fontId="84" fillId="0" borderId="22" applyNumberFormat="0" applyFill="0" applyAlignment="0" applyProtection="0"/>
    <xf numFmtId="186" fontId="84" fillId="0" borderId="22" applyNumberFormat="0" applyFill="0" applyAlignment="0" applyProtection="0"/>
    <xf numFmtId="186" fontId="84" fillId="0" borderId="22" applyNumberFormat="0" applyFill="0" applyAlignment="0" applyProtection="0"/>
    <xf numFmtId="184" fontId="84" fillId="0" borderId="22" applyNumberFormat="0" applyFill="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6" fontId="127" fillId="0" borderId="0" applyNumberFormat="0" applyFill="0" applyBorder="0" applyAlignment="0" applyProtection="0"/>
    <xf numFmtId="184" fontId="128" fillId="0" borderId="0" applyNumberFormat="0" applyFill="0" applyBorder="0" applyAlignment="0" applyProtection="0"/>
    <xf numFmtId="0" fontId="84"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0"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0"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7"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5"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5" fontId="127" fillId="0" borderId="0" applyNumberFormat="0" applyFill="0" applyBorder="0" applyAlignment="0" applyProtection="0"/>
    <xf numFmtId="186" fontId="127" fillId="0" borderId="0" applyNumberFormat="0" applyFill="0" applyBorder="0" applyAlignment="0" applyProtection="0"/>
    <xf numFmtId="186" fontId="127" fillId="0" borderId="0" applyNumberFormat="0" applyFill="0" applyBorder="0" applyAlignment="0" applyProtection="0"/>
    <xf numFmtId="189" fontId="128" fillId="0" borderId="0" applyNumberFormat="0" applyFill="0" applyBorder="0" applyAlignment="0" applyProtection="0"/>
    <xf numFmtId="0" fontId="127" fillId="0" borderId="0" applyNumberFormat="0" applyFill="0" applyBorder="0" applyAlignment="0" applyProtection="0"/>
    <xf numFmtId="186" fontId="127" fillId="0" borderId="0" applyNumberFormat="0" applyFill="0" applyBorder="0" applyAlignment="0" applyProtection="0"/>
    <xf numFmtId="186" fontId="128" fillId="0" borderId="0" applyNumberFormat="0" applyFill="0" applyBorder="0" applyAlignment="0" applyProtection="0"/>
    <xf numFmtId="0" fontId="127"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0" fontId="127"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7" fontId="84" fillId="0" borderId="0" applyNumberFormat="0" applyFill="0" applyBorder="0" applyAlignment="0" applyProtection="0"/>
    <xf numFmtId="185"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0" fontId="127" fillId="0" borderId="0" applyNumberFormat="0" applyFill="0" applyBorder="0" applyAlignment="0" applyProtection="0"/>
    <xf numFmtId="185" fontId="127" fillId="0" borderId="0" applyNumberFormat="0" applyFill="0" applyBorder="0" applyAlignment="0" applyProtection="0"/>
    <xf numFmtId="186" fontId="127" fillId="0" borderId="0" applyNumberFormat="0" applyFill="0" applyBorder="0" applyAlignment="0" applyProtection="0"/>
    <xf numFmtId="187" fontId="127" fillId="0" borderId="0" applyNumberFormat="0" applyFill="0" applyBorder="0" applyAlignment="0" applyProtection="0"/>
    <xf numFmtId="185" fontId="127" fillId="0" borderId="0" applyNumberFormat="0" applyFill="0" applyBorder="0" applyAlignment="0" applyProtection="0"/>
    <xf numFmtId="186" fontId="127" fillId="0" borderId="0" applyNumberFormat="0" applyFill="0" applyBorder="0" applyAlignment="0" applyProtection="0"/>
    <xf numFmtId="186" fontId="127" fillId="0" borderId="0" applyNumberFormat="0" applyFill="0" applyBorder="0" applyAlignment="0" applyProtection="0"/>
    <xf numFmtId="186" fontId="127" fillId="0" borderId="0" applyNumberFormat="0" applyFill="0" applyBorder="0" applyAlignment="0" applyProtection="0"/>
    <xf numFmtId="187" fontId="128" fillId="0" borderId="0" applyNumberFormat="0" applyFill="0" applyBorder="0" applyAlignment="0" applyProtection="0"/>
    <xf numFmtId="185" fontId="128" fillId="0" borderId="0" applyNumberFormat="0" applyFill="0" applyBorder="0" applyAlignment="0" applyProtection="0"/>
    <xf numFmtId="186" fontId="128" fillId="0" borderId="0" applyNumberFormat="0" applyFill="0" applyBorder="0" applyAlignment="0" applyProtection="0"/>
    <xf numFmtId="186" fontId="128" fillId="0" borderId="0" applyNumberFormat="0" applyFill="0" applyBorder="0" applyAlignment="0" applyProtection="0"/>
    <xf numFmtId="0" fontId="84" fillId="0" borderId="0" applyNumberFormat="0" applyFill="0" applyBorder="0" applyAlignment="0" applyProtection="0"/>
    <xf numFmtId="186" fontId="84" fillId="0" borderId="0" applyNumberFormat="0" applyFill="0" applyBorder="0" applyAlignment="0" applyProtection="0"/>
    <xf numFmtId="186" fontId="84" fillId="0" borderId="0" applyNumberFormat="0" applyFill="0" applyBorder="0" applyAlignment="0" applyProtection="0"/>
    <xf numFmtId="184" fontId="84" fillId="0" borderId="0" applyNumberFormat="0" applyFill="0" applyBorder="0" applyAlignment="0" applyProtection="0"/>
    <xf numFmtId="199" fontId="23" fillId="0" borderId="0">
      <protection locked="0"/>
    </xf>
    <xf numFmtId="199" fontId="23" fillId="0" borderId="0">
      <protection locked="0"/>
    </xf>
    <xf numFmtId="199" fontId="23" fillId="0" borderId="0">
      <protection locked="0"/>
    </xf>
    <xf numFmtId="199" fontId="23" fillId="0" borderId="0">
      <protection locked="0"/>
    </xf>
    <xf numFmtId="199" fontId="23" fillId="0" borderId="0">
      <protection locked="0"/>
    </xf>
    <xf numFmtId="199" fontId="23" fillId="0" borderId="0">
      <protection locked="0"/>
    </xf>
    <xf numFmtId="199" fontId="23" fillId="0" borderId="0">
      <protection locked="0"/>
    </xf>
    <xf numFmtId="199" fontId="23" fillId="0" borderId="0">
      <protection locked="0"/>
    </xf>
    <xf numFmtId="0" fontId="129" fillId="0" borderId="41">
      <alignment horizontal="center"/>
    </xf>
    <xf numFmtId="0" fontId="129" fillId="0" borderId="41">
      <alignment horizontal="center"/>
    </xf>
    <xf numFmtId="185" fontId="129" fillId="0" borderId="41">
      <alignment horizontal="center"/>
    </xf>
    <xf numFmtId="186" fontId="129" fillId="0" borderId="41">
      <alignment horizontal="center"/>
    </xf>
    <xf numFmtId="187" fontId="129" fillId="0" borderId="41">
      <alignment horizontal="center"/>
    </xf>
    <xf numFmtId="185" fontId="129" fillId="0" borderId="41">
      <alignment horizontal="center"/>
    </xf>
    <xf numFmtId="186" fontId="129" fillId="0" borderId="41">
      <alignment horizontal="center"/>
    </xf>
    <xf numFmtId="186" fontId="129" fillId="0" borderId="41">
      <alignment horizontal="center"/>
    </xf>
    <xf numFmtId="186" fontId="129" fillId="0" borderId="41">
      <alignment horizontal="center"/>
    </xf>
    <xf numFmtId="187" fontId="129" fillId="0" borderId="41">
      <alignment horizontal="center"/>
    </xf>
    <xf numFmtId="185" fontId="129" fillId="0" borderId="41">
      <alignment horizontal="center"/>
    </xf>
    <xf numFmtId="186" fontId="129" fillId="0" borderId="41">
      <alignment horizontal="center"/>
    </xf>
    <xf numFmtId="186" fontId="129" fillId="0" borderId="41">
      <alignment horizontal="center"/>
    </xf>
    <xf numFmtId="187" fontId="129" fillId="0" borderId="41">
      <alignment horizontal="center"/>
    </xf>
    <xf numFmtId="185" fontId="129" fillId="0" borderId="41">
      <alignment horizontal="center"/>
    </xf>
    <xf numFmtId="186" fontId="129" fillId="0" borderId="41">
      <alignment horizontal="center"/>
    </xf>
    <xf numFmtId="186" fontId="129" fillId="0" borderId="41">
      <alignment horizontal="center"/>
    </xf>
    <xf numFmtId="185" fontId="129" fillId="0" borderId="41">
      <alignment horizontal="center"/>
    </xf>
    <xf numFmtId="186" fontId="129" fillId="0" borderId="41">
      <alignment horizontal="center"/>
    </xf>
    <xf numFmtId="189" fontId="129" fillId="0" borderId="41">
      <alignment horizontal="center"/>
    </xf>
    <xf numFmtId="186" fontId="129" fillId="0" borderId="41">
      <alignment horizontal="center"/>
    </xf>
    <xf numFmtId="186" fontId="129" fillId="0" borderId="41">
      <alignment horizontal="center"/>
    </xf>
    <xf numFmtId="0" fontId="129" fillId="0" borderId="0">
      <alignment horizontal="center"/>
    </xf>
    <xf numFmtId="0" fontId="129" fillId="0" borderId="0">
      <alignment horizontal="center"/>
    </xf>
    <xf numFmtId="185" fontId="129" fillId="0" borderId="0">
      <alignment horizontal="center"/>
    </xf>
    <xf numFmtId="186" fontId="129" fillId="0" borderId="0">
      <alignment horizontal="center"/>
    </xf>
    <xf numFmtId="187" fontId="129" fillId="0" borderId="0">
      <alignment horizontal="center"/>
    </xf>
    <xf numFmtId="185" fontId="129" fillId="0" borderId="0">
      <alignment horizontal="center"/>
    </xf>
    <xf numFmtId="186" fontId="129" fillId="0" borderId="0">
      <alignment horizontal="center"/>
    </xf>
    <xf numFmtId="186" fontId="129" fillId="0" borderId="0">
      <alignment horizontal="center"/>
    </xf>
    <xf numFmtId="186" fontId="129" fillId="0" borderId="0">
      <alignment horizontal="center"/>
    </xf>
    <xf numFmtId="187" fontId="129" fillId="0" borderId="0">
      <alignment horizontal="center"/>
    </xf>
    <xf numFmtId="185" fontId="129" fillId="0" borderId="0">
      <alignment horizontal="center"/>
    </xf>
    <xf numFmtId="186" fontId="129" fillId="0" borderId="0">
      <alignment horizontal="center"/>
    </xf>
    <xf numFmtId="186" fontId="129" fillId="0" borderId="0">
      <alignment horizontal="center"/>
    </xf>
    <xf numFmtId="187" fontId="129" fillId="0" borderId="0">
      <alignment horizontal="center"/>
    </xf>
    <xf numFmtId="185" fontId="129" fillId="0" borderId="0">
      <alignment horizontal="center"/>
    </xf>
    <xf numFmtId="186" fontId="129" fillId="0" borderId="0">
      <alignment horizontal="center"/>
    </xf>
    <xf numFmtId="186" fontId="129" fillId="0" borderId="0">
      <alignment horizontal="center"/>
    </xf>
    <xf numFmtId="185" fontId="129" fillId="0" borderId="0">
      <alignment horizontal="center"/>
    </xf>
    <xf numFmtId="186" fontId="129" fillId="0" borderId="0">
      <alignment horizontal="center"/>
    </xf>
    <xf numFmtId="189" fontId="129" fillId="0" borderId="0">
      <alignment horizontal="center"/>
    </xf>
    <xf numFmtId="186" fontId="129" fillId="0" borderId="0">
      <alignment horizontal="center"/>
    </xf>
    <xf numFmtId="186" fontId="129" fillId="0" borderId="0">
      <alignment horizontal="center"/>
    </xf>
    <xf numFmtId="0" fontId="117" fillId="0" borderId="0" applyProtection="0">
      <alignment horizontal="right"/>
    </xf>
    <xf numFmtId="0" fontId="117" fillId="0" borderId="0" applyProtection="0">
      <alignment horizontal="right"/>
    </xf>
    <xf numFmtId="185" fontId="117" fillId="0" borderId="0" applyProtection="0">
      <alignment horizontal="right"/>
    </xf>
    <xf numFmtId="186" fontId="117" fillId="0" borderId="0" applyProtection="0">
      <alignment horizontal="right"/>
    </xf>
    <xf numFmtId="187" fontId="117" fillId="0" borderId="0" applyProtection="0">
      <alignment horizontal="right"/>
    </xf>
    <xf numFmtId="185" fontId="117" fillId="0" borderId="0" applyProtection="0">
      <alignment horizontal="right"/>
    </xf>
    <xf numFmtId="186" fontId="117" fillId="0" borderId="0" applyProtection="0">
      <alignment horizontal="right"/>
    </xf>
    <xf numFmtId="186" fontId="117" fillId="0" borderId="0" applyProtection="0">
      <alignment horizontal="right"/>
    </xf>
    <xf numFmtId="186" fontId="117" fillId="0" borderId="0" applyProtection="0">
      <alignment horizontal="right"/>
    </xf>
    <xf numFmtId="187" fontId="117" fillId="0" borderId="0" applyProtection="0">
      <alignment horizontal="right"/>
    </xf>
    <xf numFmtId="185" fontId="117" fillId="0" borderId="0" applyProtection="0">
      <alignment horizontal="right"/>
    </xf>
    <xf numFmtId="186" fontId="117" fillId="0" borderId="0" applyProtection="0">
      <alignment horizontal="right"/>
    </xf>
    <xf numFmtId="186" fontId="117" fillId="0" borderId="0" applyProtection="0">
      <alignment horizontal="right"/>
    </xf>
    <xf numFmtId="185" fontId="117" fillId="0" borderId="0" applyProtection="0">
      <alignment horizontal="right"/>
    </xf>
    <xf numFmtId="186" fontId="117" fillId="0" borderId="0" applyProtection="0">
      <alignment horizontal="right"/>
    </xf>
    <xf numFmtId="189" fontId="117" fillId="0" borderId="0" applyProtection="0">
      <alignment horizontal="right"/>
    </xf>
    <xf numFmtId="186" fontId="117" fillId="0" borderId="0" applyProtection="0">
      <alignment horizontal="right"/>
    </xf>
    <xf numFmtId="186" fontId="117" fillId="0" borderId="0" applyProtection="0">
      <alignment horizontal="right"/>
    </xf>
    <xf numFmtId="200" fontId="23" fillId="0" borderId="0" applyFont="0" applyFill="0" applyBorder="0" applyAlignment="0" applyProtection="0"/>
    <xf numFmtId="200" fontId="23" fillId="0" borderId="0" applyFont="0" applyFill="0" applyBorder="0" applyAlignment="0" applyProtection="0"/>
    <xf numFmtId="0" fontId="130" fillId="0" borderId="42" applyNumberFormat="0" applyFill="0" applyAlignment="0" applyProtection="0"/>
    <xf numFmtId="187" fontId="130" fillId="0" borderId="42" applyNumberFormat="0" applyFill="0" applyAlignment="0" applyProtection="0"/>
    <xf numFmtId="0" fontId="130" fillId="0" borderId="42" applyNumberFormat="0" applyFill="0" applyAlignment="0" applyProtection="0"/>
    <xf numFmtId="185" fontId="130" fillId="0" borderId="42" applyNumberFormat="0" applyFill="0" applyAlignment="0" applyProtection="0"/>
    <xf numFmtId="186" fontId="130" fillId="0" borderId="42" applyNumberFormat="0" applyFill="0" applyAlignment="0" applyProtection="0"/>
    <xf numFmtId="187" fontId="130" fillId="0" borderId="42" applyNumberFormat="0" applyFill="0" applyAlignment="0" applyProtection="0"/>
    <xf numFmtId="185" fontId="130" fillId="0" borderId="42" applyNumberFormat="0" applyFill="0" applyAlignment="0" applyProtection="0"/>
    <xf numFmtId="186" fontId="130" fillId="0" borderId="42" applyNumberFormat="0" applyFill="0" applyAlignment="0" applyProtection="0"/>
    <xf numFmtId="186" fontId="130" fillId="0" borderId="42" applyNumberFormat="0" applyFill="0" applyAlignment="0" applyProtection="0"/>
    <xf numFmtId="186" fontId="130" fillId="0" borderId="42" applyNumberFormat="0" applyFill="0" applyAlignment="0" applyProtection="0"/>
    <xf numFmtId="185" fontId="130" fillId="0" borderId="42" applyNumberFormat="0" applyFill="0" applyAlignment="0" applyProtection="0"/>
    <xf numFmtId="186" fontId="130" fillId="0" borderId="42" applyNumberFormat="0" applyFill="0" applyAlignment="0" applyProtection="0"/>
    <xf numFmtId="186" fontId="130" fillId="0" borderId="42" applyNumberFormat="0" applyFill="0" applyAlignment="0" applyProtection="0"/>
    <xf numFmtId="185" fontId="130" fillId="0" borderId="42" applyNumberFormat="0" applyFill="0" applyAlignment="0" applyProtection="0"/>
    <xf numFmtId="186" fontId="130" fillId="0" borderId="42" applyNumberFormat="0" applyFill="0" applyAlignment="0" applyProtection="0"/>
    <xf numFmtId="189" fontId="130" fillId="0" borderId="42" applyNumberFormat="0" applyFill="0" applyAlignment="0" applyProtection="0"/>
    <xf numFmtId="186" fontId="130" fillId="0" borderId="42" applyNumberFormat="0" applyFill="0" applyAlignment="0" applyProtection="0"/>
    <xf numFmtId="186" fontId="130" fillId="0" borderId="42" applyNumberFormat="0" applyFill="0" applyAlignment="0" applyProtection="0"/>
    <xf numFmtId="185" fontId="131" fillId="0" borderId="0" applyFill="0" applyBorder="0" applyAlignment="0" applyProtection="0">
      <alignment horizontal="right"/>
    </xf>
    <xf numFmtId="186" fontId="131" fillId="0" borderId="0" applyFill="0" applyBorder="0" applyAlignment="0" applyProtection="0">
      <alignment horizontal="right"/>
    </xf>
    <xf numFmtId="10" fontId="25" fillId="102" borderId="3" applyNumberFormat="0" applyBorder="0" applyAlignment="0" applyProtection="0"/>
    <xf numFmtId="10" fontId="25" fillId="102" borderId="3" applyNumberFormat="0" applyBorder="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0" fontId="88" fillId="41" borderId="23" applyNumberFormat="0" applyAlignment="0" applyProtection="0"/>
    <xf numFmtId="186" fontId="88" fillId="41" borderId="23"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184" fontId="88" fillId="41" borderId="23"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0"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0" fontId="132" fillId="21" borderId="32" applyNumberFormat="0" applyAlignment="0" applyProtection="0"/>
    <xf numFmtId="186" fontId="132" fillId="21" borderId="32" applyNumberFormat="0" applyAlignment="0" applyProtection="0"/>
    <xf numFmtId="186" fontId="133" fillId="74" borderId="31" applyNumberFormat="0" applyAlignment="0" applyProtection="0"/>
    <xf numFmtId="184" fontId="132" fillId="21" borderId="32" applyNumberFormat="0" applyAlignment="0" applyProtection="0"/>
    <xf numFmtId="0"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0" fontId="132" fillId="21" borderId="32"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9" fontId="88" fillId="41" borderId="23" applyNumberFormat="0" applyAlignment="0" applyProtection="0"/>
    <xf numFmtId="0"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88" fillId="41" borderId="23"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9" fontId="132" fillId="21" borderId="31" applyNumberFormat="0" applyAlignment="0" applyProtection="0"/>
    <xf numFmtId="189"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0"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7" fontId="88" fillId="41" borderId="23" applyNumberFormat="0" applyAlignment="0" applyProtection="0"/>
    <xf numFmtId="185"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186" fontId="88" fillId="41" borderId="23"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9" fontId="132" fillId="21" borderId="31" applyNumberFormat="0" applyAlignment="0" applyProtection="0"/>
    <xf numFmtId="189"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0"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5"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0" fontId="132" fillId="21" borderId="32" applyNumberFormat="0" applyAlignment="0" applyProtection="0"/>
    <xf numFmtId="186" fontId="132" fillId="21" borderId="32" applyNumberFormat="0" applyAlignment="0" applyProtection="0"/>
    <xf numFmtId="186" fontId="132" fillId="21" borderId="32"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5" fontId="132" fillId="21" borderId="31" applyNumberFormat="0" applyAlignment="0" applyProtection="0"/>
    <xf numFmtId="185"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187" fontId="132" fillId="21" borderId="31" applyNumberFormat="0" applyAlignment="0" applyProtection="0"/>
    <xf numFmtId="186" fontId="132" fillId="21" borderId="31" applyNumberFormat="0" applyAlignment="0" applyProtection="0"/>
    <xf numFmtId="186" fontId="132" fillId="21"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5" fontId="133" fillId="74" borderId="31" applyNumberFormat="0" applyAlignment="0" applyProtection="0"/>
    <xf numFmtId="185"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0" fontId="133" fillId="74" borderId="31" applyNumberFormat="0" applyAlignment="0" applyProtection="0"/>
    <xf numFmtId="186" fontId="133" fillId="74" borderId="31" applyNumberFormat="0" applyAlignment="0" applyProtection="0"/>
    <xf numFmtId="186" fontId="133" fillId="74" borderId="31" applyNumberFormat="0" applyAlignment="0" applyProtection="0"/>
    <xf numFmtId="201" fontId="134" fillId="0" borderId="0" applyFont="0" applyFill="0" applyBorder="0" applyProtection="0">
      <alignment horizontal="center"/>
    </xf>
    <xf numFmtId="185" fontId="36" fillId="34" borderId="0" applyNumberFormat="0" applyFont="0" applyBorder="0" applyAlignment="0" applyProtection="0">
      <alignment horizontal="left"/>
    </xf>
    <xf numFmtId="186" fontId="36" fillId="34" borderId="0" applyNumberFormat="0" applyFont="0" applyBorder="0" applyAlignment="0" applyProtection="0">
      <alignment horizontal="left"/>
    </xf>
    <xf numFmtId="0" fontId="135" fillId="0" borderId="43" applyNumberFormat="0" applyFill="0" applyAlignment="0" applyProtection="0"/>
    <xf numFmtId="0" fontId="135" fillId="0" borderId="43" applyNumberFormat="0" applyFill="0" applyAlignment="0" applyProtection="0"/>
    <xf numFmtId="186" fontId="135" fillId="0" borderId="43" applyNumberFormat="0" applyFill="0" applyAlignment="0" applyProtection="0"/>
    <xf numFmtId="186" fontId="135" fillId="0" borderId="43" applyNumberFormat="0" applyFill="0" applyAlignment="0" applyProtection="0"/>
    <xf numFmtId="184" fontId="121" fillId="0" borderId="44" applyNumberFormat="0" applyFill="0" applyAlignment="0" applyProtection="0"/>
    <xf numFmtId="0" fontId="91" fillId="0" borderId="25"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0"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0"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7"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0" fontId="121" fillId="0" borderId="44"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5" fontId="121" fillId="0" borderId="44" applyNumberFormat="0" applyFill="0" applyAlignment="0" applyProtection="0"/>
    <xf numFmtId="186" fontId="121" fillId="0" borderId="44" applyNumberFormat="0" applyFill="0" applyAlignment="0" applyProtection="0"/>
    <xf numFmtId="186" fontId="121" fillId="0" borderId="44" applyNumberFormat="0" applyFill="0" applyAlignment="0" applyProtection="0"/>
    <xf numFmtId="185" fontId="135" fillId="0" borderId="43"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5" fontId="135" fillId="0" borderId="43" applyNumberFormat="0" applyFill="0" applyAlignment="0" applyProtection="0"/>
    <xf numFmtId="186" fontId="135" fillId="0" borderId="43" applyNumberFormat="0" applyFill="0" applyAlignment="0" applyProtection="0"/>
    <xf numFmtId="186" fontId="135" fillId="0" borderId="43" applyNumberFormat="0" applyFill="0" applyAlignment="0" applyProtection="0"/>
    <xf numFmtId="189" fontId="136" fillId="0" borderId="45" applyNumberFormat="0" applyFill="0" applyAlignment="0" applyProtection="0"/>
    <xf numFmtId="0" fontId="135" fillId="0" borderId="43" applyNumberFormat="0" applyFill="0" applyAlignment="0" applyProtection="0"/>
    <xf numFmtId="186" fontId="135" fillId="0" borderId="43" applyNumberFormat="0" applyFill="0" applyAlignment="0" applyProtection="0"/>
    <xf numFmtId="186" fontId="136" fillId="0" borderId="45" applyNumberFormat="0" applyFill="0" applyAlignment="0" applyProtection="0"/>
    <xf numFmtId="0" fontId="135" fillId="0" borderId="43"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0" fontId="135" fillId="0" borderId="43"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7" fontId="91" fillId="0" borderId="25" applyNumberFormat="0" applyFill="0" applyAlignment="0" applyProtection="0"/>
    <xf numFmtId="185"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0" fontId="135" fillId="0" borderId="43" applyNumberFormat="0" applyFill="0" applyAlignment="0" applyProtection="0"/>
    <xf numFmtId="185" fontId="135" fillId="0" borderId="43" applyNumberFormat="0" applyFill="0" applyAlignment="0" applyProtection="0"/>
    <xf numFmtId="186" fontId="135" fillId="0" borderId="43" applyNumberFormat="0" applyFill="0" applyAlignment="0" applyProtection="0"/>
    <xf numFmtId="187" fontId="135" fillId="0" borderId="43" applyNumberFormat="0" applyFill="0" applyAlignment="0" applyProtection="0"/>
    <xf numFmtId="185" fontId="135" fillId="0" borderId="43" applyNumberFormat="0" applyFill="0" applyAlignment="0" applyProtection="0"/>
    <xf numFmtId="186" fontId="135" fillId="0" borderId="43" applyNumberFormat="0" applyFill="0" applyAlignment="0" applyProtection="0"/>
    <xf numFmtId="186" fontId="135" fillId="0" borderId="43" applyNumberFormat="0" applyFill="0" applyAlignment="0" applyProtection="0"/>
    <xf numFmtId="186" fontId="135" fillId="0" borderId="43" applyNumberFormat="0" applyFill="0" applyAlignment="0" applyProtection="0"/>
    <xf numFmtId="187" fontId="136" fillId="0" borderId="45" applyNumberFormat="0" applyFill="0" applyAlignment="0" applyProtection="0"/>
    <xf numFmtId="185" fontId="136" fillId="0" borderId="45" applyNumberFormat="0" applyFill="0" applyAlignment="0" applyProtection="0"/>
    <xf numFmtId="186" fontId="136" fillId="0" borderId="45" applyNumberFormat="0" applyFill="0" applyAlignment="0" applyProtection="0"/>
    <xf numFmtId="186" fontId="136" fillId="0" borderId="45" applyNumberFormat="0" applyFill="0" applyAlignment="0" applyProtection="0"/>
    <xf numFmtId="0" fontId="91" fillId="0" borderId="25" applyNumberFormat="0" applyFill="0" applyAlignment="0" applyProtection="0"/>
    <xf numFmtId="186" fontId="91" fillId="0" borderId="25" applyNumberFormat="0" applyFill="0" applyAlignment="0" applyProtection="0"/>
    <xf numFmtId="186" fontId="91" fillId="0" borderId="25" applyNumberFormat="0" applyFill="0" applyAlignment="0" applyProtection="0"/>
    <xf numFmtId="184" fontId="91" fillId="0" borderId="25" applyNumberFormat="0" applyFill="0" applyAlignment="0" applyProtection="0"/>
    <xf numFmtId="185" fontId="137" fillId="103" borderId="0">
      <alignment horizontal="right"/>
    </xf>
    <xf numFmtId="186" fontId="137" fillId="103" borderId="0">
      <alignment horizontal="right"/>
    </xf>
    <xf numFmtId="17" fontId="138" fillId="0" borderId="0" applyFont="0" applyFill="0" applyBorder="0" applyAlignment="0" applyProtection="0">
      <alignment horizontal="centerContinuous"/>
      <protection locked="0"/>
    </xf>
    <xf numFmtId="0" fontId="139" fillId="25" borderId="0" applyNumberFormat="0" applyBorder="0" applyAlignment="0" applyProtection="0"/>
    <xf numFmtId="0" fontId="139" fillId="25" borderId="0" applyNumberFormat="0" applyBorder="0" applyAlignment="0" applyProtection="0"/>
    <xf numFmtId="186" fontId="139" fillId="25" borderId="0" applyNumberFormat="0" applyBorder="0" applyAlignment="0" applyProtection="0"/>
    <xf numFmtId="186" fontId="139" fillId="25" borderId="0" applyNumberFormat="0" applyBorder="0" applyAlignment="0" applyProtection="0"/>
    <xf numFmtId="184" fontId="121" fillId="21" borderId="0" applyNumberFormat="0" applyBorder="0" applyAlignment="0" applyProtection="0"/>
    <xf numFmtId="0"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189" fontId="139" fillId="21" borderId="0" applyNumberFormat="0" applyBorder="0" applyAlignment="0" applyProtection="0"/>
    <xf numFmtId="186" fontId="139" fillId="21" borderId="0" applyNumberFormat="0" applyBorder="0" applyAlignment="0" applyProtection="0"/>
    <xf numFmtId="186" fontId="87" fillId="40" borderId="0" applyNumberFormat="0" applyBorder="0" applyAlignment="0" applyProtection="0"/>
    <xf numFmtId="0" fontId="139" fillId="21"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6" fontId="139" fillId="21" borderId="0" applyNumberFormat="0" applyBorder="0" applyAlignment="0" applyProtection="0"/>
    <xf numFmtId="186" fontId="139" fillId="21" borderId="0" applyNumberFormat="0" applyBorder="0" applyAlignment="0" applyProtection="0"/>
    <xf numFmtId="187" fontId="139" fillId="21"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6" fontId="139" fillId="21" borderId="0" applyNumberFormat="0" applyBorder="0" applyAlignment="0" applyProtection="0"/>
    <xf numFmtId="0"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0" fontId="121" fillId="21"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5" fontId="121" fillId="21" borderId="0" applyNumberFormat="0" applyBorder="0" applyAlignment="0" applyProtection="0"/>
    <xf numFmtId="186" fontId="121" fillId="21" borderId="0" applyNumberFormat="0" applyBorder="0" applyAlignment="0" applyProtection="0"/>
    <xf numFmtId="186" fontId="121" fillId="21" borderId="0" applyNumberFormat="0" applyBorder="0" applyAlignment="0" applyProtection="0"/>
    <xf numFmtId="185" fontId="139" fillId="25"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5" fontId="139" fillId="25" borderId="0" applyNumberFormat="0" applyBorder="0" applyAlignment="0" applyProtection="0"/>
    <xf numFmtId="186" fontId="139" fillId="25" borderId="0" applyNumberFormat="0" applyBorder="0" applyAlignment="0" applyProtection="0"/>
    <xf numFmtId="186" fontId="139" fillId="25" borderId="0" applyNumberFormat="0" applyBorder="0" applyAlignment="0" applyProtection="0"/>
    <xf numFmtId="189" fontId="87" fillId="40" borderId="0" applyNumberFormat="0" applyBorder="0" applyAlignment="0" applyProtection="0"/>
    <xf numFmtId="0" fontId="139" fillId="25" borderId="0" applyNumberFormat="0" applyBorder="0" applyAlignment="0" applyProtection="0"/>
    <xf numFmtId="186" fontId="139" fillId="25" borderId="0" applyNumberFormat="0" applyBorder="0" applyAlignment="0" applyProtection="0"/>
    <xf numFmtId="186" fontId="87" fillId="40" borderId="0" applyNumberFormat="0" applyBorder="0" applyAlignment="0" applyProtection="0"/>
    <xf numFmtId="0" fontId="139" fillId="25"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0" fontId="139" fillId="25"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7" fontId="87" fillId="40" borderId="0" applyNumberFormat="0" applyBorder="0" applyAlignment="0" applyProtection="0"/>
    <xf numFmtId="185"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0" fontId="139" fillId="25" borderId="0" applyNumberFormat="0" applyBorder="0" applyAlignment="0" applyProtection="0"/>
    <xf numFmtId="185" fontId="139" fillId="25" borderId="0" applyNumberFormat="0" applyBorder="0" applyAlignment="0" applyProtection="0"/>
    <xf numFmtId="186" fontId="139" fillId="25" borderId="0" applyNumberFormat="0" applyBorder="0" applyAlignment="0" applyProtection="0"/>
    <xf numFmtId="187" fontId="139" fillId="25" borderId="0" applyNumberFormat="0" applyBorder="0" applyAlignment="0" applyProtection="0"/>
    <xf numFmtId="185" fontId="139" fillId="25" borderId="0" applyNumberFormat="0" applyBorder="0" applyAlignment="0" applyProtection="0"/>
    <xf numFmtId="186" fontId="139" fillId="25" borderId="0" applyNumberFormat="0" applyBorder="0" applyAlignment="0" applyProtection="0"/>
    <xf numFmtId="186" fontId="139" fillId="25" borderId="0" applyNumberFormat="0" applyBorder="0" applyAlignment="0" applyProtection="0"/>
    <xf numFmtId="186" fontId="139" fillId="25" borderId="0" applyNumberFormat="0" applyBorder="0" applyAlignment="0" applyProtection="0"/>
    <xf numFmtId="187" fontId="139" fillId="21" borderId="0" applyNumberFormat="0" applyBorder="0" applyAlignment="0" applyProtection="0"/>
    <xf numFmtId="185" fontId="139" fillId="21" borderId="0" applyNumberFormat="0" applyBorder="0" applyAlignment="0" applyProtection="0"/>
    <xf numFmtId="186" fontId="139" fillId="21" borderId="0" applyNumberFormat="0" applyBorder="0" applyAlignment="0" applyProtection="0"/>
    <xf numFmtId="186" fontId="139" fillId="21" borderId="0" applyNumberFormat="0" applyBorder="0" applyAlignment="0" applyProtection="0"/>
    <xf numFmtId="0" fontId="87" fillId="40" borderId="0" applyNumberFormat="0" applyBorder="0" applyAlignment="0" applyProtection="0"/>
    <xf numFmtId="186" fontId="87" fillId="40" borderId="0" applyNumberFormat="0" applyBorder="0" applyAlignment="0" applyProtection="0"/>
    <xf numFmtId="186" fontId="87" fillId="40" borderId="0" applyNumberFormat="0" applyBorder="0" applyAlignment="0" applyProtection="0"/>
    <xf numFmtId="184" fontId="87" fillId="40" borderId="0" applyNumberFormat="0" applyBorder="0" applyAlignment="0" applyProtection="0"/>
    <xf numFmtId="37" fontId="140" fillId="0" borderId="0"/>
    <xf numFmtId="202" fontId="141" fillId="0" borderId="0"/>
    <xf numFmtId="203" fontId="23" fillId="0" borderId="0"/>
    <xf numFmtId="203" fontId="23" fillId="0" borderId="0"/>
    <xf numFmtId="0" fontId="5" fillId="0" borderId="0"/>
    <xf numFmtId="185" fontId="5" fillId="0" borderId="0"/>
    <xf numFmtId="186" fontId="5" fillId="0" borderId="0"/>
    <xf numFmtId="187" fontId="5" fillId="0" borderId="0"/>
    <xf numFmtId="185"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185" fontId="5" fillId="0" borderId="0"/>
    <xf numFmtId="186" fontId="5" fillId="0" borderId="0"/>
    <xf numFmtId="187" fontId="5" fillId="0" borderId="0"/>
    <xf numFmtId="185" fontId="5" fillId="0" borderId="0"/>
    <xf numFmtId="186" fontId="5" fillId="0" borderId="0"/>
    <xf numFmtId="186" fontId="5" fillId="0" borderId="0"/>
    <xf numFmtId="185" fontId="23" fillId="0" borderId="0"/>
    <xf numFmtId="186" fontId="23" fillId="0" borderId="0"/>
    <xf numFmtId="186" fontId="23" fillId="0" borderId="0"/>
    <xf numFmtId="189" fontId="5" fillId="0" borderId="0"/>
    <xf numFmtId="0"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5" fillId="0" borderId="0"/>
    <xf numFmtId="0" fontId="5" fillId="0" borderId="0"/>
    <xf numFmtId="185" fontId="5" fillId="0" borderId="0"/>
    <xf numFmtId="186" fontId="5" fillId="0" borderId="0"/>
    <xf numFmtId="187" fontId="5" fillId="0" borderId="0"/>
    <xf numFmtId="185"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185" fontId="5" fillId="0" borderId="0"/>
    <xf numFmtId="186" fontId="5" fillId="0" borderId="0"/>
    <xf numFmtId="187" fontId="5" fillId="0" borderId="0"/>
    <xf numFmtId="185" fontId="5" fillId="0" borderId="0"/>
    <xf numFmtId="186" fontId="5" fillId="0" borderId="0"/>
    <xf numFmtId="186" fontId="5" fillId="0" borderId="0"/>
    <xf numFmtId="0" fontId="25" fillId="104" borderId="0"/>
    <xf numFmtId="185" fontId="25" fillId="104" borderId="0"/>
    <xf numFmtId="186" fontId="25" fillId="104" borderId="0"/>
    <xf numFmtId="186" fontId="25" fillId="104" borderId="0"/>
    <xf numFmtId="189" fontId="25" fillId="104" borderId="0"/>
    <xf numFmtId="186" fontId="25" fillId="104" borderId="0"/>
    <xf numFmtId="186" fontId="5"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5" fillId="0" borderId="0"/>
    <xf numFmtId="0" fontId="5" fillId="0" borderId="0"/>
    <xf numFmtId="185" fontId="5" fillId="0" borderId="0"/>
    <xf numFmtId="186" fontId="5" fillId="0" borderId="0"/>
    <xf numFmtId="187" fontId="5" fillId="0" borderId="0"/>
    <xf numFmtId="185"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185" fontId="5" fillId="0" borderId="0"/>
    <xf numFmtId="186" fontId="5" fillId="0" borderId="0"/>
    <xf numFmtId="187" fontId="5" fillId="0" borderId="0"/>
    <xf numFmtId="185" fontId="5" fillId="0" borderId="0"/>
    <xf numFmtId="186" fontId="5" fillId="0" borderId="0"/>
    <xf numFmtId="186" fontId="5" fillId="0" borderId="0"/>
    <xf numFmtId="0" fontId="25" fillId="104" borderId="0"/>
    <xf numFmtId="185" fontId="25" fillId="104" borderId="0"/>
    <xf numFmtId="186" fontId="25" fillId="104" borderId="0"/>
    <xf numFmtId="186" fontId="25" fillId="104" borderId="0"/>
    <xf numFmtId="189" fontId="5" fillId="0" borderId="0"/>
    <xf numFmtId="186" fontId="5" fillId="0" borderId="0"/>
    <xf numFmtId="186" fontId="5" fillId="0" borderId="0"/>
    <xf numFmtId="0"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5" fillId="0" borderId="0"/>
    <xf numFmtId="0" fontId="5" fillId="0" borderId="0"/>
    <xf numFmtId="185" fontId="5" fillId="0" borderId="0"/>
    <xf numFmtId="186" fontId="5" fillId="0" borderId="0"/>
    <xf numFmtId="187" fontId="5" fillId="0" borderId="0"/>
    <xf numFmtId="185"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185" fontId="5" fillId="0" borderId="0"/>
    <xf numFmtId="186" fontId="5" fillId="0" borderId="0"/>
    <xf numFmtId="187" fontId="5" fillId="0" borderId="0"/>
    <xf numFmtId="185" fontId="5" fillId="0" borderId="0"/>
    <xf numFmtId="186" fontId="5" fillId="0" borderId="0"/>
    <xf numFmtId="186" fontId="5" fillId="0" borderId="0"/>
    <xf numFmtId="0" fontId="25" fillId="104" borderId="0"/>
    <xf numFmtId="185" fontId="25" fillId="104" borderId="0"/>
    <xf numFmtId="186" fontId="25" fillId="104" borderId="0"/>
    <xf numFmtId="186" fontId="25" fillId="104" borderId="0"/>
    <xf numFmtId="189" fontId="25" fillId="104" borderId="0"/>
    <xf numFmtId="186" fontId="25" fillId="104" borderId="0"/>
    <xf numFmtId="186" fontId="5"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186" fontId="23" fillId="0" borderId="0"/>
    <xf numFmtId="187" fontId="23" fillId="0" borderId="0"/>
    <xf numFmtId="185" fontId="23" fillId="0" borderId="0"/>
    <xf numFmtId="186" fontId="23" fillId="0" borderId="0"/>
    <xf numFmtId="187"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5" fillId="104" borderId="0"/>
    <xf numFmtId="185" fontId="25" fillId="104" borderId="0"/>
    <xf numFmtId="185"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0" fontId="25" fillId="104" borderId="0"/>
    <xf numFmtId="185" fontId="25" fillId="104" borderId="0"/>
    <xf numFmtId="186"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189"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5" fillId="104" borderId="0"/>
    <xf numFmtId="185" fontId="25" fillId="104" borderId="0"/>
    <xf numFmtId="185"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0" fontId="25" fillId="104" borderId="0"/>
    <xf numFmtId="185" fontId="25" fillId="104" borderId="0"/>
    <xf numFmtId="186"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186" fontId="25" fillId="104" borderId="0"/>
    <xf numFmtId="186" fontId="23" fillId="0" borderId="0"/>
    <xf numFmtId="184" fontId="25" fillId="104" borderId="0"/>
    <xf numFmtId="204" fontId="5" fillId="0" borderId="0"/>
    <xf numFmtId="0" fontId="5" fillId="0" borderId="0"/>
    <xf numFmtId="204"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189"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3" fillId="0" borderId="0"/>
    <xf numFmtId="186" fontId="23"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6" fontId="23" fillId="0" borderId="0"/>
    <xf numFmtId="186" fontId="23" fillId="0" borderId="0"/>
    <xf numFmtId="189" fontId="5" fillId="0" borderId="0"/>
    <xf numFmtId="0" fontId="23" fillId="0" borderId="0"/>
    <xf numFmtId="186" fontId="23" fillId="0" borderId="0"/>
    <xf numFmtId="186" fontId="5" fillId="0" borderId="0"/>
    <xf numFmtId="0" fontId="23" fillId="0" borderId="0"/>
    <xf numFmtId="186" fontId="23" fillId="0" borderId="0"/>
    <xf numFmtId="0" fontId="23" fillId="0" borderId="0"/>
    <xf numFmtId="0"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6" fontId="23" fillId="0" borderId="0"/>
    <xf numFmtId="184" fontId="23" fillId="0" borderId="0"/>
    <xf numFmtId="204" fontId="5" fillId="0" borderId="0"/>
    <xf numFmtId="0" fontId="142"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142" fillId="0" borderId="0"/>
    <xf numFmtId="185" fontId="142" fillId="0" borderId="0"/>
    <xf numFmtId="186" fontId="142"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2" fillId="0" borderId="0"/>
    <xf numFmtId="187" fontId="142" fillId="0" borderId="0"/>
    <xf numFmtId="185" fontId="142" fillId="0" borderId="0"/>
    <xf numFmtId="185" fontId="142" fillId="0" borderId="0"/>
    <xf numFmtId="186" fontId="142" fillId="0" borderId="0"/>
    <xf numFmtId="0" fontId="5" fillId="0" borderId="0"/>
    <xf numFmtId="185" fontId="5" fillId="0" borderId="0"/>
    <xf numFmtId="186" fontId="5" fillId="0" borderId="0"/>
    <xf numFmtId="186" fontId="5" fillId="0" borderId="0"/>
    <xf numFmtId="186" fontId="142" fillId="0" borderId="0"/>
    <xf numFmtId="187" fontId="142" fillId="0" borderId="0"/>
    <xf numFmtId="185" fontId="142" fillId="0" borderId="0"/>
    <xf numFmtId="186" fontId="142" fillId="0" borderId="0"/>
    <xf numFmtId="186" fontId="142"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2" fillId="0" borderId="0"/>
    <xf numFmtId="0" fontId="142" fillId="0" borderId="0"/>
    <xf numFmtId="185" fontId="142" fillId="0" borderId="0"/>
    <xf numFmtId="186" fontId="142" fillId="0" borderId="0"/>
    <xf numFmtId="186" fontId="142" fillId="0" borderId="0"/>
    <xf numFmtId="186" fontId="142" fillId="0" borderId="0"/>
    <xf numFmtId="0"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23" fillId="0" borderId="0"/>
    <xf numFmtId="185" fontId="23" fillId="0" borderId="0"/>
    <xf numFmtId="186" fontId="23" fillId="0" borderId="0"/>
    <xf numFmtId="186" fontId="23" fillId="0" borderId="0"/>
    <xf numFmtId="189" fontId="23"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9" fontId="5" fillId="0" borderId="0"/>
    <xf numFmtId="186" fontId="5" fillId="0" borderId="0"/>
    <xf numFmtId="186" fontId="23" fillId="0" borderId="0"/>
    <xf numFmtId="204"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3" fillId="0" borderId="0"/>
    <xf numFmtId="186" fontId="23"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186"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188" fontId="23" fillId="0" borderId="0">
      <alignment horizontal="left" wrapText="1"/>
    </xf>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8" fontId="23" fillId="0" borderId="0">
      <alignment horizontal="left" wrapText="1"/>
    </xf>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188" fontId="23" fillId="0" borderId="0">
      <alignment horizontal="left" wrapText="1"/>
    </xf>
    <xf numFmtId="0" fontId="2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9" fontId="5" fillId="0" borderId="0"/>
    <xf numFmtId="186" fontId="5" fillId="0" borderId="0"/>
    <xf numFmtId="186" fontId="5" fillId="0" borderId="0"/>
    <xf numFmtId="204" fontId="5"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7"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5"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0" fontId="57" fillId="0" borderId="0"/>
    <xf numFmtId="185" fontId="57" fillId="0" borderId="0"/>
    <xf numFmtId="186" fontId="57" fillId="0" borderId="0"/>
    <xf numFmtId="186" fontId="57" fillId="0" borderId="0"/>
    <xf numFmtId="0" fontId="5" fillId="0" borderId="0"/>
    <xf numFmtId="185" fontId="5" fillId="0" borderId="0"/>
    <xf numFmtId="186" fontId="5" fillId="0" borderId="0"/>
    <xf numFmtId="186" fontId="5" fillId="0" borderId="0"/>
    <xf numFmtId="186" fontId="57"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5" fillId="104" borderId="0"/>
    <xf numFmtId="185"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185" fontId="25" fillId="104" borderId="0"/>
    <xf numFmtId="185" fontId="25" fillId="104" borderId="0"/>
    <xf numFmtId="186" fontId="25" fillId="104" borderId="0"/>
    <xf numFmtId="0" fontId="5" fillId="0" borderId="0"/>
    <xf numFmtId="185" fontId="5" fillId="0" borderId="0"/>
    <xf numFmtId="186" fontId="5" fillId="0" borderId="0"/>
    <xf numFmtId="186" fontId="5" fillId="0" borderId="0"/>
    <xf numFmtId="186" fontId="25" fillId="104"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5" fillId="104" borderId="0"/>
    <xf numFmtId="0" fontId="25" fillId="104" borderId="0"/>
    <xf numFmtId="185" fontId="25" fillId="104" borderId="0"/>
    <xf numFmtId="186" fontId="25" fillId="104" borderId="0"/>
    <xf numFmtId="186" fontId="25" fillId="104" borderId="0"/>
    <xf numFmtId="0" fontId="25" fillId="104" borderId="0"/>
    <xf numFmtId="0" fontId="25" fillId="104" borderId="0"/>
    <xf numFmtId="185" fontId="25" fillId="104" borderId="0"/>
    <xf numFmtId="186" fontId="25" fillId="104" borderId="0"/>
    <xf numFmtId="186" fontId="25" fillId="104" borderId="0"/>
    <xf numFmtId="185" fontId="25" fillId="104" borderId="0"/>
    <xf numFmtId="186" fontId="25" fillId="104" borderId="0"/>
    <xf numFmtId="186" fontId="25" fillId="104" borderId="0"/>
    <xf numFmtId="0" fontId="5" fillId="0" borderId="0"/>
    <xf numFmtId="185" fontId="5" fillId="0" borderId="0"/>
    <xf numFmtId="186" fontId="5" fillId="0" borderId="0"/>
    <xf numFmtId="186" fontId="5" fillId="0" borderId="0"/>
    <xf numFmtId="185" fontId="25" fillId="104" borderId="0"/>
    <xf numFmtId="186" fontId="25" fillId="104" borderId="0"/>
    <xf numFmtId="186" fontId="25" fillId="104" borderId="0"/>
    <xf numFmtId="0" fontId="23" fillId="0" borderId="0"/>
    <xf numFmtId="0" fontId="23" fillId="0" borderId="0"/>
    <xf numFmtId="185" fontId="23" fillId="0" borderId="0"/>
    <xf numFmtId="186" fontId="23" fillId="0" borderId="0"/>
    <xf numFmtId="186" fontId="23" fillId="0" borderId="0"/>
    <xf numFmtId="185" fontId="23" fillId="0" borderId="0"/>
    <xf numFmtId="186" fontId="23" fillId="0" borderId="0"/>
    <xf numFmtId="186" fontId="23" fillId="0" borderId="0"/>
    <xf numFmtId="0" fontId="23" fillId="0" borderId="0"/>
    <xf numFmtId="0" fontId="23" fillId="0" borderId="0"/>
    <xf numFmtId="185" fontId="23" fillId="0" borderId="0"/>
    <xf numFmtId="186" fontId="23" fillId="0" borderId="0"/>
    <xf numFmtId="186" fontId="23" fillId="0" borderId="0"/>
    <xf numFmtId="185" fontId="23" fillId="0" borderId="0"/>
    <xf numFmtId="186" fontId="23" fillId="0" borderId="0"/>
    <xf numFmtId="186" fontId="23" fillId="0" borderId="0"/>
    <xf numFmtId="0" fontId="23" fillId="0" borderId="0"/>
    <xf numFmtId="0" fontId="23" fillId="0" borderId="0"/>
    <xf numFmtId="185" fontId="23" fillId="0" borderId="0"/>
    <xf numFmtId="186" fontId="23" fillId="0" borderId="0"/>
    <xf numFmtId="186" fontId="23" fillId="0" borderId="0"/>
    <xf numFmtId="185" fontId="23" fillId="0" borderId="0"/>
    <xf numFmtId="186" fontId="23" fillId="0" borderId="0"/>
    <xf numFmtId="186" fontId="23"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187" fontId="5" fillId="0" borderId="0"/>
    <xf numFmtId="185"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40" fillId="0" borderId="0"/>
    <xf numFmtId="189" fontId="5" fillId="0" borderId="0"/>
    <xf numFmtId="186" fontId="5" fillId="0" borderId="0"/>
    <xf numFmtId="186" fontId="23" fillId="0" borderId="0"/>
    <xf numFmtId="204" fontId="23" fillId="0" borderId="0"/>
    <xf numFmtId="184"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0" fontId="23" fillId="0" borderId="0"/>
    <xf numFmtId="185"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5" fontId="23" fillId="0" borderId="0"/>
    <xf numFmtId="186" fontId="23" fillId="0" borderId="0"/>
    <xf numFmtId="0" fontId="23" fillId="0" borderId="0"/>
    <xf numFmtId="186"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0" fontId="23" fillId="0" borderId="0"/>
    <xf numFmtId="0" fontId="23" fillId="0" borderId="0"/>
    <xf numFmtId="185" fontId="23" fillId="0" borderId="0"/>
    <xf numFmtId="186" fontId="23" fillId="0" borderId="0"/>
    <xf numFmtId="186" fontId="23" fillId="0" borderId="0"/>
    <xf numFmtId="0" fontId="23" fillId="0" borderId="0"/>
    <xf numFmtId="185" fontId="23" fillId="0" borderId="0"/>
    <xf numFmtId="186" fontId="23" fillId="0" borderId="0"/>
    <xf numFmtId="186" fontId="23" fillId="0" borderId="0"/>
    <xf numFmtId="185" fontId="23" fillId="0" borderId="0"/>
    <xf numFmtId="186" fontId="23" fillId="0" borderId="0"/>
    <xf numFmtId="0" fontId="23" fillId="0" borderId="0"/>
    <xf numFmtId="186" fontId="23"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0" fontId="57" fillId="0" borderId="0"/>
    <xf numFmtId="185" fontId="57" fillId="0" borderId="0"/>
    <xf numFmtId="186" fontId="57" fillId="0" borderId="0"/>
    <xf numFmtId="186" fontId="57" fillId="0" borderId="0"/>
    <xf numFmtId="185" fontId="5" fillId="0" borderId="0"/>
    <xf numFmtId="186" fontId="5" fillId="0" borderId="0"/>
    <xf numFmtId="185" fontId="5" fillId="0" borderId="0"/>
    <xf numFmtId="186" fontId="5" fillId="0" borderId="0"/>
    <xf numFmtId="185"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185" fontId="25" fillId="104" borderId="0"/>
    <xf numFmtId="186" fontId="25" fillId="104" borderId="0"/>
    <xf numFmtId="186" fontId="25" fillId="104" borderId="0"/>
    <xf numFmtId="0" fontId="25" fillId="104" borderId="0"/>
    <xf numFmtId="185" fontId="25" fillId="104" borderId="0"/>
    <xf numFmtId="186" fontId="25" fillId="104" borderId="0"/>
    <xf numFmtId="186" fontId="25" fillId="104" borderId="0"/>
    <xf numFmtId="0" fontId="25" fillId="104" borderId="0"/>
    <xf numFmtId="185" fontId="25" fillId="104" borderId="0"/>
    <xf numFmtId="186" fontId="25" fillId="104" borderId="0"/>
    <xf numFmtId="186" fontId="25" fillId="104" borderId="0"/>
    <xf numFmtId="0" fontId="25" fillId="104" borderId="0"/>
    <xf numFmtId="185" fontId="25" fillId="104" borderId="0"/>
    <xf numFmtId="186" fontId="25" fillId="104" borderId="0"/>
    <xf numFmtId="186" fontId="25" fillId="104" borderId="0"/>
    <xf numFmtId="0" fontId="25" fillId="104" borderId="0"/>
    <xf numFmtId="185" fontId="25" fillId="104" borderId="0"/>
    <xf numFmtId="186" fontId="25" fillId="104" borderId="0"/>
    <xf numFmtId="186" fontId="25" fillId="104" borderId="0"/>
    <xf numFmtId="0" fontId="25" fillId="104" borderId="0"/>
    <xf numFmtId="185" fontId="25" fillId="104" borderId="0"/>
    <xf numFmtId="186" fontId="25" fillId="104" borderId="0"/>
    <xf numFmtId="186" fontId="25" fillId="104" borderId="0"/>
    <xf numFmtId="185" fontId="25" fillId="104" borderId="0"/>
    <xf numFmtId="186" fontId="25" fillId="104" borderId="0"/>
    <xf numFmtId="185" fontId="5" fillId="0" borderId="0"/>
    <xf numFmtId="186" fontId="5" fillId="0" borderId="0"/>
    <xf numFmtId="0" fontId="5" fillId="0" borderId="0"/>
    <xf numFmtId="186" fontId="5" fillId="0" borderId="0"/>
    <xf numFmtId="0" fontId="25" fillId="104" borderId="0"/>
    <xf numFmtId="186" fontId="25" fillId="104"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186" fontId="25" fillId="104" borderId="0"/>
    <xf numFmtId="0" fontId="57" fillId="0" borderId="0"/>
    <xf numFmtId="0" fontId="25" fillId="104" borderId="0"/>
    <xf numFmtId="186" fontId="25" fillId="104" borderId="0"/>
    <xf numFmtId="186" fontId="57" fillId="0" borderId="0"/>
    <xf numFmtId="0" fontId="25" fillId="104" borderId="0"/>
    <xf numFmtId="186" fontId="25" fillId="104" borderId="0"/>
    <xf numFmtId="189" fontId="23" fillId="0" borderId="0"/>
    <xf numFmtId="189" fontId="23" fillId="0" borderId="0"/>
    <xf numFmtId="186" fontId="23" fillId="0" borderId="0"/>
    <xf numFmtId="186" fontId="23" fillId="0" borderId="0"/>
    <xf numFmtId="189" fontId="23" fillId="0" borderId="0"/>
    <xf numFmtId="189" fontId="23" fillId="0" borderId="0"/>
    <xf numFmtId="186" fontId="23" fillId="0" borderId="0"/>
    <xf numFmtId="186" fontId="23" fillId="0" borderId="0"/>
    <xf numFmtId="189" fontId="23" fillId="0" borderId="0"/>
    <xf numFmtId="189" fontId="23" fillId="0" borderId="0"/>
    <xf numFmtId="186" fontId="23" fillId="0" borderId="0"/>
    <xf numFmtId="186" fontId="23" fillId="0" borderId="0"/>
    <xf numFmtId="189" fontId="23" fillId="0" borderId="0"/>
    <xf numFmtId="189" fontId="23" fillId="0" borderId="0"/>
    <xf numFmtId="186" fontId="23" fillId="0" borderId="0"/>
    <xf numFmtId="186" fontId="23" fillId="0" borderId="0"/>
    <xf numFmtId="189" fontId="23" fillId="0" borderId="0"/>
    <xf numFmtId="189" fontId="23" fillId="0" borderId="0"/>
    <xf numFmtId="186" fontId="23" fillId="0" borderId="0"/>
    <xf numFmtId="186" fontId="23" fillId="0" borderId="0"/>
    <xf numFmtId="0" fontId="23" fillId="0" borderId="0"/>
    <xf numFmtId="186" fontId="23" fillId="0" borderId="0"/>
    <xf numFmtId="0" fontId="25" fillId="104" borderId="0"/>
    <xf numFmtId="186" fontId="25" fillId="104"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186" fontId="25" fillId="104" borderId="0"/>
    <xf numFmtId="0" fontId="25" fillId="104" borderId="0"/>
    <xf numFmtId="186" fontId="25" fillId="104" borderId="0"/>
    <xf numFmtId="0" fontId="5" fillId="0" borderId="0"/>
    <xf numFmtId="186" fontId="5" fillId="0" borderId="0"/>
    <xf numFmtId="0" fontId="25" fillId="104" borderId="0"/>
    <xf numFmtId="186" fontId="25" fillId="104" borderId="0"/>
    <xf numFmtId="0" fontId="25" fillId="104" borderId="0"/>
    <xf numFmtId="186" fontId="25" fillId="104" borderId="0"/>
    <xf numFmtId="0" fontId="25" fillId="104" borderId="0"/>
    <xf numFmtId="186" fontId="25" fillId="104" borderId="0"/>
    <xf numFmtId="0" fontId="25" fillId="104" borderId="0"/>
    <xf numFmtId="186" fontId="25" fillId="104" borderId="0"/>
    <xf numFmtId="186" fontId="5" fillId="0" borderId="0"/>
    <xf numFmtId="184" fontId="57" fillId="0" borderId="0"/>
    <xf numFmtId="184"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184" fontId="57" fillId="0" borderId="0"/>
    <xf numFmtId="0" fontId="25" fillId="104" borderId="0"/>
    <xf numFmtId="204" fontId="5" fillId="0" borderId="0"/>
    <xf numFmtId="204" fontId="5" fillId="0" borderId="0"/>
    <xf numFmtId="0"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204" fontId="5" fillId="0" borderId="0"/>
    <xf numFmtId="204" fontId="5" fillId="0" borderId="0"/>
    <xf numFmtId="204" fontId="5" fillId="0" borderId="0"/>
    <xf numFmtId="204" fontId="5" fillId="0" borderId="0"/>
    <xf numFmtId="204" fontId="5" fillId="0" borderId="0"/>
    <xf numFmtId="185" fontId="5" fillId="0" borderId="0"/>
    <xf numFmtId="185" fontId="5" fillId="0" borderId="0"/>
    <xf numFmtId="185" fontId="5" fillId="0" borderId="0"/>
    <xf numFmtId="0" fontId="25" fillId="104" borderId="0"/>
    <xf numFmtId="0" fontId="25" fillId="104"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184" fontId="5" fillId="0" borderId="0"/>
    <xf numFmtId="0" fontId="25" fillId="104" borderId="0"/>
    <xf numFmtId="0" fontId="5" fillId="0" borderId="0"/>
    <xf numFmtId="0" fontId="5" fillId="0" borderId="0"/>
    <xf numFmtId="204"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189"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0" fontId="5" fillId="0" borderId="0"/>
    <xf numFmtId="0" fontId="5" fillId="0" borderId="0"/>
    <xf numFmtId="0" fontId="25" fillId="104" borderId="0"/>
    <xf numFmtId="0" fontId="25" fillId="104" borderId="0"/>
    <xf numFmtId="0" fontId="5" fillId="0" borderId="0"/>
    <xf numFmtId="0" fontId="5" fillId="0" borderId="0"/>
    <xf numFmtId="0" fontId="5" fillId="0" borderId="0"/>
    <xf numFmtId="0"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5" fillId="0" borderId="0"/>
    <xf numFmtId="0" fontId="5" fillId="0" borderId="0"/>
    <xf numFmtId="0" fontId="5" fillId="0" borderId="0"/>
    <xf numFmtId="0" fontId="23" fillId="0" borderId="0"/>
    <xf numFmtId="0" fontId="23" fillId="0" borderId="0"/>
    <xf numFmtId="0" fontId="23" fillId="0" borderId="0"/>
    <xf numFmtId="0" fontId="5" fillId="0" borderId="0"/>
    <xf numFmtId="0" fontId="5" fillId="0" borderId="0"/>
    <xf numFmtId="0" fontId="5" fillId="0" borderId="0"/>
    <xf numFmtId="0"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0" fontId="25" fillId="104" borderId="0"/>
    <xf numFmtId="0" fontId="25" fillId="104" borderId="0"/>
    <xf numFmtId="0" fontId="25" fillId="104" borderId="0"/>
    <xf numFmtId="0" fontId="5" fillId="0" borderId="0"/>
    <xf numFmtId="0" fontId="25" fillId="104" borderId="0"/>
    <xf numFmtId="0" fontId="25" fillId="104" borderId="0"/>
    <xf numFmtId="204" fontId="5" fillId="0" borderId="0"/>
    <xf numFmtId="204" fontId="5" fillId="0" borderId="0"/>
    <xf numFmtId="204"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5" fillId="104" borderId="0"/>
    <xf numFmtId="0" fontId="25" fillId="104" borderId="0"/>
    <xf numFmtId="0" fontId="23" fillId="0" borderId="0"/>
    <xf numFmtId="0" fontId="23" fillId="0" borderId="0"/>
    <xf numFmtId="0" fontId="23" fillId="0" borderId="0"/>
    <xf numFmtId="0" fontId="23" fillId="0" borderId="0"/>
    <xf numFmtId="0"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40" fillId="0" borderId="0"/>
    <xf numFmtId="186" fontId="23"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25" fillId="104" borderId="0"/>
    <xf numFmtId="185" fontId="25" fillId="104" borderId="0"/>
    <xf numFmtId="186" fontId="25" fillId="104" borderId="0"/>
    <xf numFmtId="186" fontId="25" fillId="104" borderId="0"/>
    <xf numFmtId="189"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40" fillId="0" borderId="0"/>
    <xf numFmtId="0"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6" fontId="5"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5"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187"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9" fontId="5" fillId="0" borderId="0"/>
    <xf numFmtId="186" fontId="5" fillId="0" borderId="0"/>
    <xf numFmtId="186" fontId="5"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98" fontId="23" fillId="0" borderId="0"/>
    <xf numFmtId="198"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36" fillId="105" borderId="0" applyBorder="0" applyAlignment="0">
      <alignment horizontal="left"/>
    </xf>
    <xf numFmtId="185" fontId="36" fillId="105" borderId="0" applyBorder="0" applyAlignment="0">
      <alignment horizontal="left"/>
    </xf>
    <xf numFmtId="186" fontId="36" fillId="105" borderId="0" applyBorder="0" applyAlignment="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36" fillId="105" borderId="0" applyBorder="0" applyAlignment="0">
      <alignment horizontal="left"/>
    </xf>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0" fontId="5" fillId="44" borderId="27" applyNumberFormat="0" applyFont="0" applyAlignment="0" applyProtection="0"/>
    <xf numFmtId="186" fontId="5" fillId="44" borderId="27"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5" fillId="44" borderId="27"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40" fillId="26" borderId="46" applyNumberFormat="0" applyFont="0" applyAlignment="0" applyProtection="0"/>
    <xf numFmtId="187"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3" fillId="20" borderId="46" applyNumberFormat="0" applyFont="0" applyAlignment="0" applyProtection="0"/>
    <xf numFmtId="189" fontId="23" fillId="20" borderId="46" applyNumberFormat="0" applyFont="0" applyAlignment="0" applyProtection="0"/>
    <xf numFmtId="189" fontId="23" fillId="20" borderId="46" applyNumberFormat="0" applyFont="0" applyAlignment="0" applyProtection="0"/>
    <xf numFmtId="189"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9"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9" fontId="23" fillId="20" borderId="46" applyNumberFormat="0" applyFont="0" applyAlignment="0" applyProtection="0"/>
    <xf numFmtId="189"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9"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3" fillId="26" borderId="46"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4" fontId="25" fillId="20" borderId="32"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23" fillId="20" borderId="46" applyNumberFormat="0" applyFont="0" applyAlignment="0" applyProtection="0"/>
    <xf numFmtId="186" fontId="23" fillId="20" borderId="46"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40" fillId="26" borderId="46" applyNumberFormat="0" applyFont="0" applyAlignment="0" applyProtection="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4" fontId="5"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40" fillId="26" borderId="46"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7"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0" fontId="5" fillId="44" borderId="27" applyNumberFormat="0" applyFont="0" applyAlignment="0" applyProtection="0"/>
    <xf numFmtId="185" fontId="5" fillId="44" borderId="27" applyNumberFormat="0" applyFont="0" applyAlignment="0" applyProtection="0"/>
    <xf numFmtId="186" fontId="5" fillId="44" borderId="27" applyNumberFormat="0" applyFont="0" applyAlignment="0" applyProtection="0"/>
    <xf numFmtId="186" fontId="5"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5" fontId="40" fillId="44" borderId="27" applyNumberFormat="0" applyFont="0" applyAlignment="0" applyProtection="0"/>
    <xf numFmtId="185"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40" fillId="44" borderId="27" applyNumberFormat="0" applyFont="0" applyAlignment="0" applyProtection="0"/>
    <xf numFmtId="186" fontId="40" fillId="44" borderId="27" applyNumberFormat="0" applyFont="0" applyAlignment="0" applyProtection="0"/>
    <xf numFmtId="186" fontId="40" fillId="44" borderId="27"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0" fillId="44" borderId="27" applyNumberFormat="0" applyFont="0" applyAlignment="0" applyProtection="0"/>
    <xf numFmtId="186" fontId="40" fillId="44" borderId="27" applyNumberFormat="0" applyFont="0" applyAlignment="0" applyProtection="0"/>
    <xf numFmtId="0" fontId="40"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7"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185"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6" fontId="23" fillId="26" borderId="46" applyNumberFormat="0" applyFont="0" applyAlignment="0" applyProtection="0"/>
    <xf numFmtId="0" fontId="23" fillId="26" borderId="46" applyNumberFormat="0" applyFont="0" applyAlignment="0" applyProtection="0"/>
    <xf numFmtId="186" fontId="23" fillId="26"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7" fontId="23" fillId="20" borderId="46" applyNumberFormat="0" applyFont="0" applyAlignment="0" applyProtection="0"/>
    <xf numFmtId="186" fontId="23" fillId="20" borderId="46" applyNumberFormat="0" applyFont="0" applyAlignment="0" applyProtection="0"/>
    <xf numFmtId="186" fontId="23" fillId="20" borderId="46"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5" fillId="0" borderId="0"/>
    <xf numFmtId="185" fontId="5" fillId="0" borderId="0"/>
    <xf numFmtId="186" fontId="5" fillId="0" borderId="0"/>
    <xf numFmtId="186" fontId="5" fillId="0" borderId="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0"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185" fontId="25" fillId="20" borderId="32" applyNumberFormat="0" applyFont="0" applyAlignment="0" applyProtection="0"/>
    <xf numFmtId="186" fontId="25" fillId="20" borderId="32" applyNumberFormat="0" applyFont="0" applyAlignment="0" applyProtection="0"/>
    <xf numFmtId="186" fontId="25" fillId="20" borderId="32" applyNumberFormat="0" applyFont="0" applyAlignment="0" applyProtection="0"/>
    <xf numFmtId="205" fontId="143" fillId="0" borderId="47" applyFont="0" applyFill="0" applyBorder="0" applyAlignment="0" applyProtection="0">
      <alignment horizontal="center"/>
      <protection locked="0"/>
    </xf>
    <xf numFmtId="205" fontId="143" fillId="0" borderId="47" applyFont="0" applyFill="0" applyBorder="0" applyAlignment="0" applyProtection="0">
      <alignment horizontal="center"/>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4" fontId="89" fillId="42" borderId="24" applyNumberFormat="0" applyAlignment="0" applyProtection="0"/>
    <xf numFmtId="0"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44" fillId="97" borderId="48" applyNumberFormat="0" applyAlignment="0" applyProtection="0"/>
    <xf numFmtId="0"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9"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0" fontId="144" fillId="96" borderId="48" applyNumberFormat="0" applyAlignment="0" applyProtection="0"/>
    <xf numFmtId="186" fontId="144" fillId="96" borderId="48" applyNumberFormat="0" applyAlignment="0" applyProtection="0"/>
    <xf numFmtId="186" fontId="144" fillId="75" borderId="48" applyNumberFormat="0" applyAlignment="0" applyProtection="0"/>
    <xf numFmtId="184" fontId="144" fillId="96" borderId="48" applyNumberFormat="0" applyAlignment="0" applyProtection="0"/>
    <xf numFmtId="0" fontId="89" fillId="42" borderId="24"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144" fillId="96"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5" fontId="144" fillId="96" borderId="48" applyNumberFormat="0" applyAlignment="0" applyProtection="0"/>
    <xf numFmtId="185" fontId="144" fillId="96" borderId="48" applyNumberFormat="0" applyAlignment="0" applyProtection="0"/>
    <xf numFmtId="185"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0" fontId="5" fillId="0" borderId="0"/>
    <xf numFmtId="185" fontId="5" fillId="0" borderId="0"/>
    <xf numFmtId="186" fontId="5" fillId="0" borderId="0"/>
    <xf numFmtId="186" fontId="5" fillId="0" borderId="0"/>
    <xf numFmtId="185"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0" fontId="144" fillId="96" borderId="48" applyNumberFormat="0" applyAlignment="0" applyProtection="0"/>
    <xf numFmtId="185" fontId="144" fillId="96" borderId="48" applyNumberFormat="0" applyAlignment="0" applyProtection="0"/>
    <xf numFmtId="185"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0"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4" fillId="96" borderId="48" applyNumberFormat="0" applyAlignment="0" applyProtection="0"/>
    <xf numFmtId="186" fontId="144" fillId="96" borderId="48" applyNumberFormat="0" applyAlignment="0" applyProtection="0"/>
    <xf numFmtId="186" fontId="144" fillId="96" borderId="48" applyNumberFormat="0" applyAlignment="0" applyProtection="0"/>
    <xf numFmtId="185"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144" fillId="75" borderId="48"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186" fontId="89" fillId="42" borderId="24" applyNumberFormat="0" applyAlignment="0" applyProtection="0"/>
    <xf numFmtId="187"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89" fillId="42" borderId="24" applyNumberFormat="0" applyAlignment="0" applyProtection="0"/>
    <xf numFmtId="185" fontId="89" fillId="42" borderId="24" applyNumberFormat="0" applyAlignment="0" applyProtection="0"/>
    <xf numFmtId="186" fontId="89" fillId="42" borderId="24" applyNumberFormat="0" applyAlignment="0" applyProtection="0"/>
    <xf numFmtId="186" fontId="89" fillId="42" borderId="24"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9" fillId="42" borderId="24" applyNumberFormat="0" applyAlignment="0" applyProtection="0"/>
    <xf numFmtId="0"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5" fontId="144" fillId="75" borderId="48" applyNumberFormat="0" applyAlignment="0" applyProtection="0"/>
    <xf numFmtId="185"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4" fillId="75" borderId="48" applyNumberFormat="0" applyAlignment="0" applyProtection="0"/>
    <xf numFmtId="186" fontId="144" fillId="75" borderId="48" applyNumberFormat="0" applyAlignment="0" applyProtection="0"/>
    <xf numFmtId="186" fontId="144" fillId="75"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5" fontId="144" fillId="97" borderId="48" applyNumberFormat="0" applyAlignment="0" applyProtection="0"/>
    <xf numFmtId="185"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4" fillId="97" borderId="48" applyNumberFormat="0" applyAlignment="0" applyProtection="0"/>
    <xf numFmtId="186" fontId="144" fillId="97" borderId="48" applyNumberFormat="0" applyAlignment="0" applyProtection="0"/>
    <xf numFmtId="186" fontId="144" fillId="97" borderId="48" applyNumberFormat="0" applyAlignment="0" applyProtection="0"/>
    <xf numFmtId="0" fontId="89" fillId="42" borderId="24" applyNumberFormat="0" applyAlignment="0" applyProtection="0"/>
    <xf numFmtId="186" fontId="89" fillId="42" borderId="24" applyNumberFormat="0" applyAlignment="0" applyProtection="0"/>
    <xf numFmtId="0" fontId="144" fillId="96" borderId="48" applyNumberFormat="0" applyAlignment="0" applyProtection="0"/>
    <xf numFmtId="186" fontId="144" fillId="96" borderId="48" applyNumberFormat="0" applyAlignment="0" applyProtection="0"/>
    <xf numFmtId="186" fontId="89" fillId="42" borderId="24" applyNumberFormat="0" applyAlignment="0" applyProtection="0"/>
    <xf numFmtId="10" fontId="145" fillId="0" borderId="49" applyFont="0" applyFill="0" applyBorder="0" applyAlignment="0" applyProtection="0">
      <alignment horizontal="center"/>
      <protection locked="0"/>
    </xf>
    <xf numFmtId="10" fontId="145" fillId="0" borderId="49" applyFont="0" applyFill="0" applyBorder="0" applyAlignment="0" applyProtection="0">
      <alignment horizontal="center"/>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92" fontId="146" fillId="0" borderId="0" applyFont="0" applyFill="0" applyBorder="0" applyProtection="0">
      <alignment horizontal="center"/>
    </xf>
    <xf numFmtId="192" fontId="146" fillId="0" borderId="0" applyFont="0" applyFill="0" applyBorder="0" applyProtection="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4" fontId="33" fillId="0" borderId="0">
      <alignment horizontal="center" wrapText="1"/>
      <protection locked="0"/>
    </xf>
    <xf numFmtId="14" fontId="33" fillId="0" borderId="0">
      <alignment horizontal="center" wrapText="1"/>
      <protection locked="0"/>
    </xf>
    <xf numFmtId="14" fontId="33" fillId="0" borderId="0">
      <alignment horizontal="center" wrapText="1"/>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4" fontId="33" fillId="0" borderId="0">
      <alignment horizontal="center" wrapText="1"/>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206" fontId="23" fillId="0" borderId="0" applyFont="0" applyFill="0" applyBorder="0" applyAlignment="0" applyProtection="0"/>
    <xf numFmtId="206"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0" fontId="23" fillId="0" borderId="0" applyFont="0" applyFill="0" applyBorder="0" applyAlignment="0" applyProtection="0"/>
    <xf numFmtId="10" fontId="23" fillId="0" borderId="0" applyFont="0" applyFill="0" applyBorder="0" applyAlignment="0" applyProtection="0"/>
    <xf numFmtId="10"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0"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5" fontId="5" fillId="0" borderId="0"/>
    <xf numFmtId="186" fontId="5" fillId="0" borderId="0"/>
    <xf numFmtId="186"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5" fontId="5" fillId="0" borderId="0"/>
    <xf numFmtId="186" fontId="5" fillId="0" borderId="0"/>
    <xf numFmtId="186" fontId="5" fillId="0" borderId="0"/>
    <xf numFmtId="9" fontId="57" fillId="0" borderId="0" applyFont="0" applyFill="0" applyBorder="0" applyAlignment="0" applyProtection="0"/>
    <xf numFmtId="9" fontId="57" fillId="0" borderId="0" applyFont="0" applyFill="0" applyBorder="0" applyAlignment="0" applyProtection="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57" fillId="0" borderId="0" applyFont="0" applyFill="0" applyBorder="0" applyAlignment="0" applyProtection="0"/>
    <xf numFmtId="9" fontId="57" fillId="0" borderId="0" applyFont="0" applyFill="0" applyBorder="0" applyAlignment="0" applyProtection="0"/>
    <xf numFmtId="9" fontId="5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142"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142"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185" fontId="5" fillId="0" borderId="0"/>
    <xf numFmtId="186" fontId="5" fillId="0" borderId="0"/>
    <xf numFmtId="186" fontId="5" fillId="0" borderId="0"/>
    <xf numFmtId="9" fontId="4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40"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0" fontId="5" fillId="0" borderId="0"/>
    <xf numFmtId="185" fontId="5" fillId="0" borderId="0"/>
    <xf numFmtId="186" fontId="5" fillId="0" borderId="0"/>
    <xf numFmtId="186" fontId="5" fillId="0" borderId="0"/>
    <xf numFmtId="9" fontId="4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applyFont="0" applyFill="0" applyBorder="0" applyAlignment="0" applyProtection="0"/>
    <xf numFmtId="9" fontId="23"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23" fillId="0" borderId="0"/>
    <xf numFmtId="10" fontId="147" fillId="0" borderId="50" applyFont="0" applyFill="0" applyBorder="0" applyAlignment="0" applyProtection="0">
      <alignment horizontal="center"/>
      <protection locked="0"/>
    </xf>
    <xf numFmtId="10" fontId="147" fillId="0" borderId="50" applyFont="0" applyFill="0" applyBorder="0" applyAlignment="0" applyProtection="0">
      <alignment horizontal="center"/>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36" fillId="0" borderId="0" applyFont="0" applyAlignment="0">
      <alignment horizontal="center" wrapText="1"/>
    </xf>
    <xf numFmtId="9" fontId="36" fillId="0" borderId="0" applyFont="0" applyAlignment="0">
      <alignment horizontal="center" wrapTex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9" fontId="148" fillId="0" borderId="0" applyNumberFormat="0" applyFill="0" applyBorder="0" applyProtection="0">
      <alignment horizontal="right"/>
    </xf>
    <xf numFmtId="9" fontId="148" fillId="0" borderId="0" applyNumberFormat="0" applyFill="0" applyBorder="0" applyProtection="0">
      <alignment horizontal="righ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7"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46" fillId="0" borderId="0" applyNumberFormat="0" applyFont="0" applyFill="0" applyBorder="0" applyAlignment="0" applyProtection="0">
      <alignment horizontal="left"/>
    </xf>
    <xf numFmtId="0" fontId="46" fillId="0" borderId="0" applyNumberFormat="0" applyFont="0" applyFill="0" applyBorder="0" applyAlignment="0" applyProtection="0">
      <alignment horizontal="left"/>
    </xf>
    <xf numFmtId="185"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46" fillId="0" borderId="0" applyNumberFormat="0" applyFont="0" applyFill="0" applyBorder="0" applyAlignment="0" applyProtection="0">
      <alignment horizontal="left"/>
    </xf>
    <xf numFmtId="186" fontId="46" fillId="0" borderId="0" applyNumberFormat="0" applyFont="0" applyFill="0" applyBorder="0" applyAlignment="0" applyProtection="0">
      <alignment horizontal="left"/>
    </xf>
    <xf numFmtId="15" fontId="46" fillId="0" borderId="0" applyFont="0" applyFill="0" applyBorder="0" applyAlignment="0" applyProtection="0"/>
    <xf numFmtId="15" fontId="46" fillId="0" borderId="0" applyFont="0" applyFill="0" applyBorder="0" applyAlignment="0" applyProtection="0"/>
    <xf numFmtId="15"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5"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6" fillId="0" borderId="0" applyFont="0" applyFill="0" applyBorder="0" applyAlignment="0" applyProtection="0"/>
    <xf numFmtId="4" fontId="46" fillId="0" borderId="0" applyFont="0" applyFill="0" applyBorder="0" applyAlignment="0" applyProtection="0"/>
    <xf numFmtId="4"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 fontId="46" fillId="0" borderId="0" applyFont="0" applyFill="0" applyBorder="0" applyAlignment="0" applyProtection="0"/>
    <xf numFmtId="3" fontId="46" fillId="0" borderId="0" applyFont="0" applyFill="0" applyBorder="0" applyAlignment="0" applyProtection="0"/>
    <xf numFmtId="3"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 fontId="46" fillId="0" borderId="0" applyFon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9" fillId="106" borderId="0" applyNumberFormat="0" applyFont="0" applyBorder="0" applyAlignment="0">
      <alignment horizontal="center"/>
    </xf>
    <xf numFmtId="186" fontId="149" fillId="106" borderId="0" applyNumberFormat="0" applyFont="0" applyBorder="0" applyAlignment="0">
      <alignment horizontal="center"/>
    </xf>
    <xf numFmtId="0" fontId="149" fillId="106" borderId="0" applyNumberFormat="0" applyFont="0" applyBorder="0" applyAlignment="0">
      <alignment horizontal="center"/>
    </xf>
    <xf numFmtId="185"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0"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7"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185"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49" fillId="106" borderId="0" applyNumberFormat="0" applyFont="0" applyBorder="0" applyAlignment="0">
      <alignment horizontal="center"/>
    </xf>
    <xf numFmtId="0" fontId="149" fillId="106" borderId="0" applyNumberFormat="0" applyFont="0" applyBorder="0" applyAlignment="0">
      <alignment horizontal="center"/>
    </xf>
    <xf numFmtId="185" fontId="149" fillId="106" borderId="0" applyNumberFormat="0" applyFont="0" applyBorder="0" applyAlignment="0">
      <alignment horizontal="center"/>
    </xf>
    <xf numFmtId="186" fontId="149" fillId="106" borderId="0" applyNumberFormat="0" applyFont="0" applyBorder="0" applyAlignment="0">
      <alignment horizontal="center"/>
    </xf>
    <xf numFmtId="186" fontId="149" fillId="106" borderId="0" applyNumberFormat="0" applyFont="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49" fillId="106" borderId="0" applyNumberFormat="0" applyFont="0" applyBorder="0" applyAlignment="0">
      <alignment horizontal="center"/>
    </xf>
    <xf numFmtId="186" fontId="149" fillId="106" borderId="0" applyNumberFormat="0" applyFont="0" applyBorder="0" applyAlignment="0">
      <alignment horizontal="center"/>
    </xf>
    <xf numFmtId="207" fontId="150" fillId="0" borderId="0" applyNumberFormat="0" applyFill="0" applyBorder="0" applyAlignment="0" applyProtection="0">
      <alignment horizontal="left"/>
    </xf>
    <xf numFmtId="207" fontId="150" fillId="0" borderId="0" applyNumberFormat="0" applyFill="0" applyBorder="0" applyAlignment="0" applyProtection="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4" fontId="25" fillId="25" borderId="32" applyNumberFormat="0" applyProtection="0">
      <alignment vertical="center"/>
    </xf>
    <xf numFmtId="4" fontId="25" fillId="25" borderId="32" applyNumberFormat="0" applyProtection="0">
      <alignment vertical="center"/>
    </xf>
    <xf numFmtId="0" fontId="23" fillId="0" borderId="0"/>
    <xf numFmtId="186" fontId="23" fillId="0" borderId="0"/>
    <xf numFmtId="4" fontId="25" fillId="25" borderId="32" applyNumberFormat="0" applyProtection="0">
      <alignment vertical="center"/>
    </xf>
    <xf numFmtId="186" fontId="23" fillId="0" borderId="0"/>
    <xf numFmtId="4" fontId="45" fillId="25" borderId="1"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0" fontId="5" fillId="0" borderId="0"/>
    <xf numFmtId="185" fontId="5" fillId="0" borderId="0"/>
    <xf numFmtId="186" fontId="5" fillId="0" borderId="0"/>
    <xf numFmtId="186" fontId="5" fillId="0" borderId="0"/>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25" fillId="25" borderId="32" applyNumberFormat="0" applyProtection="0">
      <alignment vertical="center"/>
    </xf>
    <xf numFmtId="4" fontId="45" fillId="25" borderId="1" applyNumberFormat="0" applyProtection="0">
      <alignment vertical="center"/>
    </xf>
    <xf numFmtId="4" fontId="45" fillId="25" borderId="1" applyNumberFormat="0" applyProtection="0">
      <alignmen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5" fillId="25" borderId="1" applyNumberFormat="0" applyProtection="0">
      <alignmen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151" fillId="107" borderId="32" applyNumberFormat="0" applyProtection="0">
      <alignment vertical="center"/>
    </xf>
    <xf numFmtId="186" fontId="23" fillId="0" borderId="0"/>
    <xf numFmtId="4" fontId="47" fillId="25" borderId="1"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0" fontId="5" fillId="0" borderId="0"/>
    <xf numFmtId="185" fontId="5" fillId="0" borderId="0"/>
    <xf numFmtId="186" fontId="5" fillId="0" borderId="0"/>
    <xf numFmtId="186" fontId="5" fillId="0" borderId="0"/>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151" fillId="107" borderId="32" applyNumberFormat="0" applyProtection="0">
      <alignment vertical="center"/>
    </xf>
    <xf numFmtId="4" fontId="47" fillId="25" borderId="1" applyNumberFormat="0" applyProtection="0">
      <alignment vertical="center"/>
    </xf>
    <xf numFmtId="4" fontId="47" fillId="25" borderId="1" applyNumberFormat="0" applyProtection="0">
      <alignmen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7" fillId="25" borderId="1" applyNumberFormat="0" applyProtection="0">
      <alignmen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107" borderId="32" applyNumberFormat="0" applyProtection="0">
      <alignment horizontal="left" vertical="center" indent="1"/>
    </xf>
    <xf numFmtId="4" fontId="25" fillId="107" borderId="32" applyNumberFormat="0" applyProtection="0">
      <alignment horizontal="left" vertical="center" indent="1"/>
    </xf>
    <xf numFmtId="0" fontId="23" fillId="0" borderId="0"/>
    <xf numFmtId="186" fontId="23" fillId="0" borderId="0"/>
    <xf numFmtId="4" fontId="25" fillId="107" borderId="32" applyNumberFormat="0" applyProtection="0">
      <alignment horizontal="left" vertical="center" indent="1"/>
    </xf>
    <xf numFmtId="186" fontId="23" fillId="0" borderId="0"/>
    <xf numFmtId="4" fontId="45" fillId="25" borderId="1"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0" fontId="5" fillId="0" borderId="0"/>
    <xf numFmtId="185" fontId="5" fillId="0" borderId="0"/>
    <xf numFmtId="186" fontId="5" fillId="0" borderId="0"/>
    <xf numFmtId="186" fontId="5" fillId="0" borderId="0"/>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25" fillId="107" borderId="32" applyNumberFormat="0" applyProtection="0">
      <alignment horizontal="left" vertical="center" indent="1"/>
    </xf>
    <xf numFmtId="4" fontId="45" fillId="25" borderId="1" applyNumberFormat="0" applyProtection="0">
      <alignment horizontal="left" vertical="center" indent="1"/>
    </xf>
    <xf numFmtId="4" fontId="45" fillId="25"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5" fillId="25"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6" fontId="23" fillId="0" borderId="0"/>
    <xf numFmtId="189" fontId="45" fillId="25" borderId="1" applyNumberFormat="0" applyProtection="0">
      <alignment horizontal="left" vertical="top" indent="1"/>
    </xf>
    <xf numFmtId="0" fontId="23" fillId="0" borderId="0"/>
    <xf numFmtId="186" fontId="23" fillId="0" borderId="0"/>
    <xf numFmtId="189"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23" fillId="0" borderId="0"/>
    <xf numFmtId="186" fontId="23" fillId="0" borderId="0"/>
    <xf numFmtId="0" fontId="23" fillId="0" borderId="0"/>
    <xf numFmtId="186" fontId="23" fillId="0" borderId="0"/>
    <xf numFmtId="0" fontId="152" fillId="25" borderId="1" applyNumberFormat="0" applyProtection="0">
      <alignment horizontal="left" vertical="top" indent="1"/>
    </xf>
    <xf numFmtId="186" fontId="152" fillId="25" borderId="1" applyNumberFormat="0" applyProtection="0">
      <alignment horizontal="left" vertical="top" indent="1"/>
    </xf>
    <xf numFmtId="186" fontId="23" fillId="0" borderId="0"/>
    <xf numFmtId="184" fontId="152" fillId="25" borderId="1" applyNumberFormat="0" applyProtection="0">
      <alignment horizontal="left" vertical="top" indent="1"/>
    </xf>
    <xf numFmtId="0"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152" fillId="25" borderId="1" applyNumberFormat="0" applyProtection="0">
      <alignment horizontal="left" vertical="top" indent="1"/>
    </xf>
    <xf numFmtId="185" fontId="152" fillId="25" borderId="1" applyNumberFormat="0" applyProtection="0">
      <alignment horizontal="left" vertical="top" indent="1"/>
    </xf>
    <xf numFmtId="185" fontId="152" fillId="25" borderId="1" applyNumberFormat="0" applyProtection="0">
      <alignment horizontal="left" vertical="top" indent="1"/>
    </xf>
    <xf numFmtId="185"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0" fontId="5" fillId="0" borderId="0"/>
    <xf numFmtId="185" fontId="5" fillId="0" borderId="0"/>
    <xf numFmtId="186" fontId="5" fillId="0" borderId="0"/>
    <xf numFmtId="186" fontId="5" fillId="0" borderId="0"/>
    <xf numFmtId="185"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0" fontId="152" fillId="25" borderId="1" applyNumberFormat="0" applyProtection="0">
      <alignment horizontal="left" vertical="top" indent="1"/>
    </xf>
    <xf numFmtId="185" fontId="152" fillId="25" borderId="1" applyNumberFormat="0" applyProtection="0">
      <alignment horizontal="left" vertical="top" indent="1"/>
    </xf>
    <xf numFmtId="185"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0"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152" fillId="25" borderId="1" applyNumberFormat="0" applyProtection="0">
      <alignment horizontal="left" vertical="top" indent="1"/>
    </xf>
    <xf numFmtId="186" fontId="152" fillId="25" borderId="1" applyNumberFormat="0" applyProtection="0">
      <alignment horizontal="left" vertical="top" indent="1"/>
    </xf>
    <xf numFmtId="186" fontId="152" fillId="25" borderId="1" applyNumberFormat="0" applyProtection="0">
      <alignment horizontal="left" vertical="top" indent="1"/>
    </xf>
    <xf numFmtId="0"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5" fillId="25" borderId="1" applyNumberFormat="0" applyProtection="0">
      <alignment horizontal="left" vertical="top" indent="1"/>
    </xf>
    <xf numFmtId="186" fontId="45" fillId="25" borderId="1" applyNumberFormat="0" applyProtection="0">
      <alignment horizontal="left" vertical="top" indent="1"/>
    </xf>
    <xf numFmtId="186" fontId="45" fillId="25"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4" fontId="25" fillId="78" borderId="32" applyNumberFormat="0" applyProtection="0">
      <alignment horizontal="left" vertical="center" indent="1"/>
    </xf>
    <xf numFmtId="4" fontId="45" fillId="27"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23" fillId="0" borderId="0"/>
    <xf numFmtId="186" fontId="23" fillId="0" borderId="0"/>
    <xf numFmtId="4" fontId="25" fillId="2" borderId="32" applyNumberFormat="0" applyProtection="0">
      <alignment horizontal="right" vertical="center"/>
    </xf>
    <xf numFmtId="4" fontId="25" fillId="2" borderId="32" applyNumberFormat="0" applyProtection="0">
      <alignment horizontal="right" vertical="center"/>
    </xf>
    <xf numFmtId="0" fontId="23" fillId="0" borderId="0"/>
    <xf numFmtId="186" fontId="23" fillId="0" borderId="0"/>
    <xf numFmtId="4" fontId="25" fillId="2" borderId="32" applyNumberFormat="0" applyProtection="0">
      <alignment horizontal="right" vertical="center"/>
    </xf>
    <xf numFmtId="186" fontId="23" fillId="0" borderId="0"/>
    <xf numFmtId="4" fontId="43" fillId="2" borderId="1"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25" fillId="2" borderId="32"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 borderId="1" applyNumberFormat="0" applyProtection="0">
      <alignment horizontal="right" vertical="center"/>
    </xf>
    <xf numFmtId="4" fontId="43" fillId="2" borderId="1" applyNumberFormat="0" applyProtection="0">
      <alignment horizontal="right" vertical="center"/>
    </xf>
    <xf numFmtId="4" fontId="43" fillId="2"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108" borderId="32" applyNumberFormat="0" applyProtection="0">
      <alignment horizontal="right" vertical="center"/>
    </xf>
    <xf numFmtId="4" fontId="25" fillId="108" borderId="32" applyNumberFormat="0" applyProtection="0">
      <alignment horizontal="right" vertical="center"/>
    </xf>
    <xf numFmtId="0" fontId="23" fillId="0" borderId="0"/>
    <xf numFmtId="186" fontId="23" fillId="0" borderId="0"/>
    <xf numFmtId="4" fontId="25" fillId="108" borderId="32" applyNumberFormat="0" applyProtection="0">
      <alignment horizontal="right" vertical="center"/>
    </xf>
    <xf numFmtId="186" fontId="23" fillId="0" borderId="0"/>
    <xf numFmtId="4" fontId="43" fillId="4" borderId="1"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25" fillId="108" borderId="32"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4" borderId="1" applyNumberFormat="0" applyProtection="0">
      <alignment horizontal="right" vertical="center"/>
    </xf>
    <xf numFmtId="4" fontId="43" fillId="4" borderId="1" applyNumberFormat="0" applyProtection="0">
      <alignment horizontal="right" vertical="center"/>
    </xf>
    <xf numFmtId="4" fontId="43" fillId="4"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11" borderId="51" applyNumberFormat="0" applyProtection="0">
      <alignment horizontal="right" vertical="center"/>
    </xf>
    <xf numFmtId="4" fontId="25" fillId="11" borderId="51" applyNumberFormat="0" applyProtection="0">
      <alignment horizontal="right" vertical="center"/>
    </xf>
    <xf numFmtId="0" fontId="23" fillId="0" borderId="0"/>
    <xf numFmtId="186" fontId="23" fillId="0" borderId="0"/>
    <xf numFmtId="186" fontId="23" fillId="0" borderId="0"/>
    <xf numFmtId="4" fontId="43" fillId="11" borderId="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0" fontId="5" fillId="0" borderId="0"/>
    <xf numFmtId="185" fontId="5" fillId="0" borderId="0"/>
    <xf numFmtId="186" fontId="5" fillId="0" borderId="0"/>
    <xf numFmtId="186" fontId="5" fillId="0" borderId="0"/>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25" fillId="11" borderId="5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11" borderId="1" applyNumberFormat="0" applyProtection="0">
      <alignment horizontal="right" vertical="center"/>
    </xf>
    <xf numFmtId="4" fontId="43" fillId="11" borderId="1" applyNumberFormat="0" applyProtection="0">
      <alignment horizontal="right" vertical="center"/>
    </xf>
    <xf numFmtId="4" fontId="43" fillId="11"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6" borderId="32" applyNumberFormat="0" applyProtection="0">
      <alignment horizontal="right" vertical="center"/>
    </xf>
    <xf numFmtId="4" fontId="25" fillId="6" borderId="32" applyNumberFormat="0" applyProtection="0">
      <alignment horizontal="right" vertical="center"/>
    </xf>
    <xf numFmtId="0" fontId="23" fillId="0" borderId="0"/>
    <xf numFmtId="186" fontId="23" fillId="0" borderId="0"/>
    <xf numFmtId="4" fontId="25" fillId="6" borderId="32" applyNumberFormat="0" applyProtection="0">
      <alignment horizontal="right" vertical="center"/>
    </xf>
    <xf numFmtId="186" fontId="23" fillId="0" borderId="0"/>
    <xf numFmtId="4" fontId="43" fillId="6" borderId="1"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25" fillId="6" borderId="32"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6" borderId="1" applyNumberFormat="0" applyProtection="0">
      <alignment horizontal="right" vertical="center"/>
    </xf>
    <xf numFmtId="4" fontId="43" fillId="6" borderId="1" applyNumberFormat="0" applyProtection="0">
      <alignment horizontal="right" vertical="center"/>
    </xf>
    <xf numFmtId="4" fontId="43" fillId="6"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7" borderId="32" applyNumberFormat="0" applyProtection="0">
      <alignment horizontal="right" vertical="center"/>
    </xf>
    <xf numFmtId="4" fontId="25" fillId="7" borderId="32" applyNumberFormat="0" applyProtection="0">
      <alignment horizontal="right" vertical="center"/>
    </xf>
    <xf numFmtId="0" fontId="23" fillId="0" borderId="0"/>
    <xf numFmtId="186" fontId="23" fillId="0" borderId="0"/>
    <xf numFmtId="4" fontId="25" fillId="7" borderId="32" applyNumberFormat="0" applyProtection="0">
      <alignment horizontal="right" vertical="center"/>
    </xf>
    <xf numFmtId="186" fontId="23" fillId="0" borderId="0"/>
    <xf numFmtId="4" fontId="43" fillId="7" borderId="1"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25" fillId="7" borderId="32"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7" borderId="1" applyNumberFormat="0" applyProtection="0">
      <alignment horizontal="right" vertical="center"/>
    </xf>
    <xf numFmtId="4" fontId="43" fillId="7" borderId="1" applyNumberFormat="0" applyProtection="0">
      <alignment horizontal="right" vertical="center"/>
    </xf>
    <xf numFmtId="4" fontId="43" fillId="7"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19" borderId="32" applyNumberFormat="0" applyProtection="0">
      <alignment horizontal="right" vertical="center"/>
    </xf>
    <xf numFmtId="4" fontId="25" fillId="19" borderId="32" applyNumberFormat="0" applyProtection="0">
      <alignment horizontal="right" vertical="center"/>
    </xf>
    <xf numFmtId="0" fontId="23" fillId="0" borderId="0"/>
    <xf numFmtId="186" fontId="23" fillId="0" borderId="0"/>
    <xf numFmtId="4" fontId="25" fillId="19" borderId="32" applyNumberFormat="0" applyProtection="0">
      <alignment horizontal="right" vertical="center"/>
    </xf>
    <xf numFmtId="186" fontId="23" fillId="0" borderId="0"/>
    <xf numFmtId="4" fontId="43" fillId="19" borderId="1"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25" fillId="19" borderId="32"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19" borderId="1" applyNumberFormat="0" applyProtection="0">
      <alignment horizontal="right" vertical="center"/>
    </xf>
    <xf numFmtId="4" fontId="43" fillId="19" borderId="1" applyNumberFormat="0" applyProtection="0">
      <alignment horizontal="right" vertical="center"/>
    </xf>
    <xf numFmtId="4" fontId="43" fillId="19"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15" borderId="32" applyNumberFormat="0" applyProtection="0">
      <alignment horizontal="right" vertical="center"/>
    </xf>
    <xf numFmtId="4" fontId="25" fillId="15" borderId="32" applyNumberFormat="0" applyProtection="0">
      <alignment horizontal="right" vertical="center"/>
    </xf>
    <xf numFmtId="0" fontId="23" fillId="0" borderId="0"/>
    <xf numFmtId="186" fontId="23" fillId="0" borderId="0"/>
    <xf numFmtId="4" fontId="25" fillId="15" borderId="32" applyNumberFormat="0" applyProtection="0">
      <alignment horizontal="right" vertical="center"/>
    </xf>
    <xf numFmtId="186" fontId="23" fillId="0" borderId="0"/>
    <xf numFmtId="4" fontId="43" fillId="15" borderId="1"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25" fillId="15" borderId="32"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15" borderId="1" applyNumberFormat="0" applyProtection="0">
      <alignment horizontal="right" vertical="center"/>
    </xf>
    <xf numFmtId="4" fontId="43" fillId="15" borderId="1" applyNumberFormat="0" applyProtection="0">
      <alignment horizontal="right" vertical="center"/>
    </xf>
    <xf numFmtId="4" fontId="43" fillId="15"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28" borderId="32" applyNumberFormat="0" applyProtection="0">
      <alignment horizontal="right" vertical="center"/>
    </xf>
    <xf numFmtId="4" fontId="25" fillId="28" borderId="32" applyNumberFormat="0" applyProtection="0">
      <alignment horizontal="right" vertical="center"/>
    </xf>
    <xf numFmtId="0" fontId="23" fillId="0" borderId="0"/>
    <xf numFmtId="186" fontId="23" fillId="0" borderId="0"/>
    <xf numFmtId="4" fontId="25" fillId="28" borderId="32" applyNumberFormat="0" applyProtection="0">
      <alignment horizontal="right" vertical="center"/>
    </xf>
    <xf numFmtId="186" fontId="23" fillId="0" borderId="0"/>
    <xf numFmtId="4" fontId="43" fillId="28" borderId="1"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25" fillId="28" borderId="32"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8" borderId="1" applyNumberFormat="0" applyProtection="0">
      <alignment horizontal="right" vertical="center"/>
    </xf>
    <xf numFmtId="4" fontId="43" fillId="28" borderId="1" applyNumberFormat="0" applyProtection="0">
      <alignment horizontal="right" vertical="center"/>
    </xf>
    <xf numFmtId="4" fontId="43" fillId="28"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5" borderId="32" applyNumberFormat="0" applyProtection="0">
      <alignment horizontal="right" vertical="center"/>
    </xf>
    <xf numFmtId="4" fontId="25" fillId="5" borderId="32" applyNumberFormat="0" applyProtection="0">
      <alignment horizontal="right" vertical="center"/>
    </xf>
    <xf numFmtId="0" fontId="23" fillId="0" borderId="0"/>
    <xf numFmtId="186" fontId="23" fillId="0" borderId="0"/>
    <xf numFmtId="4" fontId="25" fillId="5" borderId="32" applyNumberFormat="0" applyProtection="0">
      <alignment horizontal="right" vertical="center"/>
    </xf>
    <xf numFmtId="186" fontId="23" fillId="0" borderId="0"/>
    <xf numFmtId="4" fontId="43" fillId="5" borderId="1"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25" fillId="5" borderId="32"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5" borderId="1" applyNumberFormat="0" applyProtection="0">
      <alignment horizontal="right" vertical="center"/>
    </xf>
    <xf numFmtId="4" fontId="43" fillId="5" borderId="1" applyNumberFormat="0" applyProtection="0">
      <alignment horizontal="right" vertical="center"/>
    </xf>
    <xf numFmtId="4" fontId="43" fillId="5"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29" borderId="51" applyNumberFormat="0" applyProtection="0">
      <alignment horizontal="left" vertical="center" indent="1"/>
    </xf>
    <xf numFmtId="4" fontId="25" fillId="29" borderId="51" applyNumberFormat="0" applyProtection="0">
      <alignment horizontal="left" vertical="center" indent="1"/>
    </xf>
    <xf numFmtId="0" fontId="23" fillId="0" borderId="0"/>
    <xf numFmtId="186" fontId="23" fillId="0" borderId="0"/>
    <xf numFmtId="186" fontId="23" fillId="0" borderId="0"/>
    <xf numFmtId="4" fontId="45" fillId="29" borderId="2"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25" fillId="29" borderId="51" applyNumberFormat="0" applyProtection="0">
      <alignment horizontal="left" vertical="center" indent="1"/>
    </xf>
    <xf numFmtId="4" fontId="45" fillId="29" borderId="2"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186" fontId="23" fillId="0" borderId="0"/>
    <xf numFmtId="4" fontId="43" fillId="30" borderId="0"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30" borderId="0"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186" fontId="23" fillId="0" borderId="0"/>
    <xf numFmtId="4" fontId="48" fillId="31" borderId="0"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23" fillId="31" borderId="51" applyNumberFormat="0" applyProtection="0">
      <alignment horizontal="left" vertical="center" indent="1"/>
    </xf>
    <xf numFmtId="4" fontId="48" fillId="31"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27" borderId="32" applyNumberFormat="0" applyProtection="0">
      <alignment horizontal="right" vertical="center"/>
    </xf>
    <xf numFmtId="4" fontId="25" fillId="27" borderId="32" applyNumberFormat="0" applyProtection="0">
      <alignment horizontal="right" vertical="center"/>
    </xf>
    <xf numFmtId="0" fontId="23" fillId="0" borderId="0"/>
    <xf numFmtId="186" fontId="23" fillId="0" borderId="0"/>
    <xf numFmtId="4" fontId="25" fillId="27" borderId="32" applyNumberFormat="0" applyProtection="0">
      <alignment horizontal="right" vertical="center"/>
    </xf>
    <xf numFmtId="186" fontId="23" fillId="0" borderId="0"/>
    <xf numFmtId="4" fontId="43" fillId="27" borderId="1"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0" fontId="5" fillId="0" borderId="0"/>
    <xf numFmtId="185" fontId="5" fillId="0" borderId="0"/>
    <xf numFmtId="186" fontId="5" fillId="0" borderId="0"/>
    <xf numFmtId="186" fontId="5" fillId="0" borderId="0"/>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25" fillId="27" borderId="32"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7" borderId="1" applyNumberFormat="0" applyProtection="0">
      <alignment horizontal="right" vertical="center"/>
    </xf>
    <xf numFmtId="4" fontId="43" fillId="27" borderId="1" applyNumberFormat="0" applyProtection="0">
      <alignment horizontal="right" vertical="center"/>
    </xf>
    <xf numFmtId="4" fontId="43" fillId="27"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30" borderId="51" applyNumberFormat="0" applyProtection="0">
      <alignment horizontal="left" vertical="center" indent="1"/>
    </xf>
    <xf numFmtId="4" fontId="25" fillId="30" borderId="51" applyNumberFormat="0" applyProtection="0">
      <alignment horizontal="left" vertical="center" indent="1"/>
    </xf>
    <xf numFmtId="0" fontId="23" fillId="0" borderId="0"/>
    <xf numFmtId="186" fontId="23" fillId="0" borderId="0"/>
    <xf numFmtId="186" fontId="23" fillId="0" borderId="0"/>
    <xf numFmtId="4" fontId="43" fillId="30" borderId="0"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25" fillId="30" borderId="51"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30" borderId="0"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4" fontId="43" fillId="30"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30" borderId="0"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25" fillId="27" borderId="51" applyNumberFormat="0" applyProtection="0">
      <alignment horizontal="left" vertical="center" indent="1"/>
    </xf>
    <xf numFmtId="4" fontId="25" fillId="27" borderId="51" applyNumberFormat="0" applyProtection="0">
      <alignment horizontal="left" vertical="center" indent="1"/>
    </xf>
    <xf numFmtId="0" fontId="23" fillId="0" borderId="0"/>
    <xf numFmtId="186" fontId="23" fillId="0" borderId="0"/>
    <xf numFmtId="186" fontId="23" fillId="0" borderId="0"/>
    <xf numFmtId="4" fontId="43" fillId="27" borderId="0"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25" fillId="27" borderId="51"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7" borderId="0"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4" fontId="43" fillId="27"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7" borderId="0"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6" fontId="23" fillId="0" borderId="0"/>
    <xf numFmtId="189" fontId="23" fillId="31" borderId="1" applyNumberFormat="0" applyProtection="0">
      <alignment horizontal="left" vertical="center" indent="1"/>
    </xf>
    <xf numFmtId="0" fontId="23" fillId="0" borderId="0"/>
    <xf numFmtId="186" fontId="23" fillId="0" borderId="0"/>
    <xf numFmtId="189"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3" fillId="0" borderId="0"/>
    <xf numFmtId="186" fontId="23"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0" fontId="23" fillId="0" borderId="0"/>
    <xf numFmtId="186" fontId="23" fillId="0" borderId="0"/>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3" fillId="0" borderId="0"/>
    <xf numFmtId="184" fontId="25" fillId="75" borderId="32" applyNumberFormat="0" applyProtection="0">
      <alignment horizontal="left" vertical="center" indent="1"/>
    </xf>
    <xf numFmtId="186"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5" fillId="0" borderId="0"/>
    <xf numFmtId="185" fontId="5" fillId="0" borderId="0"/>
    <xf numFmtId="186" fontId="5" fillId="0" borderId="0"/>
    <xf numFmtId="186" fontId="5" fillId="0" borderId="0"/>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5"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5" fillId="75" borderId="32" applyNumberFormat="0" applyProtection="0">
      <alignment horizontal="left" vertical="center" indent="1"/>
    </xf>
    <xf numFmtId="189" fontId="25" fillId="75" borderId="32" applyNumberFormat="0" applyProtection="0">
      <alignment horizontal="left" vertical="center" indent="1"/>
    </xf>
    <xf numFmtId="189" fontId="25" fillId="75" borderId="32" applyNumberFormat="0" applyProtection="0">
      <alignment horizontal="left" vertical="center" indent="1"/>
    </xf>
    <xf numFmtId="189"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9"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9" fontId="25" fillId="75" borderId="32" applyNumberFormat="0" applyProtection="0">
      <alignment horizontal="left" vertical="center" indent="1"/>
    </xf>
    <xf numFmtId="189"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9"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0" fontId="25" fillId="75" borderId="32" applyNumberFormat="0" applyProtection="0">
      <alignment horizontal="left" vertical="center" indent="1"/>
    </xf>
    <xf numFmtId="186" fontId="25" fillId="75" borderId="32" applyNumberFormat="0" applyProtection="0">
      <alignment horizontal="left" vertical="center" indent="1"/>
    </xf>
    <xf numFmtId="186" fontId="25" fillId="75" borderId="32"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center" indent="1"/>
    </xf>
    <xf numFmtId="186" fontId="23" fillId="31" borderId="1" applyNumberFormat="0" applyProtection="0">
      <alignment horizontal="left" vertical="center" indent="1"/>
    </xf>
    <xf numFmtId="186" fontId="23" fillId="31"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9" fontId="23"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9"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4"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1" borderId="1" applyNumberFormat="0" applyProtection="0">
      <alignment horizontal="left" vertical="top" indent="1"/>
    </xf>
    <xf numFmtId="186" fontId="23" fillId="31" borderId="1" applyNumberFormat="0" applyProtection="0">
      <alignment horizontal="left" vertical="top" indent="1"/>
    </xf>
    <xf numFmtId="186" fontId="23"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7"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0"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1" borderId="1" applyNumberFormat="0" applyProtection="0">
      <alignment horizontal="left" vertical="top" indent="1"/>
    </xf>
    <xf numFmtId="185"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25" fillId="31" borderId="1" applyNumberFormat="0" applyProtection="0">
      <alignment horizontal="left" vertical="top" indent="1"/>
    </xf>
    <xf numFmtId="186" fontId="25" fillId="31" borderId="1" applyNumberFormat="0" applyProtection="0">
      <alignment horizontal="left" vertical="top" indent="1"/>
    </xf>
    <xf numFmtId="186" fontId="25" fillId="31" borderId="1" applyNumberFormat="0" applyProtection="0">
      <alignment horizontal="left" vertical="top" indent="1"/>
    </xf>
    <xf numFmtId="0" fontId="5" fillId="0" borderId="0"/>
    <xf numFmtId="185" fontId="5" fillId="0" borderId="0"/>
    <xf numFmtId="186" fontId="5" fillId="0" borderId="0"/>
    <xf numFmtId="186" fontId="5" fillId="0" borderId="0"/>
    <xf numFmtId="0" fontId="23" fillId="0" borderId="0"/>
    <xf numFmtId="186" fontId="23" fillId="0" borderId="0"/>
    <xf numFmtId="189" fontId="23" fillId="27" borderId="1" applyNumberFormat="0" applyProtection="0">
      <alignment horizontal="left" vertical="center" indent="1"/>
    </xf>
    <xf numFmtId="0" fontId="23" fillId="0" borderId="0"/>
    <xf numFmtId="186" fontId="23" fillId="0" borderId="0"/>
    <xf numFmtId="189"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3" fillId="0" borderId="0"/>
    <xf numFmtId="186" fontId="23"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0" fontId="23" fillId="0" borderId="0"/>
    <xf numFmtId="186" fontId="23" fillId="0" borderId="0"/>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3" fillId="0" borderId="0"/>
    <xf numFmtId="184" fontId="25" fillId="109" borderId="32" applyNumberFormat="0" applyProtection="0">
      <alignment horizontal="left" vertical="center" indent="1"/>
    </xf>
    <xf numFmtId="186"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5" fillId="0" borderId="0"/>
    <xf numFmtId="185" fontId="5" fillId="0" borderId="0"/>
    <xf numFmtId="186" fontId="5" fillId="0" borderId="0"/>
    <xf numFmtId="186" fontId="5" fillId="0" borderId="0"/>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5"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5" fillId="109" borderId="32" applyNumberFormat="0" applyProtection="0">
      <alignment horizontal="left" vertical="center" indent="1"/>
    </xf>
    <xf numFmtId="189" fontId="25" fillId="109" borderId="32" applyNumberFormat="0" applyProtection="0">
      <alignment horizontal="left" vertical="center" indent="1"/>
    </xf>
    <xf numFmtId="189" fontId="25" fillId="109" borderId="32" applyNumberFormat="0" applyProtection="0">
      <alignment horizontal="left" vertical="center" indent="1"/>
    </xf>
    <xf numFmtId="189"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9"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9" fontId="25" fillId="109" borderId="32" applyNumberFormat="0" applyProtection="0">
      <alignment horizontal="left" vertical="center" indent="1"/>
    </xf>
    <xf numFmtId="189"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9"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0" fontId="25" fillId="109" borderId="32" applyNumberFormat="0" applyProtection="0">
      <alignment horizontal="left" vertical="center" indent="1"/>
    </xf>
    <xf numFmtId="186" fontId="25" fillId="109" borderId="32" applyNumberFormat="0" applyProtection="0">
      <alignment horizontal="left" vertical="center" indent="1"/>
    </xf>
    <xf numFmtId="186" fontId="25" fillId="109" borderId="32"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center" indent="1"/>
    </xf>
    <xf numFmtId="186" fontId="23" fillId="27" borderId="1" applyNumberFormat="0" applyProtection="0">
      <alignment horizontal="left" vertical="center" indent="1"/>
    </xf>
    <xf numFmtId="186" fontId="23" fillId="27"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3" fillId="0" borderId="0"/>
    <xf numFmtId="186" fontId="23" fillId="0" borderId="0"/>
    <xf numFmtId="189" fontId="23" fillId="27" borderId="1" applyNumberFormat="0" applyProtection="0">
      <alignment horizontal="left" vertical="top" indent="1"/>
    </xf>
    <xf numFmtId="0" fontId="23" fillId="0" borderId="0"/>
    <xf numFmtId="186" fontId="23" fillId="0" borderId="0"/>
    <xf numFmtId="189"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3" fillId="0" borderId="0"/>
    <xf numFmtId="186" fontId="23" fillId="0" borderId="0"/>
    <xf numFmtId="0"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0" fontId="23" fillId="0" borderId="0"/>
    <xf numFmtId="186" fontId="23" fillId="0" borderId="0"/>
    <xf numFmtId="0" fontId="25" fillId="27" borderId="1" applyNumberFormat="0" applyProtection="0">
      <alignment horizontal="left" vertical="top" indent="1"/>
    </xf>
    <xf numFmtId="186" fontId="25"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6" fontId="23" fillId="0" borderId="0"/>
    <xf numFmtId="184"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27" borderId="1" applyNumberFormat="0" applyProtection="0">
      <alignment horizontal="left" vertical="top" indent="1"/>
    </xf>
    <xf numFmtId="186" fontId="23" fillId="27" borderId="1" applyNumberFormat="0" applyProtection="0">
      <alignment horizontal="left" vertical="top" indent="1"/>
    </xf>
    <xf numFmtId="186" fontId="23" fillId="27"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0"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27" borderId="1" applyNumberFormat="0" applyProtection="0">
      <alignment horizontal="left" vertical="top" indent="1"/>
    </xf>
    <xf numFmtId="185"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25" fillId="27" borderId="1" applyNumberFormat="0" applyProtection="0">
      <alignment horizontal="left" vertical="top" indent="1"/>
    </xf>
    <xf numFmtId="186" fontId="25" fillId="27" borderId="1" applyNumberFormat="0" applyProtection="0">
      <alignment horizontal="left" vertical="top" indent="1"/>
    </xf>
    <xf numFmtId="186" fontId="25"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23" fillId="0" borderId="0"/>
    <xf numFmtId="186" fontId="23" fillId="0" borderId="0"/>
    <xf numFmtId="189" fontId="23" fillId="3" borderId="1" applyNumberFormat="0" applyProtection="0">
      <alignment horizontal="left" vertical="center" indent="1"/>
    </xf>
    <xf numFmtId="0" fontId="23" fillId="0" borderId="0"/>
    <xf numFmtId="186" fontId="23" fillId="0" borderId="0"/>
    <xf numFmtId="189"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3" fillId="0" borderId="0"/>
    <xf numFmtId="186" fontId="23" fillId="0" borderId="0"/>
    <xf numFmtId="0"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0" fontId="23" fillId="0" borderId="0"/>
    <xf numFmtId="186" fontId="23" fillId="0" borderId="0"/>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3" fillId="0" borderId="0"/>
    <xf numFmtId="184" fontId="25" fillId="3" borderId="32"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5" fillId="0" borderId="0"/>
    <xf numFmtId="185" fontId="5" fillId="0" borderId="0"/>
    <xf numFmtId="186" fontId="5" fillId="0" borderId="0"/>
    <xf numFmtId="186" fontId="5" fillId="0" borderId="0"/>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185"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5" fillId="3" borderId="32" applyNumberFormat="0" applyProtection="0">
      <alignment horizontal="left" vertical="center" indent="1"/>
    </xf>
    <xf numFmtId="186" fontId="25" fillId="3" borderId="32" applyNumberFormat="0" applyProtection="0">
      <alignment horizontal="left" vertical="center" indent="1"/>
    </xf>
    <xf numFmtId="186" fontId="25" fillId="3" borderId="32" applyNumberFormat="0" applyProtection="0">
      <alignment horizontal="left" vertical="center" indent="1"/>
    </xf>
    <xf numFmtId="0"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center" indent="1"/>
    </xf>
    <xf numFmtId="186" fontId="23" fillId="3" borderId="1" applyNumberFormat="0" applyProtection="0">
      <alignment horizontal="left" vertical="center" indent="1"/>
    </xf>
    <xf numFmtId="186" fontId="23" fillId="3"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3" fillId="0" borderId="0"/>
    <xf numFmtId="186" fontId="23" fillId="0" borderId="0"/>
    <xf numFmtId="189" fontId="23" fillId="3" borderId="1" applyNumberFormat="0" applyProtection="0">
      <alignment horizontal="left" vertical="top" indent="1"/>
    </xf>
    <xf numFmtId="0" fontId="23" fillId="0" borderId="0"/>
    <xf numFmtId="186" fontId="23" fillId="0" borderId="0"/>
    <xf numFmtId="189"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3" fillId="0" borderId="0"/>
    <xf numFmtId="186" fontId="23" fillId="0" borderId="0"/>
    <xf numFmtId="0"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0" fontId="23" fillId="0" borderId="0"/>
    <xf numFmtId="186" fontId="23" fillId="0" borderId="0"/>
    <xf numFmtId="0" fontId="25" fillId="3" borderId="1" applyNumberFormat="0" applyProtection="0">
      <alignment horizontal="left" vertical="top" indent="1"/>
    </xf>
    <xf numFmtId="186" fontId="25"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6" fontId="23" fillId="0" borderId="0"/>
    <xf numFmtId="184"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 borderId="1" applyNumberFormat="0" applyProtection="0">
      <alignment horizontal="left" vertical="top" indent="1"/>
    </xf>
    <xf numFmtId="186" fontId="23" fillId="3" borderId="1" applyNumberFormat="0" applyProtection="0">
      <alignment horizontal="left" vertical="top" indent="1"/>
    </xf>
    <xf numFmtId="186" fontId="23" fillId="3"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0"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 borderId="1" applyNumberFormat="0" applyProtection="0">
      <alignment horizontal="left" vertical="top" indent="1"/>
    </xf>
    <xf numFmtId="185"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25" fillId="3" borderId="1" applyNumberFormat="0" applyProtection="0">
      <alignment horizontal="left" vertical="top" indent="1"/>
    </xf>
    <xf numFmtId="186" fontId="25" fillId="3" borderId="1" applyNumberFormat="0" applyProtection="0">
      <alignment horizontal="left" vertical="top" indent="1"/>
    </xf>
    <xf numFmtId="186" fontId="25" fillId="3" borderId="1" applyNumberFormat="0" applyProtection="0">
      <alignment horizontal="left" vertical="top" indent="1"/>
    </xf>
    <xf numFmtId="0" fontId="5" fillId="0" borderId="0"/>
    <xf numFmtId="185" fontId="5" fillId="0" borderId="0"/>
    <xf numFmtId="186" fontId="5" fillId="0" borderId="0"/>
    <xf numFmtId="186" fontId="5" fillId="0" borderId="0"/>
    <xf numFmtId="0" fontId="23" fillId="0" borderId="0"/>
    <xf numFmtId="186" fontId="23" fillId="0" borderId="0"/>
    <xf numFmtId="189" fontId="23" fillId="30" borderId="1" applyNumberFormat="0" applyProtection="0">
      <alignment horizontal="left" vertical="center" indent="1"/>
    </xf>
    <xf numFmtId="0" fontId="23" fillId="0" borderId="0"/>
    <xf numFmtId="186" fontId="23" fillId="0" borderId="0"/>
    <xf numFmtId="189"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3" fillId="0" borderId="0"/>
    <xf numFmtId="186" fontId="23" fillId="0" borderId="0"/>
    <xf numFmtId="0"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0" fontId="23" fillId="0" borderId="0"/>
    <xf numFmtId="186" fontId="23" fillId="0" borderId="0"/>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3" fillId="0" borderId="0"/>
    <xf numFmtId="184" fontId="25" fillId="30" borderId="32"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5" fillId="0" borderId="0"/>
    <xf numFmtId="185" fontId="5" fillId="0" borderId="0"/>
    <xf numFmtId="186" fontId="5" fillId="0" borderId="0"/>
    <xf numFmtId="186" fontId="5" fillId="0" borderId="0"/>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185"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5" fillId="30" borderId="32" applyNumberFormat="0" applyProtection="0">
      <alignment horizontal="left" vertical="center" indent="1"/>
    </xf>
    <xf numFmtId="186" fontId="25" fillId="30" borderId="32" applyNumberFormat="0" applyProtection="0">
      <alignment horizontal="left" vertical="center" indent="1"/>
    </xf>
    <xf numFmtId="186" fontId="25" fillId="30" borderId="32" applyNumberFormat="0" applyProtection="0">
      <alignment horizontal="left" vertical="center" indent="1"/>
    </xf>
    <xf numFmtId="0"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center" indent="1"/>
    </xf>
    <xf numFmtId="186" fontId="23" fillId="30" borderId="1" applyNumberFormat="0" applyProtection="0">
      <alignment horizontal="left" vertical="center" indent="1"/>
    </xf>
    <xf numFmtId="186" fontId="23" fillId="30"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3" fillId="0" borderId="0"/>
    <xf numFmtId="186" fontId="23" fillId="0" borderId="0"/>
    <xf numFmtId="189" fontId="23" fillId="30" borderId="1" applyNumberFormat="0" applyProtection="0">
      <alignment horizontal="left" vertical="top" indent="1"/>
    </xf>
    <xf numFmtId="0" fontId="23" fillId="0" borderId="0"/>
    <xf numFmtId="186" fontId="23" fillId="0" borderId="0"/>
    <xf numFmtId="189"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3" fillId="0" borderId="0"/>
    <xf numFmtId="186" fontId="23" fillId="0" borderId="0"/>
    <xf numFmtId="0"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0" fontId="23" fillId="0" borderId="0"/>
    <xf numFmtId="186" fontId="23" fillId="0" borderId="0"/>
    <xf numFmtId="0" fontId="25" fillId="30" borderId="1" applyNumberFormat="0" applyProtection="0">
      <alignment horizontal="left" vertical="top" indent="1"/>
    </xf>
    <xf numFmtId="186" fontId="25"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6" fontId="23" fillId="0" borderId="0"/>
    <xf numFmtId="184"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30" borderId="1" applyNumberFormat="0" applyProtection="0">
      <alignment horizontal="left" vertical="top" indent="1"/>
    </xf>
    <xf numFmtId="186" fontId="23" fillId="30" borderId="1" applyNumberFormat="0" applyProtection="0">
      <alignment horizontal="left" vertical="top" indent="1"/>
    </xf>
    <xf numFmtId="186" fontId="23" fillId="30"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0"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5" fillId="0" borderId="0"/>
    <xf numFmtId="185" fontId="5" fillId="0" borderId="0"/>
    <xf numFmtId="186" fontId="5" fillId="0" borderId="0"/>
    <xf numFmtId="186" fontId="5" fillId="0" borderId="0"/>
    <xf numFmtId="185" fontId="25" fillId="30" borderId="1" applyNumberFormat="0" applyProtection="0">
      <alignment horizontal="left" vertical="top" indent="1"/>
    </xf>
    <xf numFmtId="185"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5" fillId="30" borderId="1" applyNumberFormat="0" applyProtection="0">
      <alignment horizontal="left" vertical="top" indent="1"/>
    </xf>
    <xf numFmtId="186" fontId="25" fillId="30" borderId="1" applyNumberFormat="0" applyProtection="0">
      <alignment horizontal="left" vertical="top" indent="1"/>
    </xf>
    <xf numFmtId="186" fontId="25" fillId="30" borderId="1" applyNumberFormat="0" applyProtection="0">
      <alignment horizontal="left" vertical="top" indent="1"/>
    </xf>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5" fillId="32" borderId="52" applyNumberFormat="0">
      <protection locked="0"/>
    </xf>
    <xf numFmtId="186" fontId="25" fillId="32" borderId="52" applyNumberFormat="0">
      <protection locked="0"/>
    </xf>
    <xf numFmtId="0" fontId="23" fillId="0" borderId="0"/>
    <xf numFmtId="186" fontId="23" fillId="0" borderId="0"/>
    <xf numFmtId="189" fontId="23" fillId="32" borderId="3" applyNumberFormat="0">
      <protection locked="0"/>
    </xf>
    <xf numFmtId="0" fontId="23" fillId="0" borderId="0"/>
    <xf numFmtId="186" fontId="23" fillId="0" borderId="0"/>
    <xf numFmtId="186" fontId="23" fillId="32" borderId="3" applyNumberFormat="0">
      <protection locked="0"/>
    </xf>
    <xf numFmtId="0" fontId="23" fillId="0" borderId="0"/>
    <xf numFmtId="186" fontId="23" fillId="0" borderId="0"/>
    <xf numFmtId="0" fontId="25" fillId="32" borderId="52" applyNumberFormat="0">
      <protection locked="0"/>
    </xf>
    <xf numFmtId="186" fontId="25" fillId="32" borderId="52" applyNumberFormat="0">
      <protection locked="0"/>
    </xf>
    <xf numFmtId="0" fontId="23" fillId="0" borderId="0"/>
    <xf numFmtId="186" fontId="23" fillId="0" borderId="0"/>
    <xf numFmtId="186" fontId="23" fillId="0" borderId="0"/>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7" fontId="23" fillId="32" borderId="3" applyNumberFormat="0">
      <protection locked="0"/>
    </xf>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186" fontId="23" fillId="32" borderId="3" applyNumberFormat="0">
      <protection locked="0"/>
    </xf>
    <xf numFmtId="187" fontId="23" fillId="32" borderId="3" applyNumberFormat="0">
      <protection locked="0"/>
    </xf>
    <xf numFmtId="185" fontId="23" fillId="32" borderId="3" applyNumberFormat="0">
      <protection locked="0"/>
    </xf>
    <xf numFmtId="186"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0" fontId="25" fillId="32" borderId="52" applyNumberFormat="0">
      <protection locked="0"/>
    </xf>
    <xf numFmtId="185" fontId="25" fillId="32" borderId="52" applyNumberFormat="0">
      <protection locked="0"/>
    </xf>
    <xf numFmtId="185" fontId="25" fillId="32" borderId="52" applyNumberFormat="0">
      <protection locked="0"/>
    </xf>
    <xf numFmtId="186" fontId="25" fillId="32" borderId="52" applyNumberFormat="0">
      <protection locked="0"/>
    </xf>
    <xf numFmtId="0" fontId="5" fillId="0" borderId="0"/>
    <xf numFmtId="185" fontId="5" fillId="0" borderId="0"/>
    <xf numFmtId="186" fontId="5" fillId="0" borderId="0"/>
    <xf numFmtId="186" fontId="5" fillId="0" borderId="0"/>
    <xf numFmtId="186" fontId="25" fillId="32" borderId="52" applyNumberFormat="0">
      <protection locked="0"/>
    </xf>
    <xf numFmtId="0" fontId="25" fillId="32" borderId="52" applyNumberFormat="0">
      <protection locked="0"/>
    </xf>
    <xf numFmtId="185" fontId="25" fillId="32" borderId="52" applyNumberFormat="0">
      <protection locked="0"/>
    </xf>
    <xf numFmtId="186" fontId="25" fillId="32" borderId="52" applyNumberFormat="0">
      <protection locked="0"/>
    </xf>
    <xf numFmtId="186" fontId="25" fillId="32" borderId="52" applyNumberFormat="0">
      <protection locked="0"/>
    </xf>
    <xf numFmtId="0" fontId="5" fillId="0" borderId="0"/>
    <xf numFmtId="185" fontId="5" fillId="0" borderId="0"/>
    <xf numFmtId="186" fontId="5" fillId="0" borderId="0"/>
    <xf numFmtId="186" fontId="5" fillId="0" borderId="0"/>
    <xf numFmtId="186" fontId="25" fillId="32" borderId="52" applyNumberFormat="0">
      <protection locked="0"/>
    </xf>
    <xf numFmtId="0" fontId="23" fillId="32" borderId="3" applyNumberFormat="0">
      <protection locked="0"/>
    </xf>
    <xf numFmtId="185" fontId="23" fillId="32" borderId="3" applyNumberFormat="0">
      <protection locked="0"/>
    </xf>
    <xf numFmtId="186"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4" fontId="25" fillId="32" borderId="52" applyNumberFormat="0">
      <protection locked="0"/>
    </xf>
    <xf numFmtId="0" fontId="25" fillId="32" borderId="52" applyNumberFormat="0">
      <protection locked="0"/>
    </xf>
    <xf numFmtId="0" fontId="25" fillId="32" borderId="52" applyNumberFormat="0">
      <protection locked="0"/>
    </xf>
    <xf numFmtId="187" fontId="23" fillId="32" borderId="3" applyNumberFormat="0">
      <protection locked="0"/>
    </xf>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7" fontId="23" fillId="32" borderId="3" applyNumberFormat="0">
      <protection locked="0"/>
    </xf>
    <xf numFmtId="185" fontId="23" fillId="32" borderId="3" applyNumberFormat="0">
      <protection locked="0"/>
    </xf>
    <xf numFmtId="186"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0" fontId="23" fillId="32" borderId="3" applyNumberFormat="0">
      <protection locked="0"/>
    </xf>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7" fontId="23" fillId="32" borderId="3" applyNumberFormat="0">
      <protection locked="0"/>
    </xf>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186" fontId="23" fillId="32" borderId="3" applyNumberFormat="0">
      <protection locked="0"/>
    </xf>
    <xf numFmtId="187" fontId="23" fillId="32" borderId="3" applyNumberFormat="0">
      <protection locked="0"/>
    </xf>
    <xf numFmtId="185" fontId="23" fillId="32" borderId="3" applyNumberFormat="0">
      <protection locked="0"/>
    </xf>
    <xf numFmtId="186"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0" fontId="23" fillId="32" borderId="3" applyNumberFormat="0">
      <protection locked="0"/>
    </xf>
    <xf numFmtId="185" fontId="23" fillId="32" borderId="3" applyNumberFormat="0">
      <protection locked="0"/>
    </xf>
    <xf numFmtId="186"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5" fontId="23" fillId="32" borderId="3" applyNumberFormat="0">
      <protection locked="0"/>
    </xf>
    <xf numFmtId="185" fontId="23" fillId="32" borderId="3" applyNumberFormat="0">
      <protection locked="0"/>
    </xf>
    <xf numFmtId="186" fontId="23" fillId="32" borderId="3" applyNumberFormat="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32" borderId="3" applyNumberFormat="0">
      <protection locked="0"/>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5" fontId="25" fillId="32" borderId="52" applyNumberFormat="0">
      <protection locked="0"/>
    </xf>
    <xf numFmtId="185" fontId="25" fillId="32" borderId="52" applyNumberFormat="0">
      <protection locked="0"/>
    </xf>
    <xf numFmtId="186" fontId="25" fillId="32" borderId="52" applyNumberFormat="0">
      <protection locked="0"/>
    </xf>
    <xf numFmtId="0" fontId="5" fillId="0" borderId="0"/>
    <xf numFmtId="185" fontId="5" fillId="0" borderId="0"/>
    <xf numFmtId="186" fontId="5" fillId="0" borderId="0"/>
    <xf numFmtId="186" fontId="5" fillId="0" borderId="0"/>
    <xf numFmtId="186" fontId="25" fillId="32" borderId="52" applyNumberFormat="0">
      <protection locked="0"/>
    </xf>
    <xf numFmtId="0" fontId="25" fillId="32" borderId="52" applyNumberFormat="0">
      <protection locked="0"/>
    </xf>
    <xf numFmtId="0" fontId="25" fillId="32" borderId="52" applyNumberFormat="0">
      <protection locked="0"/>
    </xf>
    <xf numFmtId="185" fontId="25" fillId="32" borderId="52" applyNumberFormat="0">
      <protection locked="0"/>
    </xf>
    <xf numFmtId="186" fontId="25" fillId="32" borderId="52" applyNumberFormat="0">
      <protection locked="0"/>
    </xf>
    <xf numFmtId="186" fontId="25" fillId="32" borderId="52" applyNumberFormat="0">
      <protection locked="0"/>
    </xf>
    <xf numFmtId="0" fontId="25" fillId="32" borderId="52" applyNumberFormat="0">
      <protection locked="0"/>
    </xf>
    <xf numFmtId="0" fontId="25" fillId="32" borderId="52" applyNumberFormat="0">
      <protection locked="0"/>
    </xf>
    <xf numFmtId="185" fontId="25" fillId="32" borderId="52" applyNumberFormat="0">
      <protection locked="0"/>
    </xf>
    <xf numFmtId="186" fontId="25" fillId="32" borderId="52" applyNumberFormat="0">
      <protection locked="0"/>
    </xf>
    <xf numFmtId="186" fontId="25" fillId="32" borderId="52" applyNumberFormat="0">
      <protection locked="0"/>
    </xf>
    <xf numFmtId="185" fontId="25" fillId="32" borderId="52" applyNumberFormat="0">
      <protection locked="0"/>
    </xf>
    <xf numFmtId="186" fontId="25" fillId="32" borderId="52" applyNumberFormat="0">
      <protection locked="0"/>
    </xf>
    <xf numFmtId="186" fontId="25" fillId="32" borderId="52" applyNumberFormat="0">
      <protection locked="0"/>
    </xf>
    <xf numFmtId="0" fontId="5" fillId="0" borderId="0"/>
    <xf numFmtId="185" fontId="5" fillId="0" borderId="0"/>
    <xf numFmtId="186" fontId="5" fillId="0" borderId="0"/>
    <xf numFmtId="186" fontId="5" fillId="0" borderId="0"/>
    <xf numFmtId="185" fontId="25" fillId="32" borderId="52" applyNumberFormat="0">
      <protection locked="0"/>
    </xf>
    <xf numFmtId="186" fontId="25" fillId="32" borderId="52" applyNumberFormat="0">
      <protection locked="0"/>
    </xf>
    <xf numFmtId="186" fontId="25" fillId="32" borderId="52" applyNumberFormat="0">
      <protection locked="0"/>
    </xf>
    <xf numFmtId="184" fontId="153" fillId="31" borderId="53" applyBorder="0"/>
    <xf numFmtId="186" fontId="153" fillId="31" borderId="53" applyBorder="0"/>
    <xf numFmtId="184" fontId="153" fillId="31" borderId="53" applyBorder="0"/>
    <xf numFmtId="0" fontId="153" fillId="31" borderId="53" applyBorder="0"/>
    <xf numFmtId="185"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53" fillId="31" borderId="53" applyBorder="0"/>
    <xf numFmtId="186" fontId="153" fillId="31" borderId="53" applyBorder="0"/>
    <xf numFmtId="186" fontId="153" fillId="31" borderId="53" applyBorder="0"/>
    <xf numFmtId="187" fontId="153" fillId="31" borderId="53" applyBorder="0"/>
    <xf numFmtId="185"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185" fontId="153" fillId="31" borderId="53" applyBorder="0"/>
    <xf numFmtId="186" fontId="153" fillId="31" borderId="53" applyBorder="0"/>
    <xf numFmtId="186" fontId="153" fillId="31" borderId="53" applyBorder="0"/>
    <xf numFmtId="187"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187"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53" fillId="31" borderId="53" applyBorder="0"/>
    <xf numFmtId="186" fontId="153" fillId="31" borderId="53" applyBorder="0"/>
    <xf numFmtId="186" fontId="153" fillId="31" borderId="53" applyBorder="0"/>
    <xf numFmtId="0"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53" fillId="31" borderId="53" applyBorder="0"/>
    <xf numFmtId="186" fontId="153" fillId="31" borderId="53" applyBorder="0"/>
    <xf numFmtId="186" fontId="153" fillId="31" borderId="53" applyBorder="0"/>
    <xf numFmtId="187" fontId="153" fillId="31" borderId="53" applyBorder="0"/>
    <xf numFmtId="185"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53" fillId="31" borderId="53" applyBorder="0"/>
    <xf numFmtId="186" fontId="153" fillId="31" borderId="53" applyBorder="0"/>
    <xf numFmtId="186" fontId="153" fillId="31" borderId="53" applyBorder="0"/>
    <xf numFmtId="187"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187"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53" fillId="31" borderId="53" applyBorder="0"/>
    <xf numFmtId="186" fontId="153" fillId="31" borderId="53" applyBorder="0"/>
    <xf numFmtId="186" fontId="153" fillId="31" borderId="53" applyBorder="0"/>
    <xf numFmtId="185"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53" fillId="31" borderId="53" applyBorder="0"/>
    <xf numFmtId="186" fontId="153" fillId="31" borderId="53" applyBorder="0"/>
    <xf numFmtId="186" fontId="153" fillId="31" borderId="53" applyBorder="0"/>
    <xf numFmtId="0" fontId="153" fillId="31" borderId="53" applyBorder="0"/>
    <xf numFmtId="185" fontId="153" fillId="31" borderId="53" applyBorder="0"/>
    <xf numFmtId="185" fontId="153" fillId="31" borderId="53" applyBorder="0"/>
    <xf numFmtId="186" fontId="153" fillId="31" borderId="53" applyBorder="0"/>
    <xf numFmtId="186" fontId="153" fillId="31" borderId="53" applyBorder="0"/>
    <xf numFmtId="0" fontId="153" fillId="31" borderId="53" applyBorder="0"/>
    <xf numFmtId="186" fontId="153" fillId="31" borderId="53" applyBorder="0"/>
    <xf numFmtId="186" fontId="153" fillId="31" borderId="53" applyBorder="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53" fillId="31" borderId="53" applyBorder="0"/>
    <xf numFmtId="189" fontId="153" fillId="31" borderId="53" applyBorder="0"/>
    <xf numFmtId="186" fontId="153" fillId="31" borderId="53" applyBorder="0"/>
    <xf numFmtId="186" fontId="153" fillId="31" borderId="53" applyBorder="0"/>
    <xf numFmtId="0" fontId="153" fillId="31" borderId="53" applyBorder="0"/>
    <xf numFmtId="186" fontId="153" fillId="31" borderId="53" applyBorder="0"/>
    <xf numFmtId="0" fontId="23" fillId="0" borderId="0"/>
    <xf numFmtId="186" fontId="23" fillId="0" borderId="0"/>
    <xf numFmtId="0" fontId="23" fillId="0" borderId="0"/>
    <xf numFmtId="186" fontId="23" fillId="0" borderId="0"/>
    <xf numFmtId="4" fontId="145" fillId="26" borderId="1" applyNumberFormat="0" applyProtection="0">
      <alignment vertical="center"/>
    </xf>
    <xf numFmtId="186" fontId="23" fillId="0" borderId="0"/>
    <xf numFmtId="4" fontId="43" fillId="26" borderId="1" applyNumberFormat="0" applyProtection="0">
      <alignment vertical="center"/>
    </xf>
    <xf numFmtId="4" fontId="145" fillId="26" borderId="1" applyNumberFormat="0" applyProtection="0">
      <alignment vertical="center"/>
    </xf>
    <xf numFmtId="4" fontId="145" fillId="26" borderId="1" applyNumberFormat="0" applyProtection="0">
      <alignment vertical="center"/>
    </xf>
    <xf numFmtId="4" fontId="145" fillId="26" borderId="1" applyNumberFormat="0" applyProtection="0">
      <alignment vertical="center"/>
    </xf>
    <xf numFmtId="0" fontId="5" fillId="0" borderId="0"/>
    <xf numFmtId="185" fontId="5" fillId="0" borderId="0"/>
    <xf numFmtId="186" fontId="5" fillId="0" borderId="0"/>
    <xf numFmtId="186" fontId="5" fillId="0" borderId="0"/>
    <xf numFmtId="4" fontId="145"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6" borderId="1" applyNumberFormat="0" applyProtection="0">
      <alignment vertical="center"/>
    </xf>
    <xf numFmtId="4" fontId="43" fillId="26" borderId="1" applyNumberFormat="0" applyProtection="0">
      <alignment vertical="center"/>
    </xf>
    <xf numFmtId="4" fontId="43" fillId="26" borderId="1" applyNumberFormat="0" applyProtection="0">
      <alignmen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186" fontId="23" fillId="0" borderId="0"/>
    <xf numFmtId="4" fontId="49" fillId="26" borderId="1" applyNumberFormat="0" applyProtection="0">
      <alignment vertical="center"/>
    </xf>
    <xf numFmtId="4" fontId="151" fillId="102" borderId="3" applyNumberFormat="0" applyProtection="0">
      <alignment vertical="center"/>
    </xf>
    <xf numFmtId="4" fontId="151" fillId="102" borderId="3" applyNumberFormat="0" applyProtection="0">
      <alignment vertical="center"/>
    </xf>
    <xf numFmtId="0" fontId="5" fillId="0" borderId="0"/>
    <xf numFmtId="185" fontId="5" fillId="0" borderId="0"/>
    <xf numFmtId="186" fontId="5" fillId="0" borderId="0"/>
    <xf numFmtId="186" fontId="5" fillId="0" borderId="0"/>
    <xf numFmtId="4" fontId="49" fillId="26" borderId="1" applyNumberFormat="0" applyProtection="0">
      <alignment vertical="center"/>
    </xf>
    <xf numFmtId="4" fontId="49" fillId="26" borderId="1" applyNumberFormat="0" applyProtection="0">
      <alignmen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9" fillId="26" borderId="1" applyNumberFormat="0" applyProtection="0">
      <alignmen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23" fillId="0" borderId="0"/>
    <xf numFmtId="186" fontId="23" fillId="0" borderId="0"/>
    <xf numFmtId="0" fontId="23" fillId="0" borderId="0"/>
    <xf numFmtId="186" fontId="23" fillId="0" borderId="0"/>
    <xf numFmtId="4" fontId="145" fillId="75" borderId="1" applyNumberFormat="0" applyProtection="0">
      <alignment horizontal="left" vertical="center" indent="1"/>
    </xf>
    <xf numFmtId="186" fontId="23" fillId="0" borderId="0"/>
    <xf numFmtId="4" fontId="43" fillId="26" borderId="1" applyNumberFormat="0" applyProtection="0">
      <alignment horizontal="left" vertical="center" indent="1"/>
    </xf>
    <xf numFmtId="4" fontId="145" fillId="75" borderId="1" applyNumberFormat="0" applyProtection="0">
      <alignment horizontal="left" vertical="center" indent="1"/>
    </xf>
    <xf numFmtId="4" fontId="145" fillId="75" borderId="1" applyNumberFormat="0" applyProtection="0">
      <alignment horizontal="left" vertical="center" indent="1"/>
    </xf>
    <xf numFmtId="4" fontId="145" fillId="75" borderId="1" applyNumberFormat="0" applyProtection="0">
      <alignment horizontal="left" vertical="center" indent="1"/>
    </xf>
    <xf numFmtId="0" fontId="5" fillId="0" borderId="0"/>
    <xf numFmtId="185" fontId="5" fillId="0" borderId="0"/>
    <xf numFmtId="186" fontId="5" fillId="0" borderId="0"/>
    <xf numFmtId="186" fontId="5" fillId="0" borderId="0"/>
    <xf numFmtId="4" fontId="145" fillId="75"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6" borderId="1" applyNumberFormat="0" applyProtection="0">
      <alignment horizontal="left" vertical="center" indent="1"/>
    </xf>
    <xf numFmtId="4" fontId="43" fillId="26" borderId="1" applyNumberFormat="0" applyProtection="0">
      <alignment horizontal="left" vertical="center" indent="1"/>
    </xf>
    <xf numFmtId="4" fontId="43" fillId="26" borderId="1" applyNumberFormat="0" applyProtection="0">
      <alignment horizontal="left" vertical="center"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6" fontId="23" fillId="0" borderId="0"/>
    <xf numFmtId="189" fontId="43" fillId="26" borderId="1" applyNumberFormat="0" applyProtection="0">
      <alignment horizontal="left" vertical="top" indent="1"/>
    </xf>
    <xf numFmtId="0" fontId="23" fillId="0" borderId="0"/>
    <xf numFmtId="186" fontId="23" fillId="0" borderId="0"/>
    <xf numFmtId="189"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23" fillId="0" borderId="0"/>
    <xf numFmtId="186" fontId="23" fillId="0" borderId="0"/>
    <xf numFmtId="0" fontId="23" fillId="0" borderId="0"/>
    <xf numFmtId="186" fontId="23" fillId="0" borderId="0"/>
    <xf numFmtId="0" fontId="145" fillId="26" borderId="1" applyNumberFormat="0" applyProtection="0">
      <alignment horizontal="left" vertical="top" indent="1"/>
    </xf>
    <xf numFmtId="186" fontId="145" fillId="26" borderId="1" applyNumberFormat="0" applyProtection="0">
      <alignment horizontal="left" vertical="top" indent="1"/>
    </xf>
    <xf numFmtId="186" fontId="23" fillId="0" borderId="0"/>
    <xf numFmtId="184" fontId="145"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145" fillId="26" borderId="1" applyNumberFormat="0" applyProtection="0">
      <alignment horizontal="left" vertical="top" indent="1"/>
    </xf>
    <xf numFmtId="185" fontId="145" fillId="26" borderId="1" applyNumberFormat="0" applyProtection="0">
      <alignment horizontal="left" vertical="top" indent="1"/>
    </xf>
    <xf numFmtId="185" fontId="145" fillId="26" borderId="1" applyNumberFormat="0" applyProtection="0">
      <alignment horizontal="left" vertical="top" indent="1"/>
    </xf>
    <xf numFmtId="185"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0" fontId="5" fillId="0" borderId="0"/>
    <xf numFmtId="185" fontId="5" fillId="0" borderId="0"/>
    <xf numFmtId="186" fontId="5" fillId="0" borderId="0"/>
    <xf numFmtId="186" fontId="5" fillId="0" borderId="0"/>
    <xf numFmtId="185"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0" fontId="145" fillId="26" borderId="1" applyNumberFormat="0" applyProtection="0">
      <alignment horizontal="left" vertical="top" indent="1"/>
    </xf>
    <xf numFmtId="185" fontId="145" fillId="26" borderId="1" applyNumberFormat="0" applyProtection="0">
      <alignment horizontal="left" vertical="top" indent="1"/>
    </xf>
    <xf numFmtId="185"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0"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145" fillId="26" borderId="1" applyNumberFormat="0" applyProtection="0">
      <alignment horizontal="left" vertical="top" indent="1"/>
    </xf>
    <xf numFmtId="186" fontId="145" fillId="26" borderId="1" applyNumberFormat="0" applyProtection="0">
      <alignment horizontal="left" vertical="top" indent="1"/>
    </xf>
    <xf numFmtId="186" fontId="145" fillId="26" borderId="1" applyNumberFormat="0" applyProtection="0">
      <alignment horizontal="left" vertical="top" indent="1"/>
    </xf>
    <xf numFmtId="0"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7"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43" fillId="26" borderId="1" applyNumberFormat="0" applyProtection="0">
      <alignment horizontal="left" vertical="top" indent="1"/>
    </xf>
    <xf numFmtId="186" fontId="43" fillId="26" borderId="1" applyNumberFormat="0" applyProtection="0">
      <alignment horizontal="left" vertical="top" indent="1"/>
    </xf>
    <xf numFmtId="186" fontId="43" fillId="26"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4" fontId="43" fillId="30"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30" borderId="1" applyNumberFormat="0" applyProtection="0">
      <alignment horizontal="right" vertical="center"/>
    </xf>
    <xf numFmtId="4" fontId="43" fillId="30" borderId="1"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43" fillId="30" borderId="1"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25" fillId="0" borderId="32" applyNumberFormat="0" applyProtection="0">
      <alignment horizontal="right" vertical="center"/>
    </xf>
    <xf numFmtId="4" fontId="49" fillId="30" borderId="1" applyNumberFormat="0" applyProtection="0">
      <alignment horizontal="right" vertical="center"/>
    </xf>
    <xf numFmtId="4" fontId="49" fillId="30" borderId="1" applyNumberFormat="0" applyProtection="0">
      <alignment horizontal="right" vertical="center"/>
    </xf>
    <xf numFmtId="4" fontId="49" fillId="30"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9" fillId="30" borderId="1"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151" fillId="110" borderId="32" applyNumberFormat="0" applyProtection="0">
      <alignment horizontal="right" vertical="center"/>
    </xf>
    <xf numFmtId="4" fontId="25" fillId="78" borderId="32"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4" fontId="43" fillId="27" borderId="1"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3" fillId="27" borderId="1" applyNumberFormat="0" applyProtection="0">
      <alignment horizontal="left" vertical="center" indent="1"/>
    </xf>
    <xf numFmtId="4" fontId="43" fillId="27" borderId="1"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43" fillId="27" borderId="1"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4" fontId="25" fillId="78" borderId="32" applyNumberFormat="0" applyProtection="0">
      <alignment horizontal="left" vertical="center" indent="1"/>
    </xf>
    <xf numFmtId="0" fontId="5" fillId="0" borderId="0"/>
    <xf numFmtId="185" fontId="5" fillId="0" borderId="0"/>
    <xf numFmtId="186" fontId="5" fillId="0" borderId="0"/>
    <xf numFmtId="186" fontId="5" fillId="0" borderId="0"/>
    <xf numFmtId="0" fontId="23" fillId="0" borderId="0"/>
    <xf numFmtId="186" fontId="23" fillId="0" borderId="0"/>
    <xf numFmtId="189" fontId="43" fillId="27" borderId="1" applyNumberFormat="0" applyProtection="0">
      <alignment horizontal="left" vertical="top" indent="1"/>
    </xf>
    <xf numFmtId="0" fontId="23" fillId="0" borderId="0"/>
    <xf numFmtId="186" fontId="23" fillId="0" borderId="0"/>
    <xf numFmtId="189"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23" fillId="0" borderId="0"/>
    <xf numFmtId="186" fontId="23" fillId="0" borderId="0"/>
    <xf numFmtId="0" fontId="23" fillId="0" borderId="0"/>
    <xf numFmtId="186" fontId="23" fillId="0" borderId="0"/>
    <xf numFmtId="0" fontId="145" fillId="27" borderId="1" applyNumberFormat="0" applyProtection="0">
      <alignment horizontal="left" vertical="top" indent="1"/>
    </xf>
    <xf numFmtId="186" fontId="145" fillId="27" borderId="1" applyNumberFormat="0" applyProtection="0">
      <alignment horizontal="left" vertical="top" indent="1"/>
    </xf>
    <xf numFmtId="186" fontId="23" fillId="0" borderId="0"/>
    <xf numFmtId="184" fontId="145"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145" fillId="27" borderId="1" applyNumberFormat="0" applyProtection="0">
      <alignment horizontal="left" vertical="top" indent="1"/>
    </xf>
    <xf numFmtId="185" fontId="145" fillId="27" borderId="1" applyNumberFormat="0" applyProtection="0">
      <alignment horizontal="left" vertical="top" indent="1"/>
    </xf>
    <xf numFmtId="185" fontId="145" fillId="27" borderId="1" applyNumberFormat="0" applyProtection="0">
      <alignment horizontal="left" vertical="top" indent="1"/>
    </xf>
    <xf numFmtId="185"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0" fontId="145" fillId="27" borderId="1" applyNumberFormat="0" applyProtection="0">
      <alignment horizontal="left" vertical="top" indent="1"/>
    </xf>
    <xf numFmtId="185" fontId="145" fillId="27" borderId="1" applyNumberFormat="0" applyProtection="0">
      <alignment horizontal="left" vertical="top" indent="1"/>
    </xf>
    <xf numFmtId="185"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0"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145" fillId="27" borderId="1" applyNumberFormat="0" applyProtection="0">
      <alignment horizontal="left" vertical="top" indent="1"/>
    </xf>
    <xf numFmtId="186" fontId="145" fillId="27" borderId="1" applyNumberFormat="0" applyProtection="0">
      <alignment horizontal="left" vertical="top" indent="1"/>
    </xf>
    <xf numFmtId="186" fontId="145" fillId="27" borderId="1" applyNumberFormat="0" applyProtection="0">
      <alignment horizontal="left" vertical="top" indent="1"/>
    </xf>
    <xf numFmtId="0"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7"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43" fillId="27" borderId="1" applyNumberFormat="0" applyProtection="0">
      <alignment horizontal="left" vertical="top" indent="1"/>
    </xf>
    <xf numFmtId="186" fontId="43" fillId="27" borderId="1" applyNumberFormat="0" applyProtection="0">
      <alignment horizontal="left" vertical="top" indent="1"/>
    </xf>
    <xf numFmtId="186" fontId="43" fillId="27" borderId="1" applyNumberFormat="0" applyProtection="0">
      <alignment horizontal="left" vertical="top" indent="1"/>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186" fontId="23" fillId="0" borderId="0"/>
    <xf numFmtId="4" fontId="50" fillId="33" borderId="0"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0" fontId="5" fillId="0" borderId="0"/>
    <xf numFmtId="185" fontId="5" fillId="0" borderId="0"/>
    <xf numFmtId="186" fontId="5" fillId="0" borderId="0"/>
    <xf numFmtId="186" fontId="5" fillId="0" borderId="0"/>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154" fillId="33" borderId="51" applyNumberFormat="0" applyProtection="0">
      <alignment horizontal="left" vertical="center" indent="1"/>
    </xf>
    <xf numFmtId="4" fontId="50" fillId="33" borderId="0" applyNumberFormat="0" applyProtection="0">
      <alignment horizontal="left" vertical="center" inden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184" fontId="25" fillId="111" borderId="3"/>
    <xf numFmtId="186" fontId="25" fillId="111" borderId="3"/>
    <xf numFmtId="184" fontId="25" fillId="111" borderId="3"/>
    <xf numFmtId="0" fontId="25" fillId="111" borderId="3"/>
    <xf numFmtId="185" fontId="25" fillId="111" borderId="3"/>
    <xf numFmtId="185"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187" fontId="25" fillId="111" borderId="3"/>
    <xf numFmtId="185" fontId="25" fillId="111" borderId="3"/>
    <xf numFmtId="185" fontId="25" fillId="111" borderId="3"/>
    <xf numFmtId="186" fontId="25" fillId="111" borderId="3"/>
    <xf numFmtId="0" fontId="5" fillId="0" borderId="0"/>
    <xf numFmtId="185" fontId="5" fillId="0" borderId="0"/>
    <xf numFmtId="186" fontId="5" fillId="0" borderId="0"/>
    <xf numFmtId="186" fontId="5" fillId="0" borderId="0"/>
    <xf numFmtId="186" fontId="25" fillId="111" borderId="3"/>
    <xf numFmtId="187" fontId="25" fillId="111" borderId="3"/>
    <xf numFmtId="185" fontId="25" fillId="111" borderId="3"/>
    <xf numFmtId="186"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0" fontId="25" fillId="111" borderId="3"/>
    <xf numFmtId="185" fontId="25" fillId="111" borderId="3"/>
    <xf numFmtId="186"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187" fontId="25" fillId="111" borderId="3"/>
    <xf numFmtId="185" fontId="25" fillId="111" borderId="3"/>
    <xf numFmtId="185"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187" fontId="25" fillId="111" borderId="3"/>
    <xf numFmtId="185" fontId="25" fillId="111" borderId="3"/>
    <xf numFmtId="186"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185" fontId="25" fillId="111" borderId="3"/>
    <xf numFmtId="185"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5" fillId="111" borderId="3"/>
    <xf numFmtId="0" fontId="25" fillId="111" borderId="3"/>
    <xf numFmtId="185" fontId="25" fillId="111" borderId="3"/>
    <xf numFmtId="186" fontId="25" fillId="111" borderId="3"/>
    <xf numFmtId="186" fontId="25" fillId="111" borderId="3"/>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25" fillId="111" borderId="3"/>
    <xf numFmtId="186" fontId="25" fillId="111" borderId="3"/>
    <xf numFmtId="0" fontId="25" fillId="111" borderId="3"/>
    <xf numFmtId="186" fontId="25" fillId="111" borderId="3"/>
    <xf numFmtId="0" fontId="23" fillId="0" borderId="0"/>
    <xf numFmtId="186" fontId="23" fillId="0" borderId="0"/>
    <xf numFmtId="0" fontId="23" fillId="0" borderId="0"/>
    <xf numFmtId="186" fontId="23" fillId="0" borderId="0"/>
    <xf numFmtId="4" fontId="155" fillId="32" borderId="32" applyNumberFormat="0" applyProtection="0">
      <alignment horizontal="right" vertical="center"/>
    </xf>
    <xf numFmtId="186" fontId="23" fillId="0" borderId="0"/>
    <xf numFmtId="4" fontId="44" fillId="30" borderId="1"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0" fontId="5" fillId="0" borderId="0"/>
    <xf numFmtId="185" fontId="5" fillId="0" borderId="0"/>
    <xf numFmtId="186" fontId="5" fillId="0" borderId="0"/>
    <xf numFmtId="186" fontId="5" fillId="0" borderId="0"/>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155" fillId="32" borderId="32" applyNumberFormat="0" applyProtection="0">
      <alignment horizontal="right" vertical="center"/>
    </xf>
    <xf numFmtId="4" fontId="44" fillId="30" borderId="1" applyNumberFormat="0" applyProtection="0">
      <alignment horizontal="right" vertical="center"/>
    </xf>
    <xf numFmtId="4" fontId="44" fillId="30" borderId="1" applyNumberFormat="0" applyProtection="0">
      <alignment horizontal="right" vertic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 fontId="44" fillId="30" borderId="1" applyNumberFormat="0" applyProtection="0">
      <alignment horizontal="right" vertical="center"/>
    </xf>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5" fontId="23" fillId="0" borderId="0"/>
    <xf numFmtId="186" fontId="23" fillId="0" borderId="0"/>
    <xf numFmtId="0" fontId="5" fillId="0" borderId="0"/>
    <xf numFmtId="185" fontId="5" fillId="0" borderId="0"/>
    <xf numFmtId="186" fontId="5" fillId="0" borderId="0"/>
    <xf numFmtId="186" fontId="5" fillId="0" borderId="0"/>
    <xf numFmtId="186" fontId="23" fillId="0" borderId="0"/>
    <xf numFmtId="187"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23" fillId="0" borderId="0"/>
    <xf numFmtId="0" fontId="23" fillId="0" borderId="0"/>
    <xf numFmtId="185" fontId="23" fillId="0" borderId="0"/>
    <xf numFmtId="186" fontId="23" fillId="0" borderId="0"/>
    <xf numFmtId="186" fontId="23"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23" fillId="0" borderId="0"/>
    <xf numFmtId="186" fontId="23" fillId="0" borderId="0"/>
    <xf numFmtId="0" fontId="23" fillId="0" borderId="0"/>
    <xf numFmtId="186" fontId="23" fillId="0" borderId="0"/>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7"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5"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0"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49" fillId="1" borderId="9" applyNumberFormat="0" applyFont="0" applyAlignment="0">
      <alignment horizontal="center"/>
    </xf>
    <xf numFmtId="189" fontId="149" fillId="1" borderId="9" applyNumberFormat="0" applyFont="0" applyAlignment="0">
      <alignment horizontal="center"/>
    </xf>
    <xf numFmtId="189"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9"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9" fontId="149" fillId="1" borderId="9" applyNumberFormat="0" applyFont="0" applyAlignment="0">
      <alignment horizontal="center"/>
    </xf>
    <xf numFmtId="186" fontId="149" fillId="1" borderId="9" applyNumberFormat="0" applyFont="0" applyAlignment="0">
      <alignment horizontal="center"/>
    </xf>
    <xf numFmtId="186" fontId="149" fillId="1" borderId="9" applyNumberFormat="0" applyFont="0" applyAlignment="0">
      <alignment horizontal="center"/>
    </xf>
    <xf numFmtId="184"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156" fillId="0" borderId="0" applyNumberFormat="0" applyFill="0" applyBorder="0" applyAlignment="0">
      <alignment horizontal="center"/>
    </xf>
    <xf numFmtId="186" fontId="156" fillId="0" borderId="0" applyNumberFormat="0" applyFill="0" applyBorder="0" applyAlignment="0">
      <alignment horizontal="center"/>
    </xf>
    <xf numFmtId="0" fontId="156" fillId="0" borderId="0" applyNumberFormat="0" applyFill="0" applyBorder="0" applyAlignment="0">
      <alignment horizontal="center"/>
    </xf>
    <xf numFmtId="185"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0"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7"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185"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6" fillId="0" borderId="0" applyNumberFormat="0" applyFill="0" applyBorder="0" applyAlignment="0">
      <alignment horizontal="center"/>
    </xf>
    <xf numFmtId="0" fontId="156" fillId="0" borderId="0" applyNumberFormat="0" applyFill="0" applyBorder="0" applyAlignment="0">
      <alignment horizontal="center"/>
    </xf>
    <xf numFmtId="185" fontId="156" fillId="0" borderId="0" applyNumberFormat="0" applyFill="0" applyBorder="0" applyAlignment="0">
      <alignment horizontal="center"/>
    </xf>
    <xf numFmtId="186" fontId="156" fillId="0" borderId="0" applyNumberFormat="0" applyFill="0" applyBorder="0" applyAlignment="0">
      <alignment horizontal="center"/>
    </xf>
    <xf numFmtId="186" fontId="156" fillId="0" borderId="0" applyNumberFormat="0" applyFill="0" applyBorder="0" applyAlignment="0">
      <alignment horizontal="center"/>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56" fillId="0" borderId="0" applyNumberFormat="0" applyFill="0" applyBorder="0" applyAlignment="0">
      <alignment horizontal="center"/>
    </xf>
    <xf numFmtId="186" fontId="156" fillId="0" borderId="0" applyNumberFormat="0" applyFill="0" applyBorder="0" applyAlignment="0">
      <alignment horizontal="center"/>
    </xf>
    <xf numFmtId="185" fontId="157" fillId="0" borderId="0">
      <alignment horizontal="right"/>
    </xf>
    <xf numFmtId="185" fontId="157" fillId="0" borderId="0">
      <alignment horizontal="right"/>
    </xf>
    <xf numFmtId="186" fontId="157" fillId="0" borderId="0">
      <alignment horizontal="righ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57" fillId="0" borderId="0">
      <alignment horizontal="right"/>
    </xf>
    <xf numFmtId="188" fontId="23" fillId="0" borderId="0">
      <alignment horizontal="left" wrapText="1"/>
    </xf>
    <xf numFmtId="188" fontId="23" fillId="0" borderId="0">
      <alignment horizontal="left" wrapText="1"/>
    </xf>
    <xf numFmtId="188" fontId="23" fillId="0" borderId="0">
      <alignment horizontal="left" wrapTex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8" fontId="23" fillId="0" borderId="0">
      <alignment horizontal="left" wrapTex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0" fontId="158" fillId="0" borderId="0" applyBorder="0">
      <alignment horizontal="right"/>
    </xf>
    <xf numFmtId="40" fontId="158" fillId="0" borderId="0" applyBorder="0">
      <alignment horizontal="righ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49" fontId="159" fillId="0" borderId="0">
      <alignment horizontal="left"/>
    </xf>
    <xf numFmtId="49" fontId="159" fillId="0" borderId="0">
      <alignment horizontal="left"/>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160" fillId="112" borderId="0" applyNumberFormat="0" applyBorder="0" applyAlignment="0" applyProtection="0">
      <protection locked="0"/>
    </xf>
    <xf numFmtId="185" fontId="160" fillId="112" borderId="0" applyNumberFormat="0" applyBorder="0" applyAlignment="0" applyProtection="0">
      <protection locked="0"/>
    </xf>
    <xf numFmtId="186" fontId="160" fillId="112" borderId="0" applyNumberFormat="0" applyBorder="0" applyAlignment="0" applyProtection="0">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0" fillId="112" borderId="0" applyNumberFormat="0" applyBorder="0" applyAlignment="0" applyProtection="0">
      <protection locked="0"/>
    </xf>
    <xf numFmtId="0"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51" fillId="0" borderId="0" applyNumberFormat="0" applyFill="0" applyBorder="0" applyAlignment="0" applyProtection="0"/>
    <xf numFmtId="0" fontId="161" fillId="0" borderId="0" applyNumberFormat="0" applyFill="0" applyBorder="0" applyAlignment="0" applyProtection="0"/>
    <xf numFmtId="186" fontId="161" fillId="0" borderId="0" applyNumberFormat="0" applyFill="0" applyBorder="0" applyAlignment="0" applyProtection="0"/>
    <xf numFmtId="186" fontId="51" fillId="0" borderId="0" applyNumberFormat="0" applyFill="0" applyBorder="0" applyAlignment="0" applyProtection="0"/>
    <xf numFmtId="186" fontId="161" fillId="0" borderId="0" applyNumberFormat="0" applyFill="0" applyBorder="0" applyAlignment="0" applyProtection="0"/>
    <xf numFmtId="0" fontId="8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0"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5"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187" fontId="161" fillId="0" borderId="0" applyNumberFormat="0" applyFill="0" applyBorder="0" applyAlignment="0" applyProtection="0"/>
    <xf numFmtId="185"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187"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0"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0" fontId="16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16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187"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81" fillId="0" borderId="0" applyNumberFormat="0" applyFill="0" applyBorder="0" applyAlignment="0" applyProtection="0"/>
    <xf numFmtId="185" fontId="81" fillId="0" borderId="0" applyNumberFormat="0" applyFill="0" applyBorder="0" applyAlignment="0" applyProtection="0"/>
    <xf numFmtId="186" fontId="81" fillId="0" borderId="0" applyNumberFormat="0" applyFill="0" applyBorder="0" applyAlignment="0" applyProtection="0"/>
    <xf numFmtId="186" fontId="8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81" fillId="0" borderId="0" applyNumberFormat="0" applyFill="0" applyBorder="0" applyAlignment="0" applyProtection="0"/>
    <xf numFmtId="0" fontId="161" fillId="0" borderId="0" applyNumberFormat="0" applyFill="0" applyBorder="0" applyAlignment="0" applyProtection="0"/>
    <xf numFmtId="185"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187" fontId="161" fillId="0" borderId="0" applyNumberFormat="0" applyFill="0" applyBorder="0" applyAlignment="0" applyProtection="0"/>
    <xf numFmtId="185"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187"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0" fontId="161" fillId="0" borderId="0" applyNumberFormat="0" applyFill="0" applyBorder="0" applyAlignment="0" applyProtection="0"/>
    <xf numFmtId="185" fontId="161" fillId="0" borderId="0" applyNumberFormat="0" applyFill="0" applyBorder="0" applyAlignment="0" applyProtection="0"/>
    <xf numFmtId="186" fontId="161" fillId="0" borderId="0" applyNumberFormat="0" applyFill="0" applyBorder="0" applyAlignment="0" applyProtection="0"/>
    <xf numFmtId="186" fontId="16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7" fontId="51" fillId="0" borderId="0" applyNumberFormat="0" applyFill="0" applyBorder="0" applyAlignment="0" applyProtection="0"/>
    <xf numFmtId="185" fontId="51" fillId="0" borderId="0" applyNumberFormat="0" applyFill="0" applyBorder="0" applyAlignment="0" applyProtection="0"/>
    <xf numFmtId="186" fontId="51" fillId="0" borderId="0" applyNumberFormat="0" applyFill="0" applyBorder="0" applyAlignment="0" applyProtection="0"/>
    <xf numFmtId="186" fontId="51"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1" fillId="0" borderId="0" applyNumberFormat="0" applyFill="0" applyBorder="0" applyAlignment="0" applyProtection="0"/>
    <xf numFmtId="186" fontId="81" fillId="0" borderId="0" applyNumberFormat="0" applyFill="0" applyBorder="0" applyAlignment="0" applyProtection="0"/>
    <xf numFmtId="184" fontId="81" fillId="0" borderId="0" applyNumberFormat="0" applyFill="0" applyBorder="0" applyAlignment="0" applyProtection="0"/>
    <xf numFmtId="184" fontId="55" fillId="0" borderId="28" applyNumberFormat="0" applyFill="0" applyAlignment="0" applyProtection="0"/>
    <xf numFmtId="0"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42" fillId="0" borderId="55" applyNumberFormat="0" applyFill="0" applyAlignment="0" applyProtection="0"/>
    <xf numFmtId="0"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9"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4" applyNumberFormat="0" applyFill="0" applyAlignment="0" applyProtection="0"/>
    <xf numFmtId="184" fontId="42" fillId="0" borderId="55" applyNumberFormat="0" applyFill="0" applyAlignment="0" applyProtection="0"/>
    <xf numFmtId="0" fontId="55" fillId="0" borderId="28"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42" fillId="0" borderId="54"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187"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55" fillId="0" borderId="28" applyNumberFormat="0" applyFill="0" applyAlignment="0" applyProtection="0"/>
    <xf numFmtId="185" fontId="55" fillId="0" borderId="28" applyNumberFormat="0" applyFill="0" applyAlignment="0" applyProtection="0"/>
    <xf numFmtId="186" fontId="55" fillId="0" borderId="28" applyNumberFormat="0" applyFill="0" applyAlignment="0" applyProtection="0"/>
    <xf numFmtId="186" fontId="55" fillId="0" borderId="28"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55" fillId="0" borderId="28" applyNumberFormat="0" applyFill="0" applyAlignment="0" applyProtection="0"/>
    <xf numFmtId="0"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87"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5" fontId="42" fillId="0" borderId="54" applyNumberFormat="0" applyFill="0" applyAlignment="0" applyProtection="0"/>
    <xf numFmtId="185"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42" fillId="0" borderId="54" applyNumberFormat="0" applyFill="0" applyAlignment="0" applyProtection="0"/>
    <xf numFmtId="186" fontId="42" fillId="0" borderId="54" applyNumberFormat="0" applyFill="0" applyAlignment="0" applyProtection="0"/>
    <xf numFmtId="186" fontId="42" fillId="0" borderId="54" applyNumberFormat="0" applyFill="0" applyAlignment="0" applyProtection="0"/>
    <xf numFmtId="199" fontId="23" fillId="0" borderId="16">
      <protection locked="0"/>
    </xf>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5" fontId="42" fillId="0" borderId="55" applyNumberFormat="0" applyFill="0" applyAlignment="0" applyProtection="0"/>
    <xf numFmtId="185"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7" fontId="42" fillId="0" borderId="55" applyNumberFormat="0" applyFill="0" applyAlignment="0" applyProtection="0"/>
    <xf numFmtId="186" fontId="42" fillId="0" borderId="55" applyNumberFormat="0" applyFill="0" applyAlignment="0" applyProtection="0"/>
    <xf numFmtId="186" fontId="42" fillId="0" borderId="55" applyNumberFormat="0" applyFill="0" applyAlignment="0" applyProtection="0"/>
    <xf numFmtId="199" fontId="23" fillId="0" borderId="16">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5" fillId="0" borderId="28" applyNumberFormat="0" applyFill="0" applyAlignment="0" applyProtection="0"/>
    <xf numFmtId="186" fontId="55" fillId="0" borderId="28" applyNumberFormat="0" applyFill="0" applyAlignment="0" applyProtection="0"/>
    <xf numFmtId="0" fontId="42" fillId="0" borderId="55" applyNumberFormat="0" applyFill="0" applyAlignment="0" applyProtection="0"/>
    <xf numFmtId="186" fontId="42" fillId="0" borderId="55" applyNumberFormat="0" applyFill="0" applyAlignment="0" applyProtection="0"/>
    <xf numFmtId="186" fontId="55" fillId="0" borderId="28" applyNumberFormat="0" applyFill="0" applyAlignment="0" applyProtection="0"/>
    <xf numFmtId="37" fontId="25" fillId="107" borderId="0" applyNumberFormat="0" applyBorder="0" applyAlignment="0" applyProtection="0"/>
    <xf numFmtId="37" fontId="25" fillId="107" borderId="0" applyNumberFormat="0" applyBorder="0" applyAlignment="0" applyProtection="0"/>
    <xf numFmtId="37" fontId="25" fillId="107" borderId="0" applyNumberFormat="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7" fontId="25" fillId="107" borderId="0" applyNumberFormat="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7" fontId="25" fillId="0" borderId="0"/>
    <xf numFmtId="37" fontId="25" fillId="0" borderId="0"/>
    <xf numFmtId="37" fontId="2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7" fontId="25" fillId="0" borderId="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37" fontId="25" fillId="0" borderId="0"/>
    <xf numFmtId="37" fontId="25" fillId="69" borderId="0" applyNumberFormat="0" applyBorder="0" applyAlignment="0" applyProtection="0"/>
    <xf numFmtId="3" fontId="162" fillId="0" borderId="42" applyProtection="0"/>
    <xf numFmtId="3" fontId="162" fillId="0" borderId="42"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184" fontId="164" fillId="0" borderId="0" applyNumberFormat="0" applyFill="0" applyBorder="0" applyAlignment="0" applyProtection="0"/>
    <xf numFmtId="0" fontId="9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0" fontId="164"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5" fontId="164" fillId="0" borderId="0" applyNumberFormat="0" applyFill="0" applyBorder="0" applyAlignment="0" applyProtection="0"/>
    <xf numFmtId="185" fontId="164" fillId="0" borderId="0" applyNumberFormat="0" applyFill="0" applyBorder="0" applyAlignment="0" applyProtection="0"/>
    <xf numFmtId="186" fontId="164" fillId="0" borderId="0" applyNumberFormat="0" applyFill="0" applyBorder="0" applyAlignment="0" applyProtection="0"/>
    <xf numFmtId="0" fontId="5" fillId="0" borderId="0"/>
    <xf numFmtId="185" fontId="5" fillId="0" borderId="0"/>
    <xf numFmtId="186" fontId="5" fillId="0" borderId="0"/>
    <xf numFmtId="186" fontId="5" fillId="0" borderId="0"/>
    <xf numFmtId="186" fontId="164" fillId="0" borderId="0" applyNumberFormat="0" applyFill="0" applyBorder="0" applyAlignment="0" applyProtection="0"/>
    <xf numFmtId="0" fontId="164" fillId="0" borderId="0" applyNumberFormat="0" applyFill="0" applyBorder="0" applyAlignment="0" applyProtection="0"/>
    <xf numFmtId="185" fontId="164" fillId="0" borderId="0" applyNumberFormat="0" applyFill="0" applyBorder="0" applyAlignment="0" applyProtection="0"/>
    <xf numFmtId="186" fontId="164" fillId="0" borderId="0" applyNumberFormat="0" applyFill="0" applyBorder="0" applyAlignment="0" applyProtection="0"/>
    <xf numFmtId="186" fontId="164"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4"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9" fontId="163" fillId="0" borderId="0" applyNumberFormat="0" applyFill="0" applyBorder="0" applyAlignment="0" applyProtection="0"/>
    <xf numFmtId="0"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16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187"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93" fillId="0" borderId="0" applyNumberFormat="0" applyFill="0" applyBorder="0" applyAlignment="0" applyProtection="0"/>
    <xf numFmtId="185"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93"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0"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187" fontId="163" fillId="0" borderId="0" applyNumberFormat="0" applyFill="0" applyBorder="0" applyAlignment="0" applyProtection="0"/>
    <xf numFmtId="185" fontId="163" fillId="0" borderId="0" applyNumberFormat="0" applyFill="0" applyBorder="0" applyAlignment="0" applyProtection="0"/>
    <xf numFmtId="186" fontId="163" fillId="0" borderId="0" applyNumberFormat="0" applyFill="0" applyBorder="0" applyAlignment="0" applyProtection="0"/>
    <xf numFmtId="186" fontId="163" fillId="0" borderId="0" applyNumberFormat="0" applyFill="0" applyBorder="0" applyAlignment="0" applyProtection="0"/>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86" fontId="163" fillId="0" borderId="0" applyNumberFormat="0" applyFill="0" applyBorder="0" applyAlignment="0" applyProtection="0"/>
    <xf numFmtId="0" fontId="93" fillId="0" borderId="0" applyNumberFormat="0" applyFill="0" applyBorder="0" applyAlignment="0" applyProtection="0"/>
    <xf numFmtId="186" fontId="93" fillId="0" borderId="0" applyNumberFormat="0" applyFill="0" applyBorder="0" applyAlignment="0" applyProtection="0"/>
    <xf numFmtId="186" fontId="93" fillId="0" borderId="0" applyNumberFormat="0" applyFill="0" applyBorder="0" applyAlignment="0" applyProtection="0"/>
    <xf numFmtId="184" fontId="93" fillId="0" borderId="0" applyNumberFormat="0" applyFill="0" applyBorder="0" applyAlignment="0" applyProtection="0"/>
    <xf numFmtId="9" fontId="165" fillId="110" borderId="56" applyNumberFormat="0" applyFill="0" applyBorder="0" applyAlignment="0" applyProtection="0">
      <alignment horizontal="center"/>
      <protection locked="0"/>
    </xf>
    <xf numFmtId="9" fontId="165" fillId="110" borderId="56" applyNumberFormat="0" applyFill="0" applyBorder="0" applyAlignment="0" applyProtection="0">
      <alignment horizontal="center"/>
      <protection locked="0"/>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192" fontId="106" fillId="0" borderId="0" applyNumberFormat="0" applyFont="0" applyFill="0" applyBorder="0" applyProtection="0">
      <alignment wrapText="1"/>
    </xf>
    <xf numFmtId="192" fontId="106" fillId="0" borderId="0" applyNumberFormat="0" applyFont="0" applyFill="0" applyBorder="0" applyProtection="0">
      <alignment wrapText="1"/>
    </xf>
    <xf numFmtId="0" fontId="5" fillId="0" borderId="0"/>
    <xf numFmtId="185" fontId="5" fillId="0" borderId="0"/>
    <xf numFmtId="186" fontId="5" fillId="0" borderId="0"/>
    <xf numFmtId="186" fontId="5" fillId="0" borderId="0"/>
    <xf numFmtId="0" fontId="5" fillId="0" borderId="0"/>
    <xf numFmtId="185" fontId="5" fillId="0" borderId="0"/>
    <xf numFmtId="186" fontId="5" fillId="0" borderId="0"/>
    <xf numFmtId="186" fontId="5" fillId="0" borderId="0"/>
    <xf numFmtId="0" fontId="5" fillId="0" borderId="0"/>
    <xf numFmtId="0" fontId="5" fillId="0" borderId="0"/>
    <xf numFmtId="0" fontId="5" fillId="0" borderId="0"/>
    <xf numFmtId="44"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1" fontId="2" fillId="0" borderId="0" applyFont="0" applyFill="0" applyBorder="0" applyAlignment="0" applyProtection="0"/>
    <xf numFmtId="0" fontId="2" fillId="44" borderId="27" applyNumberFormat="0" applyFont="0" applyAlignment="0" applyProtection="0"/>
    <xf numFmtId="0" fontId="2"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3" fillId="0" borderId="0"/>
    <xf numFmtId="9" fontId="1" fillId="0" borderId="0" applyFont="0" applyFill="0" applyBorder="0" applyAlignment="0" applyProtection="0"/>
  </cellStyleXfs>
  <cellXfs count="1485">
    <xf numFmtId="0" fontId="0" fillId="0" borderId="0" xfId="0"/>
    <xf numFmtId="0" fontId="24" fillId="0" borderId="0" xfId="0" applyFont="1"/>
    <xf numFmtId="0" fontId="24" fillId="0" borderId="0" xfId="0" applyFont="1" applyAlignment="1">
      <alignment horizontal="center"/>
    </xf>
    <xf numFmtId="0" fontId="27" fillId="0" borderId="0" xfId="0" applyFont="1" applyAlignment="1">
      <alignment horizontal="center"/>
    </xf>
    <xf numFmtId="0" fontId="24" fillId="0" borderId="0" xfId="0" quotePrefix="1" applyFont="1" applyAlignment="1">
      <alignment horizontal="center"/>
    </xf>
    <xf numFmtId="0" fontId="26" fillId="0" borderId="0" xfId="0" applyFont="1" applyFill="1" applyBorder="1" applyAlignment="1">
      <alignment horizontal="left" indent="1"/>
    </xf>
    <xf numFmtId="164" fontId="0" fillId="34" borderId="0" xfId="0" applyNumberFormat="1" applyFill="1"/>
    <xf numFmtId="164" fontId="0" fillId="0" borderId="0" xfId="0" applyNumberFormat="1"/>
    <xf numFmtId="165" fontId="0" fillId="0" borderId="0" xfId="0" applyNumberFormat="1"/>
    <xf numFmtId="0" fontId="0" fillId="35" borderId="0" xfId="0" applyFill="1"/>
    <xf numFmtId="0" fontId="28" fillId="35" borderId="0" xfId="0" applyFont="1" applyFill="1"/>
    <xf numFmtId="0" fontId="29" fillId="35" borderId="0" xfId="0" applyFont="1" applyFill="1"/>
    <xf numFmtId="0" fontId="26" fillId="0" borderId="0" xfId="0" applyFont="1"/>
    <xf numFmtId="0" fontId="26" fillId="0" borderId="0" xfId="0" applyFont="1" applyAlignment="1">
      <alignment horizontal="left" indent="1"/>
    </xf>
    <xf numFmtId="0" fontId="0" fillId="0" borderId="0" xfId="0" applyFill="1"/>
    <xf numFmtId="0" fontId="26" fillId="0" borderId="0" xfId="0" applyFont="1" applyFill="1"/>
    <xf numFmtId="0" fontId="0" fillId="0" borderId="0" xfId="0" applyAlignment="1">
      <alignment horizontal="left" indent="1"/>
    </xf>
    <xf numFmtId="0" fontId="26" fillId="0" borderId="0" xfId="28" applyFont="1"/>
    <xf numFmtId="0" fontId="26" fillId="0" borderId="0" xfId="28" applyFont="1" applyBorder="1" applyAlignment="1"/>
    <xf numFmtId="0" fontId="26" fillId="0" borderId="0" xfId="28" applyFont="1" applyBorder="1"/>
    <xf numFmtId="0" fontId="26" fillId="0" borderId="0" xfId="28" applyFont="1" applyBorder="1" applyAlignment="1">
      <alignment horizontal="left"/>
    </xf>
    <xf numFmtId="0" fontId="26" fillId="0" borderId="0" xfId="28" applyNumberFormat="1" applyFont="1" applyFill="1" applyBorder="1" applyAlignment="1">
      <alignment horizontal="left"/>
    </xf>
    <xf numFmtId="0" fontId="24" fillId="0" borderId="0" xfId="28" applyNumberFormat="1" applyFont="1" applyFill="1" applyBorder="1" applyAlignment="1">
      <alignment horizontal="left"/>
    </xf>
    <xf numFmtId="3" fontId="26" fillId="0" borderId="0" xfId="28" applyNumberFormat="1" applyFont="1" applyFill="1" applyBorder="1" applyAlignment="1"/>
    <xf numFmtId="1" fontId="26" fillId="0" borderId="0" xfId="28" applyNumberFormat="1" applyFont="1" applyFill="1" applyBorder="1" applyAlignment="1">
      <alignment horizontal="center"/>
    </xf>
    <xf numFmtId="0" fontId="27" fillId="0" borderId="0" xfId="28" applyFont="1" applyBorder="1" applyAlignment="1">
      <alignment horizontal="center"/>
    </xf>
    <xf numFmtId="0" fontId="24" fillId="0" borderId="0" xfId="28" applyFont="1" applyAlignment="1">
      <alignment horizontal="center"/>
    </xf>
    <xf numFmtId="167" fontId="26" fillId="0" borderId="0" xfId="28" applyNumberFormat="1" applyFont="1" applyFill="1" applyBorder="1" applyAlignment="1">
      <alignment horizontal="right"/>
    </xf>
    <xf numFmtId="167" fontId="26" fillId="0" borderId="0" xfId="20" applyNumberFormat="1" applyFont="1" applyFill="1" applyBorder="1" applyAlignment="1">
      <alignment horizontal="right"/>
    </xf>
    <xf numFmtId="0" fontId="27" fillId="0" borderId="0" xfId="28" applyFont="1" applyFill="1" applyBorder="1" applyAlignment="1">
      <alignment horizontal="center"/>
    </xf>
    <xf numFmtId="3" fontId="26" fillId="0" borderId="0" xfId="28" applyNumberFormat="1" applyFont="1" applyFill="1" applyBorder="1" applyAlignment="1">
      <alignment horizontal="left" indent="1"/>
    </xf>
    <xf numFmtId="0" fontId="27" fillId="0" borderId="0" xfId="28" applyFont="1" applyAlignment="1">
      <alignment horizontal="center"/>
    </xf>
    <xf numFmtId="0" fontId="26" fillId="0" borderId="0" xfId="28" applyFont="1" applyBorder="1" applyAlignment="1">
      <alignment horizontal="right"/>
    </xf>
    <xf numFmtId="164" fontId="26" fillId="0" borderId="0" xfId="20" applyNumberFormat="1" applyFont="1" applyFill="1" applyBorder="1" applyAlignment="1">
      <alignment horizontal="right"/>
    </xf>
    <xf numFmtId="0" fontId="26" fillId="0" borderId="0" xfId="28" applyNumberFormat="1" applyFont="1" applyFill="1" applyBorder="1" applyAlignment="1">
      <alignment horizontal="right"/>
    </xf>
    <xf numFmtId="167" fontId="26" fillId="0" borderId="0" xfId="28" quotePrefix="1" applyNumberFormat="1" applyFont="1" applyFill="1" applyBorder="1" applyAlignment="1">
      <alignment horizontal="left" indent="1"/>
    </xf>
    <xf numFmtId="0" fontId="0" fillId="0" borderId="0" xfId="0" applyAlignment="1">
      <alignment horizontal="right"/>
    </xf>
    <xf numFmtId="0" fontId="28" fillId="35" borderId="0" xfId="0" applyFont="1" applyFill="1" applyBorder="1"/>
    <xf numFmtId="0" fontId="29" fillId="35" borderId="0" xfId="0" applyFont="1" applyFill="1" applyBorder="1"/>
    <xf numFmtId="0" fontId="24" fillId="0" borderId="0" xfId="0" applyFont="1" applyFill="1" applyBorder="1"/>
    <xf numFmtId="0" fontId="26" fillId="0" borderId="0" xfId="0" applyFont="1" applyFill="1" applyBorder="1"/>
    <xf numFmtId="3" fontId="26" fillId="0" borderId="0" xfId="28" applyNumberFormat="1" applyFont="1" applyFill="1" applyBorder="1" applyAlignment="1">
      <alignment horizontal="left"/>
    </xf>
    <xf numFmtId="10" fontId="0" fillId="0" borderId="0" xfId="0" applyNumberFormat="1"/>
    <xf numFmtId="0" fontId="0" fillId="34" borderId="0" xfId="0" applyFill="1"/>
    <xf numFmtId="0" fontId="24" fillId="0" borderId="0" xfId="0" applyFont="1" applyFill="1"/>
    <xf numFmtId="0" fontId="30" fillId="0" borderId="0" xfId="0" applyFont="1" applyFill="1"/>
    <xf numFmtId="0" fontId="26" fillId="0" borderId="0" xfId="0" applyFont="1" applyFill="1" applyAlignment="1">
      <alignment horizontal="left" indent="1"/>
    </xf>
    <xf numFmtId="164" fontId="26" fillId="0" borderId="0" xfId="0" applyNumberFormat="1" applyFont="1" applyFill="1"/>
    <xf numFmtId="165" fontId="26" fillId="0" borderId="0" xfId="0" applyNumberFormat="1" applyFont="1" applyFill="1"/>
    <xf numFmtId="165" fontId="30" fillId="0" borderId="0" xfId="0" applyNumberFormat="1" applyFont="1" applyFill="1"/>
    <xf numFmtId="165" fontId="0" fillId="34" borderId="0" xfId="0" applyNumberFormat="1" applyFill="1"/>
    <xf numFmtId="0" fontId="26" fillId="0" borderId="0" xfId="0" applyFont="1" applyAlignment="1">
      <alignment horizontal="left"/>
    </xf>
    <xf numFmtId="0" fontId="27" fillId="0" borderId="0" xfId="0" applyFont="1"/>
    <xf numFmtId="0" fontId="0" fillId="0" borderId="0" xfId="0" quotePrefix="1"/>
    <xf numFmtId="0" fontId="27" fillId="0" borderId="0" xfId="0" applyFont="1" applyAlignment="1">
      <alignment horizontal="left"/>
    </xf>
    <xf numFmtId="0" fontId="0" fillId="0" borderId="0" xfId="0" quotePrefix="1" applyAlignment="1">
      <alignment horizontal="center"/>
    </xf>
    <xf numFmtId="0" fontId="24" fillId="0" borderId="0" xfId="0" applyFont="1" applyAlignment="1">
      <alignment horizontal="left" indent="2"/>
    </xf>
    <xf numFmtId="0" fontId="0" fillId="0" borderId="0" xfId="0" applyAlignment="1">
      <alignment horizontal="right" indent="1"/>
    </xf>
    <xf numFmtId="164" fontId="31" fillId="0" borderId="0" xfId="0" applyNumberFormat="1" applyFont="1"/>
    <xf numFmtId="164" fontId="30" fillId="0" borderId="0" xfId="0" applyNumberFormat="1" applyFont="1" applyAlignment="1">
      <alignment horizontal="right"/>
    </xf>
    <xf numFmtId="164" fontId="26" fillId="0" borderId="0" xfId="0" applyNumberFormat="1" applyFont="1" applyAlignment="1">
      <alignment horizontal="right"/>
    </xf>
    <xf numFmtId="0" fontId="0" fillId="0" borderId="0" xfId="0" applyBorder="1"/>
    <xf numFmtId="0" fontId="0" fillId="0" borderId="0" xfId="0" applyAlignment="1">
      <alignment horizontal="center"/>
    </xf>
    <xf numFmtId="0" fontId="27" fillId="0" borderId="0" xfId="0" applyFont="1" applyBorder="1" applyAlignment="1">
      <alignment horizontal="center"/>
    </xf>
    <xf numFmtId="164" fontId="0" fillId="0" borderId="0" xfId="0" applyNumberFormat="1" applyFill="1"/>
    <xf numFmtId="3" fontId="26" fillId="0" borderId="0" xfId="0" applyNumberFormat="1" applyFont="1" applyFill="1"/>
    <xf numFmtId="0" fontId="0" fillId="0" borderId="0" xfId="0" applyAlignment="1">
      <alignment horizontal="left"/>
    </xf>
    <xf numFmtId="164" fontId="26" fillId="34" borderId="0" xfId="20" applyNumberFormat="1" applyFont="1" applyFill="1" applyBorder="1" applyAlignment="1">
      <alignment horizontal="right"/>
    </xf>
    <xf numFmtId="0" fontId="26" fillId="0" borderId="0" xfId="0" applyFont="1" applyFill="1" applyBorder="1" applyAlignment="1">
      <alignment horizontal="left"/>
    </xf>
    <xf numFmtId="168" fontId="0" fillId="0" borderId="0" xfId="0" applyNumberFormat="1"/>
    <xf numFmtId="168" fontId="31" fillId="0" borderId="0" xfId="0" applyNumberFormat="1" applyFont="1"/>
    <xf numFmtId="165" fontId="0" fillId="0" borderId="0" xfId="0" applyNumberFormat="1" applyFill="1"/>
    <xf numFmtId="168" fontId="0" fillId="0" borderId="0" xfId="0" applyNumberFormat="1" applyAlignment="1">
      <alignment horizontal="left" indent="1"/>
    </xf>
    <xf numFmtId="0" fontId="24" fillId="0" borderId="0" xfId="0" applyFont="1" applyAlignment="1">
      <alignment horizontal="right"/>
    </xf>
    <xf numFmtId="0" fontId="26" fillId="0" borderId="0" xfId="0" quotePrefix="1" applyFont="1" applyFill="1" applyAlignment="1">
      <alignment horizontal="left" indent="1"/>
    </xf>
    <xf numFmtId="0" fontId="24" fillId="0" borderId="0" xfId="0" applyFont="1" applyAlignment="1">
      <alignment horizontal="left" indent="1"/>
    </xf>
    <xf numFmtId="166" fontId="0" fillId="0" borderId="0" xfId="0" applyNumberFormat="1"/>
    <xf numFmtId="0" fontId="26" fillId="0" borderId="0" xfId="0" applyFont="1" applyFill="1" applyBorder="1" applyAlignment="1">
      <alignment vertical="top"/>
    </xf>
    <xf numFmtId="166" fontId="0" fillId="0" borderId="0" xfId="0" applyNumberFormat="1" applyAlignment="1"/>
    <xf numFmtId="164" fontId="24" fillId="0" borderId="0" xfId="0" applyNumberFormat="1" applyFont="1"/>
    <xf numFmtId="167" fontId="24" fillId="0" borderId="0" xfId="20" applyNumberFormat="1" applyFont="1" applyFill="1" applyBorder="1" applyAlignment="1">
      <alignment horizontal="center"/>
    </xf>
    <xf numFmtId="0" fontId="30" fillId="0" borderId="0" xfId="0" applyFont="1"/>
    <xf numFmtId="0" fontId="30" fillId="0" borderId="0" xfId="0" applyFont="1" applyAlignment="1">
      <alignment horizontal="left"/>
    </xf>
    <xf numFmtId="0" fontId="26" fillId="0" borderId="0" xfId="28" applyFont="1" applyBorder="1" applyAlignment="1">
      <alignment horizontal="left" indent="1"/>
    </xf>
    <xf numFmtId="10" fontId="0" fillId="0" borderId="0" xfId="0" applyNumberFormat="1" applyFill="1"/>
    <xf numFmtId="0" fontId="0" fillId="0" borderId="0" xfId="0" applyFill="1" applyAlignment="1">
      <alignment horizontal="right"/>
    </xf>
    <xf numFmtId="164" fontId="0" fillId="34" borderId="0" xfId="0" applyNumberFormat="1" applyFill="1" applyAlignment="1"/>
    <xf numFmtId="164" fontId="31" fillId="34" borderId="0" xfId="0" applyNumberFormat="1" applyFont="1" applyFill="1" applyAlignment="1"/>
    <xf numFmtId="165" fontId="31" fillId="0" borderId="0" xfId="0" applyNumberFormat="1" applyFont="1"/>
    <xf numFmtId="3" fontId="0" fillId="0" borderId="0" xfId="0" applyNumberFormat="1" applyAlignment="1">
      <alignment horizontal="center"/>
    </xf>
    <xf numFmtId="0" fontId="24" fillId="0" borderId="0" xfId="0" applyFont="1" applyAlignment="1">
      <alignment horizontal="left"/>
    </xf>
    <xf numFmtId="0" fontId="27" fillId="0" borderId="0" xfId="0" quotePrefix="1" applyFont="1" applyAlignment="1">
      <alignment horizontal="center"/>
    </xf>
    <xf numFmtId="1" fontId="26" fillId="0" borderId="0" xfId="28" applyNumberFormat="1" applyFont="1" applyFill="1" applyBorder="1" applyAlignment="1">
      <alignment horizontal="right"/>
    </xf>
    <xf numFmtId="0" fontId="26" fillId="0" borderId="0" xfId="0" applyFont="1" applyBorder="1" applyAlignment="1">
      <alignment vertical="top"/>
    </xf>
    <xf numFmtId="0" fontId="26" fillId="0" borderId="0" xfId="0" applyFont="1" applyAlignment="1">
      <alignment horizontal="center"/>
    </xf>
    <xf numFmtId="173" fontId="0" fillId="34" borderId="0" xfId="0" applyNumberFormat="1" applyFill="1"/>
    <xf numFmtId="164" fontId="26" fillId="0" borderId="0" xfId="0" applyNumberFormat="1" applyFont="1" applyAlignment="1">
      <alignment horizontal="center"/>
    </xf>
    <xf numFmtId="0" fontId="24" fillId="0" borderId="0" xfId="0" applyFont="1" applyAlignment="1">
      <alignment wrapText="1"/>
    </xf>
    <xf numFmtId="164" fontId="30" fillId="0" borderId="0" xfId="0" applyNumberFormat="1" applyFont="1"/>
    <xf numFmtId="0" fontId="26" fillId="0" borderId="0" xfId="0" applyFont="1" applyAlignment="1">
      <alignment horizontal="right"/>
    </xf>
    <xf numFmtId="0" fontId="26" fillId="36" borderId="0" xfId="0" applyFont="1" applyFill="1" applyAlignment="1">
      <alignment horizontal="left" indent="1"/>
    </xf>
    <xf numFmtId="0" fontId="26" fillId="0" borderId="0" xfId="0" quotePrefix="1" applyFont="1" applyAlignment="1">
      <alignment horizontal="center"/>
    </xf>
    <xf numFmtId="0" fontId="0" fillId="36" borderId="0" xfId="0" applyFill="1"/>
    <xf numFmtId="2" fontId="0" fillId="0" borderId="0" xfId="0" applyNumberFormat="1"/>
    <xf numFmtId="0" fontId="26" fillId="0" borderId="0" xfId="0" applyFont="1" applyAlignment="1">
      <alignment horizontal="left" indent="2"/>
    </xf>
    <xf numFmtId="3" fontId="0" fillId="36" borderId="0" xfId="0" applyNumberFormat="1" applyFill="1"/>
    <xf numFmtId="3" fontId="0" fillId="0" borderId="0" xfId="0" applyNumberFormat="1"/>
    <xf numFmtId="3" fontId="30" fillId="36" borderId="0" xfId="0" applyNumberFormat="1" applyFont="1" applyFill="1"/>
    <xf numFmtId="164" fontId="26" fillId="0" borderId="0" xfId="0" applyNumberFormat="1" applyFont="1"/>
    <xf numFmtId="164" fontId="31" fillId="0" borderId="0" xfId="0" applyNumberFormat="1" applyFont="1" applyFill="1"/>
    <xf numFmtId="0" fontId="24" fillId="0" borderId="0" xfId="0" applyFont="1" applyAlignment="1">
      <alignment horizontal="left" indent="3"/>
    </xf>
    <xf numFmtId="164" fontId="26" fillId="0" borderId="0" xfId="0" quotePrefix="1" applyNumberFormat="1" applyFont="1" applyFill="1" applyAlignment="1">
      <alignment horizontal="right"/>
    </xf>
    <xf numFmtId="164" fontId="26" fillId="0" borderId="0" xfId="0" applyNumberFormat="1" applyFont="1" applyFill="1" applyAlignment="1">
      <alignment horizontal="right"/>
    </xf>
    <xf numFmtId="0" fontId="26" fillId="0" borderId="0" xfId="0" applyFont="1" applyFill="1" applyAlignment="1">
      <alignment horizontal="center"/>
    </xf>
    <xf numFmtId="164" fontId="0" fillId="36" borderId="0" xfId="0" applyNumberFormat="1" applyFill="1"/>
    <xf numFmtId="164" fontId="30" fillId="34" borderId="0" xfId="0" applyNumberFormat="1" applyFont="1" applyFill="1"/>
    <xf numFmtId="0" fontId="26" fillId="0" borderId="0" xfId="0" applyFont="1" applyFill="1" applyAlignment="1">
      <alignment horizontal="left"/>
    </xf>
    <xf numFmtId="0" fontId="24" fillId="0" borderId="0" xfId="0" applyFont="1" applyFill="1" applyAlignment="1">
      <alignment horizontal="center"/>
    </xf>
    <xf numFmtId="164" fontId="30" fillId="0" borderId="0" xfId="0" applyNumberFormat="1" applyFont="1" applyFill="1"/>
    <xf numFmtId="3" fontId="0" fillId="0" borderId="0" xfId="0" applyNumberFormat="1" applyFill="1"/>
    <xf numFmtId="0" fontId="0" fillId="0" borderId="0" xfId="0" applyFill="1" applyAlignment="1">
      <alignment horizontal="left" indent="1"/>
    </xf>
    <xf numFmtId="0" fontId="26" fillId="0" borderId="0" xfId="0" quotePrefix="1" applyFont="1" applyAlignment="1">
      <alignment horizontal="left" indent="1"/>
    </xf>
    <xf numFmtId="0" fontId="26" fillId="36" borderId="0" xfId="0" applyFont="1" applyFill="1"/>
    <xf numFmtId="164" fontId="30" fillId="36" borderId="0" xfId="0" applyNumberFormat="1" applyFont="1" applyFill="1"/>
    <xf numFmtId="166" fontId="26" fillId="0" borderId="0" xfId="0" applyNumberFormat="1" applyFont="1" applyAlignment="1">
      <alignment horizontal="left" indent="1"/>
    </xf>
    <xf numFmtId="0" fontId="30" fillId="0" borderId="0" xfId="0" applyFont="1" applyAlignment="1">
      <alignment horizontal="center"/>
    </xf>
    <xf numFmtId="164" fontId="31" fillId="36" borderId="0" xfId="0" applyNumberFormat="1" applyFont="1" applyFill="1"/>
    <xf numFmtId="0" fontId="0" fillId="37" borderId="0" xfId="0" applyFill="1"/>
    <xf numFmtId="0" fontId="27" fillId="0" borderId="0" xfId="0" applyFont="1" applyFill="1" applyBorder="1" applyAlignment="1">
      <alignment horizontal="center"/>
    </xf>
    <xf numFmtId="0" fontId="28" fillId="0" borderId="0" xfId="0" applyFont="1" applyFill="1" applyBorder="1"/>
    <xf numFmtId="0" fontId="29" fillId="0" borderId="0" xfId="0" applyFont="1" applyFill="1" applyBorder="1"/>
    <xf numFmtId="0" fontId="27" fillId="0" borderId="0" xfId="0" applyFont="1" applyFill="1" applyAlignment="1">
      <alignment horizontal="center"/>
    </xf>
    <xf numFmtId="168" fontId="26" fillId="0" borderId="0" xfId="0" applyNumberFormat="1" applyFont="1"/>
    <xf numFmtId="0" fontId="34" fillId="0" borderId="0" xfId="34" applyFont="1"/>
    <xf numFmtId="167" fontId="34" fillId="0" borderId="0" xfId="19" applyNumberFormat="1" applyFont="1" applyBorder="1"/>
    <xf numFmtId="0" fontId="34" fillId="0" borderId="0" xfId="34" applyFont="1" applyBorder="1" applyAlignment="1">
      <alignment horizontal="left"/>
    </xf>
    <xf numFmtId="0" fontId="34" fillId="0" borderId="0" xfId="34" applyFont="1" applyBorder="1"/>
    <xf numFmtId="10" fontId="34" fillId="0" borderId="0" xfId="36" applyNumberFormat="1" applyFont="1" applyBorder="1" applyAlignment="1">
      <alignment horizontal="left" indent="3"/>
    </xf>
    <xf numFmtId="0" fontId="34" fillId="0" borderId="0" xfId="34" applyFont="1" applyBorder="1" applyAlignment="1">
      <alignment horizontal="right" wrapText="1"/>
    </xf>
    <xf numFmtId="42" fontId="34" fillId="0" borderId="0" xfId="34" applyNumberFormat="1" applyFont="1"/>
    <xf numFmtId="176" fontId="34" fillId="0" borderId="0" xfId="34" applyNumberFormat="1" applyFont="1"/>
    <xf numFmtId="0" fontId="35" fillId="0" borderId="0" xfId="34" applyFont="1"/>
    <xf numFmtId="0" fontId="35" fillId="0" borderId="0" xfId="34" applyFont="1" applyBorder="1" applyAlignment="1">
      <alignment vertical="center" wrapText="1"/>
    </xf>
    <xf numFmtId="42" fontId="35" fillId="0" borderId="0" xfId="19" applyNumberFormat="1" applyFont="1" applyBorder="1" applyAlignment="1">
      <alignment vertical="center"/>
    </xf>
    <xf numFmtId="171" fontId="35" fillId="0" borderId="0" xfId="36" applyNumberFormat="1" applyFont="1" applyBorder="1" applyAlignment="1">
      <alignment horizontal="center" vertical="center"/>
    </xf>
    <xf numFmtId="164" fontId="34" fillId="0" borderId="0" xfId="19" applyNumberFormat="1" applyFont="1" applyBorder="1"/>
    <xf numFmtId="3" fontId="26" fillId="0" borderId="0" xfId="0" applyNumberFormat="1" applyFont="1"/>
    <xf numFmtId="0" fontId="34" fillId="0" borderId="0" xfId="28" applyFont="1"/>
    <xf numFmtId="164" fontId="0" fillId="0" borderId="0" xfId="0" applyNumberFormat="1" applyAlignment="1"/>
    <xf numFmtId="165" fontId="36" fillId="0" borderId="0" xfId="0" applyNumberFormat="1" applyFont="1"/>
    <xf numFmtId="165" fontId="37" fillId="0" borderId="0" xfId="0" applyNumberFormat="1" applyFont="1"/>
    <xf numFmtId="166" fontId="0" fillId="0" borderId="0" xfId="0" applyNumberFormat="1" applyFill="1"/>
    <xf numFmtId="166" fontId="26" fillId="0" borderId="0" xfId="0" applyNumberFormat="1" applyFont="1" applyFill="1" applyAlignment="1">
      <alignment horizontal="left" indent="1"/>
    </xf>
    <xf numFmtId="1" fontId="26" fillId="36" borderId="0" xfId="28" applyNumberFormat="1" applyFont="1" applyFill="1" applyBorder="1" applyAlignment="1">
      <alignment horizontal="center"/>
    </xf>
    <xf numFmtId="0" fontId="26" fillId="0" borderId="0" xfId="28" applyNumberFormat="1" applyFont="1" applyFill="1" applyBorder="1" applyAlignment="1">
      <alignment horizontal="left" indent="1"/>
    </xf>
    <xf numFmtId="168" fontId="26" fillId="0" borderId="0" xfId="0" applyNumberFormat="1" applyFont="1" applyAlignment="1">
      <alignment horizontal="left" indent="1"/>
    </xf>
    <xf numFmtId="165" fontId="26" fillId="0" borderId="0" xfId="0" applyNumberFormat="1" applyFont="1" applyAlignment="1">
      <alignment horizontal="left" indent="1"/>
    </xf>
    <xf numFmtId="0" fontId="0" fillId="36" borderId="0" xfId="0" quotePrefix="1" applyFill="1" applyAlignment="1">
      <alignment horizontal="center"/>
    </xf>
    <xf numFmtId="0" fontId="0" fillId="36" borderId="0" xfId="0" applyFill="1" applyAlignment="1">
      <alignment horizontal="center"/>
    </xf>
    <xf numFmtId="0" fontId="26" fillId="0" borderId="0" xfId="28" applyNumberFormat="1" applyFont="1" applyFill="1" applyBorder="1" applyAlignment="1">
      <alignment horizontal="left" indent="2"/>
    </xf>
    <xf numFmtId="0" fontId="24" fillId="0" borderId="0" xfId="0" quotePrefix="1" applyFont="1" applyAlignment="1">
      <alignment horizontal="right"/>
    </xf>
    <xf numFmtId="165" fontId="30" fillId="0" borderId="0" xfId="0" applyNumberFormat="1" applyFont="1"/>
    <xf numFmtId="164" fontId="26" fillId="36" borderId="0" xfId="19" applyNumberFormat="1" applyFont="1" applyFill="1" applyBorder="1"/>
    <xf numFmtId="164" fontId="26" fillId="0" borderId="0" xfId="19" applyNumberFormat="1" applyFont="1" applyBorder="1"/>
    <xf numFmtId="164" fontId="30" fillId="36" borderId="0" xfId="19" applyNumberFormat="1" applyFont="1" applyFill="1" applyBorder="1"/>
    <xf numFmtId="164" fontId="26" fillId="0" borderId="0" xfId="19" applyNumberFormat="1" applyFont="1" applyBorder="1" applyAlignment="1">
      <alignment horizontal="left" indent="1"/>
    </xf>
    <xf numFmtId="10" fontId="26" fillId="0" borderId="0" xfId="36" applyNumberFormat="1" applyFont="1" applyBorder="1" applyAlignment="1">
      <alignment horizontal="center"/>
    </xf>
    <xf numFmtId="10" fontId="30" fillId="0" borderId="0" xfId="36" applyNumberFormat="1" applyFont="1" applyBorder="1" applyAlignment="1">
      <alignment horizontal="center"/>
    </xf>
    <xf numFmtId="164" fontId="24" fillId="0" borderId="0" xfId="19" applyNumberFormat="1" applyFont="1" applyBorder="1" applyAlignment="1">
      <alignment vertical="center"/>
    </xf>
    <xf numFmtId="10" fontId="24" fillId="0" borderId="0" xfId="36" applyNumberFormat="1" applyFont="1" applyBorder="1" applyAlignment="1">
      <alignment horizontal="center" vertical="center"/>
    </xf>
    <xf numFmtId="0" fontId="27" fillId="0" borderId="0" xfId="34" applyFont="1" applyAlignment="1">
      <alignment horizontal="center"/>
    </xf>
    <xf numFmtId="0" fontId="24" fillId="0" borderId="0" xfId="34" applyFont="1" applyBorder="1"/>
    <xf numFmtId="0" fontId="26" fillId="0" borderId="0" xfId="34" applyFont="1" applyBorder="1" applyAlignment="1">
      <alignment horizontal="left" indent="2"/>
    </xf>
    <xf numFmtId="0" fontId="24" fillId="0" borderId="0" xfId="34" applyFont="1" applyBorder="1" applyAlignment="1">
      <alignment horizontal="left"/>
    </xf>
    <xf numFmtId="0" fontId="24" fillId="0" borderId="0" xfId="34" applyFont="1" applyBorder="1" applyAlignment="1">
      <alignment horizontal="left" wrapText="1"/>
    </xf>
    <xf numFmtId="0" fontId="26" fillId="0" borderId="0" xfId="34" applyFont="1" applyBorder="1" applyAlignment="1">
      <alignment horizontal="left" wrapText="1"/>
    </xf>
    <xf numFmtId="0" fontId="24" fillId="0" borderId="0" xfId="34" applyFont="1" applyBorder="1" applyAlignment="1">
      <alignment vertical="center" wrapText="1"/>
    </xf>
    <xf numFmtId="0" fontId="24" fillId="0" borderId="0" xfId="34" applyFont="1"/>
    <xf numFmtId="0" fontId="24" fillId="0" borderId="0" xfId="34" applyFont="1" applyAlignment="1">
      <alignment horizontal="center"/>
    </xf>
    <xf numFmtId="0" fontId="26" fillId="0" borderId="0" xfId="34" applyFont="1"/>
    <xf numFmtId="0" fontId="26" fillId="36" borderId="0" xfId="34" applyFont="1" applyFill="1"/>
    <xf numFmtId="0" fontId="27" fillId="0" borderId="0" xfId="34" applyFont="1" applyFill="1" applyAlignment="1">
      <alignment horizontal="center"/>
    </xf>
    <xf numFmtId="167" fontId="26" fillId="0" borderId="0" xfId="19" applyNumberFormat="1" applyFont="1" applyBorder="1"/>
    <xf numFmtId="171" fontId="26" fillId="0" borderId="0" xfId="36" applyNumberFormat="1" applyFont="1" applyBorder="1" applyAlignment="1">
      <alignment horizontal="left" indent="3"/>
    </xf>
    <xf numFmtId="164" fontId="26" fillId="36" borderId="0" xfId="0" applyNumberFormat="1" applyFont="1" applyFill="1"/>
    <xf numFmtId="0" fontId="26" fillId="0" borderId="0" xfId="34" applyFont="1" applyBorder="1" applyAlignment="1">
      <alignment horizontal="left"/>
    </xf>
    <xf numFmtId="41" fontId="26" fillId="0" borderId="0" xfId="19" applyNumberFormat="1" applyFont="1" applyBorder="1"/>
    <xf numFmtId="41" fontId="26" fillId="0" borderId="0" xfId="34" applyNumberFormat="1" applyFont="1" applyBorder="1"/>
    <xf numFmtId="10" fontId="26" fillId="0" borderId="0" xfId="34" applyNumberFormat="1" applyFont="1" applyBorder="1" applyAlignment="1">
      <alignment horizontal="center"/>
    </xf>
    <xf numFmtId="5" fontId="26" fillId="36" borderId="0" xfId="19" applyNumberFormat="1" applyFont="1" applyFill="1" applyBorder="1"/>
    <xf numFmtId="10" fontId="26" fillId="0" borderId="0" xfId="36" applyNumberFormat="1" applyFont="1" applyFill="1" applyBorder="1" applyAlignment="1">
      <alignment horizontal="center"/>
    </xf>
    <xf numFmtId="5" fontId="30" fillId="36" borderId="0" xfId="19" applyNumberFormat="1" applyFont="1" applyFill="1" applyBorder="1"/>
    <xf numFmtId="10" fontId="30" fillId="0" borderId="0" xfId="36" applyNumberFormat="1" applyFont="1" applyFill="1" applyBorder="1" applyAlignment="1">
      <alignment horizontal="center"/>
    </xf>
    <xf numFmtId="0" fontId="26" fillId="0" borderId="0" xfId="34" applyFont="1" applyBorder="1" applyAlignment="1">
      <alignment horizontal="right" wrapText="1"/>
    </xf>
    <xf numFmtId="0" fontId="24" fillId="0" borderId="0" xfId="34" applyFont="1" applyBorder="1" applyAlignment="1">
      <alignment horizontal="left" vertical="center" wrapText="1"/>
    </xf>
    <xf numFmtId="0" fontId="56" fillId="36" borderId="0" xfId="34" applyFont="1" applyFill="1"/>
    <xf numFmtId="0" fontId="26" fillId="36" borderId="0" xfId="28" applyFont="1" applyFill="1" applyBorder="1" applyAlignment="1">
      <alignment horizontal="center"/>
    </xf>
    <xf numFmtId="0" fontId="26" fillId="36" borderId="0" xfId="0" applyFont="1" applyFill="1" applyAlignment="1"/>
    <xf numFmtId="0" fontId="26" fillId="0" borderId="0" xfId="0" quotePrefix="1" applyFont="1" applyAlignment="1">
      <alignment horizontal="center" vertical="justify"/>
    </xf>
    <xf numFmtId="0" fontId="24" fillId="36" borderId="0" xfId="0" applyFont="1" applyFill="1" applyAlignment="1">
      <alignment horizontal="center"/>
    </xf>
    <xf numFmtId="0" fontId="27" fillId="36" borderId="0" xfId="0" applyFont="1" applyFill="1" applyAlignment="1">
      <alignment horizontal="center"/>
    </xf>
    <xf numFmtId="0" fontId="24" fillId="0" borderId="0" xfId="28" applyFont="1" applyFill="1" applyBorder="1" applyAlignment="1">
      <alignment horizontal="left"/>
    </xf>
    <xf numFmtId="1" fontId="26" fillId="0" borderId="0" xfId="28" quotePrefix="1" applyNumberFormat="1" applyFont="1" applyFill="1" applyBorder="1" applyAlignment="1">
      <alignment horizontal="right"/>
    </xf>
    <xf numFmtId="164" fontId="26" fillId="0" borderId="0" xfId="0" quotePrefix="1" applyNumberFormat="1" applyFont="1" applyAlignment="1">
      <alignment horizontal="center"/>
    </xf>
    <xf numFmtId="0" fontId="24" fillId="0" borderId="0" xfId="0" applyFont="1" applyBorder="1" applyAlignment="1">
      <alignment horizontal="center"/>
    </xf>
    <xf numFmtId="0" fontId="24" fillId="0" borderId="3" xfId="0" applyFont="1" applyBorder="1" applyAlignment="1">
      <alignment horizontal="center"/>
    </xf>
    <xf numFmtId="0" fontId="24" fillId="0" borderId="3" xfId="0" applyFont="1" applyFill="1" applyBorder="1" applyAlignment="1">
      <alignment horizontal="center"/>
    </xf>
    <xf numFmtId="0" fontId="24" fillId="0" borderId="3" xfId="0" applyNumberFormat="1" applyFont="1" applyBorder="1" applyAlignment="1">
      <alignment horizontal="center" wrapText="1"/>
    </xf>
    <xf numFmtId="0" fontId="24" fillId="0" borderId="3" xfId="0" applyNumberFormat="1" applyFont="1" applyFill="1" applyBorder="1" applyAlignment="1">
      <alignment wrapText="1"/>
    </xf>
    <xf numFmtId="0" fontId="24" fillId="0" borderId="3" xfId="0" applyNumberFormat="1" applyFont="1" applyBorder="1" applyAlignment="1">
      <alignment wrapText="1"/>
    </xf>
    <xf numFmtId="0" fontId="24" fillId="0" borderId="3" xfId="0" applyFont="1" applyFill="1" applyBorder="1" applyAlignment="1">
      <alignment horizontal="center" wrapText="1"/>
    </xf>
    <xf numFmtId="0" fontId="24" fillId="0" borderId="3" xfId="0" applyFont="1" applyBorder="1" applyAlignment="1">
      <alignment horizontal="center" wrapText="1"/>
    </xf>
    <xf numFmtId="0" fontId="26" fillId="0" borderId="3" xfId="0" quotePrefix="1" applyNumberFormat="1" applyFont="1" applyFill="1" applyBorder="1" applyAlignment="1">
      <alignment horizontal="center"/>
    </xf>
    <xf numFmtId="0" fontId="26" fillId="0" borderId="3" xfId="0" quotePrefix="1" applyNumberFormat="1" applyFont="1" applyFill="1" applyBorder="1" applyAlignment="1">
      <alignment horizontal="left"/>
    </xf>
    <xf numFmtId="0" fontId="26" fillId="0" borderId="3" xfId="0" quotePrefix="1" applyNumberFormat="1" applyFont="1" applyFill="1" applyBorder="1"/>
    <xf numFmtId="0" fontId="26" fillId="0" borderId="3" xfId="0" applyFont="1" applyFill="1" applyBorder="1" applyAlignment="1">
      <alignment horizontal="center"/>
    </xf>
    <xf numFmtId="0" fontId="26" fillId="0" borderId="3" xfId="0" quotePrefix="1" applyNumberFormat="1" applyFont="1" applyBorder="1" applyAlignment="1">
      <alignment horizontal="center"/>
    </xf>
    <xf numFmtId="0" fontId="26" fillId="0" borderId="3" xfId="0" quotePrefix="1" applyNumberFormat="1" applyFont="1" applyBorder="1"/>
    <xf numFmtId="0" fontId="26" fillId="0" borderId="3" xfId="0" applyFont="1" applyBorder="1" applyAlignment="1">
      <alignment horizontal="center"/>
    </xf>
    <xf numFmtId="0" fontId="24" fillId="0" borderId="0" xfId="0" quotePrefix="1" applyNumberFormat="1" applyFont="1" applyBorder="1" applyAlignment="1">
      <alignment horizontal="center"/>
    </xf>
    <xf numFmtId="0" fontId="24" fillId="0" borderId="0" xfId="0" applyNumberFormat="1" applyFont="1" applyFill="1" applyBorder="1"/>
    <xf numFmtId="0" fontId="24" fillId="0" borderId="0" xfId="0" quotePrefix="1" applyNumberFormat="1" applyFont="1" applyBorder="1"/>
    <xf numFmtId="0" fontId="24" fillId="0" borderId="0" xfId="0" quotePrefix="1" applyNumberFormat="1" applyFont="1" applyFill="1" applyBorder="1"/>
    <xf numFmtId="37" fontId="26" fillId="0" borderId="0" xfId="0" applyNumberFormat="1" applyFont="1" applyFill="1" applyBorder="1" applyAlignment="1">
      <alignment horizontal="center"/>
    </xf>
    <xf numFmtId="0" fontId="26" fillId="0" borderId="0" xfId="0" applyFont="1" applyBorder="1" applyAlignment="1">
      <alignment horizontal="center"/>
    </xf>
    <xf numFmtId="0" fontId="26" fillId="0" borderId="0" xfId="0" quotePrefix="1" applyNumberFormat="1" applyFont="1" applyBorder="1" applyAlignment="1">
      <alignment horizontal="center"/>
    </xf>
    <xf numFmtId="0" fontId="26" fillId="0" borderId="3" xfId="0" applyFont="1" applyFill="1" applyBorder="1"/>
    <xf numFmtId="37" fontId="24" fillId="0" borderId="0" xfId="0" applyNumberFormat="1" applyFont="1" applyFill="1" applyBorder="1" applyAlignment="1">
      <alignment horizontal="center"/>
    </xf>
    <xf numFmtId="0" fontId="26" fillId="0" borderId="3" xfId="0" quotePrefix="1" applyNumberFormat="1" applyFont="1" applyBorder="1" applyAlignment="1">
      <alignment horizontal="left"/>
    </xf>
    <xf numFmtId="0" fontId="26" fillId="0" borderId="3" xfId="0" applyNumberFormat="1" applyFont="1" applyFill="1" applyBorder="1"/>
    <xf numFmtId="0" fontId="26" fillId="0" borderId="3" xfId="0" applyNumberFormat="1" applyFont="1" applyFill="1" applyBorder="1" applyAlignment="1">
      <alignment horizontal="left"/>
    </xf>
    <xf numFmtId="39" fontId="26" fillId="0" borderId="0" xfId="19" applyNumberFormat="1" applyFont="1" applyBorder="1" applyAlignment="1">
      <alignment horizontal="center"/>
    </xf>
    <xf numFmtId="0" fontId="26" fillId="0" borderId="0" xfId="0" applyFont="1" applyFill="1" applyBorder="1" applyAlignment="1">
      <alignment horizontal="center"/>
    </xf>
    <xf numFmtId="39" fontId="26" fillId="0" borderId="0" xfId="19" applyNumberFormat="1" applyFont="1" applyFill="1" applyBorder="1" applyAlignment="1">
      <alignment horizontal="center"/>
    </xf>
    <xf numFmtId="0" fontId="26" fillId="0" borderId="0" xfId="0" applyFont="1" applyBorder="1"/>
    <xf numFmtId="0" fontId="24" fillId="0" borderId="3" xfId="0" applyNumberFormat="1" applyFont="1" applyFill="1" applyBorder="1" applyAlignment="1">
      <alignment horizontal="right"/>
    </xf>
    <xf numFmtId="0" fontId="26" fillId="0" borderId="0" xfId="0" quotePrefix="1" applyNumberFormat="1" applyFont="1" applyBorder="1"/>
    <xf numFmtId="0" fontId="26" fillId="0" borderId="0" xfId="0" quotePrefix="1" applyNumberFormat="1" applyFont="1" applyFill="1" applyBorder="1"/>
    <xf numFmtId="164" fontId="26" fillId="0" borderId="0" xfId="19" applyNumberFormat="1" applyFont="1" applyBorder="1" applyAlignment="1">
      <alignment horizontal="right"/>
    </xf>
    <xf numFmtId="0" fontId="30" fillId="0" borderId="0" xfId="0" applyFont="1" applyBorder="1" applyAlignment="1">
      <alignment horizontal="center"/>
    </xf>
    <xf numFmtId="49" fontId="26" fillId="0" borderId="0" xfId="19" applyNumberFormat="1" applyFont="1" applyBorder="1" applyAlignment="1">
      <alignment horizontal="left" indent="1"/>
    </xf>
    <xf numFmtId="0" fontId="57" fillId="0" borderId="0" xfId="0" applyFont="1"/>
    <xf numFmtId="0" fontId="57" fillId="0" borderId="0" xfId="0" applyFont="1" applyAlignment="1">
      <alignment horizontal="right"/>
    </xf>
    <xf numFmtId="164" fontId="57" fillId="0" borderId="0" xfId="0" applyNumberFormat="1" applyFont="1"/>
    <xf numFmtId="0" fontId="58" fillId="0" borderId="0" xfId="0" applyFont="1" applyAlignment="1">
      <alignment horizontal="center"/>
    </xf>
    <xf numFmtId="164" fontId="57" fillId="0" borderId="0" xfId="0" applyNumberFormat="1" applyFont="1" applyFill="1"/>
    <xf numFmtId="164" fontId="57" fillId="36" borderId="0" xfId="0" applyNumberFormat="1" applyFont="1" applyFill="1"/>
    <xf numFmtId="10" fontId="57" fillId="34" borderId="0" xfId="0" applyNumberFormat="1" applyFont="1" applyFill="1"/>
    <xf numFmtId="164" fontId="57" fillId="0" borderId="0" xfId="0" applyNumberFormat="1" applyFont="1" applyAlignment="1">
      <alignment horizontal="right"/>
    </xf>
    <xf numFmtId="164" fontId="57" fillId="0" borderId="0" xfId="0" quotePrefix="1" applyNumberFormat="1" applyFont="1" applyAlignment="1">
      <alignment horizontal="center"/>
    </xf>
    <xf numFmtId="164" fontId="57" fillId="0" borderId="0" xfId="0" quotePrefix="1" applyNumberFormat="1" applyFont="1" applyFill="1" applyAlignment="1">
      <alignment horizontal="center"/>
    </xf>
    <xf numFmtId="0" fontId="57" fillId="0" borderId="0" xfId="0" applyFont="1" applyFill="1"/>
    <xf numFmtId="10" fontId="57" fillId="0" borderId="0" xfId="0" applyNumberFormat="1" applyFont="1" applyFill="1"/>
    <xf numFmtId="164" fontId="58" fillId="0" borderId="0" xfId="0" applyNumberFormat="1" applyFont="1" applyAlignment="1">
      <alignment horizontal="center"/>
    </xf>
    <xf numFmtId="0" fontId="55" fillId="0" borderId="0" xfId="0" applyFont="1" applyAlignment="1">
      <alignment horizontal="center"/>
    </xf>
    <xf numFmtId="164" fontId="59" fillId="0" borderId="0" xfId="0" applyNumberFormat="1" applyFont="1" applyAlignment="1">
      <alignment horizontal="center"/>
    </xf>
    <xf numFmtId="0" fontId="60" fillId="0" borderId="0" xfId="0" applyFont="1" applyAlignment="1">
      <alignment horizontal="center"/>
    </xf>
    <xf numFmtId="164" fontId="57" fillId="0" borderId="0" xfId="0" applyNumberFormat="1" applyFont="1" applyFill="1" applyAlignment="1">
      <alignment horizontal="right"/>
    </xf>
    <xf numFmtId="166" fontId="57" fillId="0" borderId="0" xfId="0" applyNumberFormat="1" applyFont="1"/>
    <xf numFmtId="164" fontId="57" fillId="34" borderId="0" xfId="0" applyNumberFormat="1" applyFont="1" applyFill="1"/>
    <xf numFmtId="0" fontId="57" fillId="0" borderId="0" xfId="0" applyFont="1" applyAlignment="1">
      <alignment horizontal="left" indent="1"/>
    </xf>
    <xf numFmtId="165" fontId="57" fillId="0" borderId="0" xfId="0" applyNumberFormat="1" applyFont="1"/>
    <xf numFmtId="0" fontId="57" fillId="0" borderId="0" xfId="0" applyFont="1" applyAlignment="1">
      <alignment horizontal="center"/>
    </xf>
    <xf numFmtId="0" fontId="26" fillId="0" borderId="0" xfId="0" quotePrefix="1" applyFont="1" applyAlignment="1">
      <alignment horizontal="right"/>
    </xf>
    <xf numFmtId="0" fontId="24" fillId="36" borderId="0" xfId="0" quotePrefix="1" applyFont="1" applyFill="1" applyAlignment="1">
      <alignment horizontal="center"/>
    </xf>
    <xf numFmtId="0" fontId="24" fillId="0" borderId="0" xfId="28" applyFont="1"/>
    <xf numFmtId="0" fontId="26" fillId="36" borderId="0" xfId="28" applyFont="1" applyFill="1"/>
    <xf numFmtId="0" fontId="24" fillId="0" borderId="0" xfId="28" applyFont="1" applyFill="1" applyBorder="1" applyAlignment="1">
      <alignment horizontal="left" vertical="center"/>
    </xf>
    <xf numFmtId="0" fontId="24" fillId="0" borderId="0" xfId="28" applyFont="1" applyFill="1" applyBorder="1" applyAlignment="1">
      <alignment horizontal="center" vertical="center" wrapText="1"/>
    </xf>
    <xf numFmtId="0" fontId="24" fillId="0" borderId="0" xfId="28" applyFont="1" applyFill="1" applyBorder="1" applyAlignment="1">
      <alignment horizontal="center" vertical="center"/>
    </xf>
    <xf numFmtId="0" fontId="24" fillId="0" borderId="0" xfId="28" applyFont="1" applyFill="1" applyBorder="1" applyAlignment="1">
      <alignment horizontal="center"/>
    </xf>
    <xf numFmtId="0" fontId="24" fillId="0" borderId="0" xfId="28" applyFont="1" applyBorder="1" applyAlignment="1">
      <alignment horizontal="center" vertical="center" wrapText="1"/>
    </xf>
    <xf numFmtId="0" fontId="26" fillId="0" borderId="0" xfId="28" applyFont="1" applyFill="1" applyBorder="1" applyAlignment="1">
      <alignment horizontal="left" vertical="center" indent="1"/>
    </xf>
    <xf numFmtId="164" fontId="26" fillId="0" borderId="0" xfId="28" applyNumberFormat="1" applyFont="1" applyFill="1" applyBorder="1" applyAlignment="1">
      <alignment horizontal="right" vertical="center" wrapText="1"/>
    </xf>
    <xf numFmtId="164" fontId="26" fillId="0" borderId="0" xfId="20" applyNumberFormat="1" applyFont="1" applyFill="1"/>
    <xf numFmtId="164" fontId="26" fillId="0" borderId="0" xfId="28" applyNumberFormat="1" applyFont="1" applyFill="1" applyBorder="1" applyAlignment="1">
      <alignment horizontal="right"/>
    </xf>
    <xf numFmtId="164" fontId="30" fillId="0" borderId="0" xfId="28" applyNumberFormat="1" applyFont="1" applyFill="1" applyBorder="1" applyAlignment="1">
      <alignment horizontal="right" vertical="center" wrapText="1"/>
    </xf>
    <xf numFmtId="164" fontId="30" fillId="0" borderId="0" xfId="20" applyNumberFormat="1" applyFont="1" applyFill="1"/>
    <xf numFmtId="164" fontId="30" fillId="0" borderId="0" xfId="28" applyNumberFormat="1" applyFont="1" applyFill="1" applyBorder="1" applyAlignment="1">
      <alignment horizontal="right"/>
    </xf>
    <xf numFmtId="164" fontId="30" fillId="36" borderId="0" xfId="28" applyNumberFormat="1" applyFont="1" applyFill="1" applyBorder="1" applyAlignment="1">
      <alignment horizontal="right" vertical="center" wrapText="1"/>
    </xf>
    <xf numFmtId="164" fontId="26" fillId="0" borderId="0" xfId="28" applyNumberFormat="1" applyFont="1" applyFill="1" applyAlignment="1">
      <alignment vertical="center"/>
    </xf>
    <xf numFmtId="0" fontId="26" fillId="0" borderId="0" xfId="28" applyFont="1" applyFill="1"/>
    <xf numFmtId="41" fontId="26" fillId="0" borderId="0" xfId="20" applyNumberFormat="1" applyFont="1" applyFill="1"/>
    <xf numFmtId="41" fontId="26" fillId="0" borderId="0" xfId="28" applyNumberFormat="1" applyFont="1" applyFill="1"/>
    <xf numFmtId="41" fontId="26" fillId="0" borderId="0" xfId="20" applyNumberFormat="1" applyFont="1"/>
    <xf numFmtId="41" fontId="26" fillId="0" borderId="0" xfId="20" applyNumberFormat="1" applyFont="1" applyAlignment="1" applyProtection="1">
      <alignment horizontal="right" indent="2"/>
    </xf>
    <xf numFmtId="0" fontId="24" fillId="0" borderId="0" xfId="28" applyFont="1" applyFill="1"/>
    <xf numFmtId="0" fontId="26" fillId="0" borderId="0" xfId="28" applyFont="1" applyFill="1" applyAlignment="1">
      <alignment horizontal="left" wrapText="1" indent="1"/>
    </xf>
    <xf numFmtId="164" fontId="26" fillId="0" borderId="0" xfId="28" applyNumberFormat="1" applyFont="1" applyFill="1"/>
    <xf numFmtId="41" fontId="38" fillId="0" borderId="0" xfId="20" applyNumberFormat="1" applyFont="1" applyFill="1"/>
    <xf numFmtId="164" fontId="38" fillId="0" borderId="0" xfId="20" applyNumberFormat="1" applyFont="1" applyFill="1"/>
    <xf numFmtId="42" fontId="38" fillId="0" borderId="0" xfId="28" applyNumberFormat="1" applyFont="1"/>
    <xf numFmtId="164" fontId="38" fillId="36" borderId="0" xfId="20" applyNumberFormat="1" applyFont="1" applyFill="1"/>
    <xf numFmtId="42" fontId="26" fillId="0" borderId="0" xfId="28" applyNumberFormat="1" applyFont="1"/>
    <xf numFmtId="42" fontId="26" fillId="0" borderId="0" xfId="20" applyNumberFormat="1" applyFont="1" applyBorder="1"/>
    <xf numFmtId="42" fontId="26" fillId="0" borderId="0" xfId="28" applyNumberFormat="1" applyFont="1" applyBorder="1"/>
    <xf numFmtId="164" fontId="26" fillId="0" borderId="0" xfId="20" applyNumberFormat="1" applyFont="1" applyBorder="1"/>
    <xf numFmtId="43" fontId="26" fillId="0" borderId="0" xfId="28" applyNumberFormat="1" applyFont="1"/>
    <xf numFmtId="41" fontId="26" fillId="0" borderId="0" xfId="28" applyNumberFormat="1" applyFont="1"/>
    <xf numFmtId="0" fontId="24" fillId="0" borderId="0" xfId="28" applyFont="1" applyAlignment="1">
      <alignment horizontal="center" wrapText="1"/>
    </xf>
    <xf numFmtId="0" fontId="27" fillId="0" borderId="0" xfId="28" applyFont="1"/>
    <xf numFmtId="164" fontId="26" fillId="0" borderId="0" xfId="28" applyNumberFormat="1" applyFont="1" applyBorder="1"/>
    <xf numFmtId="0" fontId="26" fillId="0" borderId="0" xfId="28" applyFont="1" applyFill="1" applyBorder="1" applyAlignment="1">
      <alignment horizontal="right" vertical="center"/>
    </xf>
    <xf numFmtId="168" fontId="26" fillId="0" borderId="0" xfId="38" applyNumberFormat="1" applyFont="1" applyFill="1" applyBorder="1" applyAlignment="1">
      <alignment vertical="center"/>
    </xf>
    <xf numFmtId="10" fontId="26" fillId="0" borderId="0" xfId="38" applyNumberFormat="1" applyFont="1" applyFill="1" applyBorder="1" applyAlignment="1">
      <alignment vertical="center"/>
    </xf>
    <xf numFmtId="0" fontId="26" fillId="0" borderId="0" xfId="28" applyFont="1" applyFill="1" applyBorder="1"/>
    <xf numFmtId="10" fontId="26" fillId="0" borderId="0" xfId="38" applyNumberFormat="1" applyFont="1" applyFill="1" applyBorder="1"/>
    <xf numFmtId="42" fontId="26" fillId="0" borderId="0" xfId="20" applyNumberFormat="1" applyFont="1" applyFill="1"/>
    <xf numFmtId="39" fontId="24" fillId="0" borderId="3" xfId="22" quotePrefix="1" applyNumberFormat="1" applyFont="1" applyBorder="1" applyAlignment="1">
      <alignment horizontal="center" wrapText="1"/>
    </xf>
    <xf numFmtId="39" fontId="24" fillId="0" borderId="3" xfId="22" applyNumberFormat="1" applyFont="1" applyBorder="1" applyAlignment="1">
      <alignment horizontal="center" wrapText="1"/>
    </xf>
    <xf numFmtId="39" fontId="26" fillId="0" borderId="3" xfId="22" quotePrefix="1" applyNumberFormat="1" applyFont="1" applyFill="1" applyBorder="1" applyAlignment="1">
      <alignment horizontal="center"/>
    </xf>
    <xf numFmtId="177" fontId="24" fillId="0" borderId="3" xfId="22" applyNumberFormat="1" applyFont="1" applyBorder="1" applyAlignment="1">
      <alignment horizontal="center" wrapText="1"/>
    </xf>
    <xf numFmtId="39" fontId="24" fillId="0" borderId="0" xfId="22" quotePrefix="1" applyNumberFormat="1" applyFont="1" applyBorder="1" applyAlignment="1">
      <alignment horizontal="center"/>
    </xf>
    <xf numFmtId="37" fontId="24" fillId="0" borderId="3" xfId="22" quotePrefix="1" applyNumberFormat="1" applyFont="1" applyBorder="1" applyAlignment="1">
      <alignment horizontal="center"/>
    </xf>
    <xf numFmtId="37" fontId="24" fillId="0" borderId="0" xfId="22" quotePrefix="1" applyNumberFormat="1" applyFont="1" applyBorder="1" applyAlignment="1">
      <alignment horizontal="center"/>
    </xf>
    <xf numFmtId="37" fontId="26" fillId="0" borderId="3" xfId="22" quotePrefix="1" applyNumberFormat="1" applyFont="1" applyFill="1" applyBorder="1" applyAlignment="1">
      <alignment horizontal="center"/>
    </xf>
    <xf numFmtId="39" fontId="26" fillId="0" borderId="0" xfId="22" quotePrefix="1" applyNumberFormat="1" applyFont="1" applyBorder="1" applyAlignment="1">
      <alignment horizontal="center"/>
    </xf>
    <xf numFmtId="177" fontId="26" fillId="0" borderId="0" xfId="22" applyNumberFormat="1" applyFont="1" applyBorder="1" applyAlignment="1">
      <alignment horizontal="center"/>
    </xf>
    <xf numFmtId="0" fontId="26" fillId="0" borderId="3" xfId="22" applyNumberFormat="1" applyFont="1" applyFill="1" applyBorder="1" applyAlignment="1">
      <alignment horizontal="left"/>
    </xf>
    <xf numFmtId="37" fontId="26" fillId="36" borderId="3" xfId="22" quotePrefix="1" applyNumberFormat="1" applyFont="1" applyFill="1" applyBorder="1" applyAlignment="1">
      <alignment horizontal="center"/>
    </xf>
    <xf numFmtId="0" fontId="26" fillId="36" borderId="3" xfId="0" applyFont="1" applyFill="1" applyBorder="1" applyAlignment="1">
      <alignment horizontal="center"/>
    </xf>
    <xf numFmtId="37" fontId="26" fillId="36" borderId="3" xfId="0" applyNumberFormat="1" applyFont="1" applyFill="1" applyBorder="1" applyAlignment="1">
      <alignment horizontal="center"/>
    </xf>
    <xf numFmtId="37" fontId="26" fillId="36" borderId="3" xfId="22" applyNumberFormat="1" applyFont="1" applyFill="1" applyBorder="1" applyAlignment="1">
      <alignment horizontal="center"/>
    </xf>
    <xf numFmtId="39" fontId="26" fillId="36" borderId="4" xfId="22" quotePrefix="1" applyNumberFormat="1" applyFont="1" applyFill="1" applyBorder="1" applyAlignment="1">
      <alignment horizontal="center"/>
    </xf>
    <xf numFmtId="37" fontId="24" fillId="36" borderId="3" xfId="22" quotePrefix="1" applyNumberFormat="1" applyFont="1" applyFill="1" applyBorder="1" applyAlignment="1">
      <alignment horizontal="center"/>
    </xf>
    <xf numFmtId="178" fontId="26" fillId="36" borderId="3" xfId="22" applyNumberFormat="1" applyFont="1" applyFill="1" applyBorder="1"/>
    <xf numFmtId="37" fontId="24" fillId="0" borderId="0" xfId="22" quotePrefix="1" applyNumberFormat="1" applyFont="1" applyFill="1" applyBorder="1" applyAlignment="1">
      <alignment horizontal="center"/>
    </xf>
    <xf numFmtId="39" fontId="24" fillId="0" borderId="0" xfId="22" quotePrefix="1" applyNumberFormat="1" applyFont="1" applyFill="1" applyBorder="1" applyAlignment="1">
      <alignment horizontal="center"/>
    </xf>
    <xf numFmtId="39" fontId="24" fillId="0" borderId="3" xfId="22" applyNumberFormat="1" applyFont="1" applyFill="1" applyBorder="1" applyAlignment="1">
      <alignment horizontal="center" wrapText="1"/>
    </xf>
    <xf numFmtId="39" fontId="26" fillId="0" borderId="0" xfId="22" applyNumberFormat="1" applyFont="1" applyFill="1" applyBorder="1" applyAlignment="1">
      <alignment horizontal="center"/>
    </xf>
    <xf numFmtId="39" fontId="26" fillId="0" borderId="0" xfId="22" quotePrefix="1" applyNumberFormat="1" applyFont="1" applyFill="1" applyBorder="1" applyAlignment="1">
      <alignment horizontal="center"/>
    </xf>
    <xf numFmtId="39" fontId="56" fillId="0" borderId="0" xfId="22" quotePrefix="1" applyNumberFormat="1" applyFont="1" applyBorder="1" applyAlignment="1">
      <alignment horizontal="center"/>
    </xf>
    <xf numFmtId="39" fontId="26" fillId="0" borderId="3" xfId="22" applyNumberFormat="1" applyFont="1" applyBorder="1" applyAlignment="1">
      <alignment horizontal="center" wrapText="1"/>
    </xf>
    <xf numFmtId="178" fontId="56" fillId="0" borderId="0" xfId="22" applyNumberFormat="1" applyFont="1" applyBorder="1" applyAlignment="1">
      <alignment horizontal="center"/>
    </xf>
    <xf numFmtId="39" fontId="56" fillId="0" borderId="0" xfId="22" applyNumberFormat="1" applyFont="1" applyBorder="1" applyAlignment="1">
      <alignment horizontal="left"/>
    </xf>
    <xf numFmtId="37" fontId="24" fillId="37" borderId="3" xfId="22" quotePrefix="1" applyNumberFormat="1" applyFont="1" applyFill="1" applyBorder="1" applyAlignment="1">
      <alignment horizontal="center"/>
    </xf>
    <xf numFmtId="39" fontId="61" fillId="0" borderId="0" xfId="22" quotePrefix="1" applyNumberFormat="1" applyFont="1" applyBorder="1" applyAlignment="1">
      <alignment horizontal="center"/>
    </xf>
    <xf numFmtId="0" fontId="24" fillId="37" borderId="0" xfId="0" quotePrefix="1" applyNumberFormat="1" applyFont="1" applyFill="1" applyBorder="1"/>
    <xf numFmtId="0" fontId="24" fillId="37" borderId="0" xfId="0" applyFont="1" applyFill="1" applyBorder="1"/>
    <xf numFmtId="37" fontId="61" fillId="0" borderId="0" xfId="22" quotePrefix="1" applyNumberFormat="1" applyFont="1" applyBorder="1" applyAlignment="1">
      <alignment horizontal="center"/>
    </xf>
    <xf numFmtId="0" fontId="26" fillId="36" borderId="3" xfId="0" quotePrefix="1" applyNumberFormat="1" applyFont="1" applyFill="1" applyBorder="1"/>
    <xf numFmtId="0" fontId="26" fillId="36" borderId="3" xfId="0" quotePrefix="1" applyNumberFormat="1" applyFont="1" applyFill="1" applyBorder="1" applyAlignment="1">
      <alignment horizontal="left"/>
    </xf>
    <xf numFmtId="0" fontId="26" fillId="36" borderId="3" xfId="0" applyNumberFormat="1" applyFont="1" applyFill="1" applyBorder="1"/>
    <xf numFmtId="0" fontId="26" fillId="36" borderId="3" xfId="0" applyNumberFormat="1" applyFont="1" applyFill="1" applyBorder="1" applyAlignment="1">
      <alignment horizontal="left"/>
    </xf>
    <xf numFmtId="0" fontId="26" fillId="36" borderId="3" xfId="22" applyNumberFormat="1" applyFont="1" applyFill="1" applyBorder="1" applyAlignment="1">
      <alignment horizontal="left"/>
    </xf>
    <xf numFmtId="0" fontId="26" fillId="36" borderId="3" xfId="0" quotePrefix="1" applyNumberFormat="1" applyFont="1" applyFill="1" applyBorder="1" applyAlignment="1">
      <alignment horizontal="center"/>
    </xf>
    <xf numFmtId="0" fontId="26" fillId="37" borderId="3" xfId="0" applyFont="1" applyFill="1" applyBorder="1" applyAlignment="1">
      <alignment horizontal="center"/>
    </xf>
    <xf numFmtId="0" fontId="26" fillId="37" borderId="3" xfId="0" applyFont="1" applyFill="1" applyBorder="1"/>
    <xf numFmtId="39" fontId="26" fillId="37" borderId="3" xfId="22" applyNumberFormat="1" applyFont="1" applyFill="1" applyBorder="1" applyAlignment="1">
      <alignment horizontal="center"/>
    </xf>
    <xf numFmtId="0" fontId="24" fillId="37" borderId="3" xfId="0" applyFont="1" applyFill="1" applyBorder="1" applyAlignment="1">
      <alignment horizontal="center"/>
    </xf>
    <xf numFmtId="49" fontId="26" fillId="0" borderId="0" xfId="22" applyNumberFormat="1" applyFont="1" applyBorder="1" applyAlignment="1">
      <alignment horizontal="left"/>
    </xf>
    <xf numFmtId="39" fontId="26" fillId="0" borderId="3" xfId="22" applyNumberFormat="1" applyFont="1" applyBorder="1" applyAlignment="1">
      <alignment horizontal="right"/>
    </xf>
    <xf numFmtId="10" fontId="26" fillId="0" borderId="3" xfId="37" applyNumberFormat="1" applyFont="1" applyFill="1" applyBorder="1" applyAlignment="1">
      <alignment horizontal="center"/>
    </xf>
    <xf numFmtId="39" fontId="26" fillId="0" borderId="3" xfId="22" quotePrefix="1" applyNumberFormat="1" applyFont="1" applyBorder="1" applyAlignment="1">
      <alignment horizontal="center"/>
    </xf>
    <xf numFmtId="39" fontId="24" fillId="0" borderId="3" xfId="22" applyNumberFormat="1" applyFont="1" applyFill="1" applyBorder="1" applyAlignment="1">
      <alignment horizontal="right" wrapText="1"/>
    </xf>
    <xf numFmtId="0" fontId="26" fillId="37" borderId="3" xfId="0" quotePrefix="1" applyNumberFormat="1" applyFont="1" applyFill="1" applyBorder="1"/>
    <xf numFmtId="0" fontId="26" fillId="36" borderId="6" xfId="0" applyFont="1" applyFill="1" applyBorder="1" applyAlignment="1"/>
    <xf numFmtId="0" fontId="26" fillId="36" borderId="4" xfId="0" applyFont="1" applyFill="1" applyBorder="1" applyAlignment="1"/>
    <xf numFmtId="0" fontId="26" fillId="36" borderId="3" xfId="0" applyFont="1" applyFill="1" applyBorder="1"/>
    <xf numFmtId="0" fontId="24" fillId="36" borderId="3" xfId="0" quotePrefix="1" applyNumberFormat="1" applyFont="1" applyFill="1" applyBorder="1"/>
    <xf numFmtId="39" fontId="24" fillId="36" borderId="3" xfId="22" quotePrefix="1" applyNumberFormat="1" applyFont="1" applyFill="1" applyBorder="1" applyAlignment="1">
      <alignment horizontal="center"/>
    </xf>
    <xf numFmtId="0" fontId="24" fillId="36" borderId="3" xfId="0" applyNumberFormat="1" applyFont="1" applyFill="1" applyBorder="1"/>
    <xf numFmtId="37" fontId="24" fillId="0" borderId="0" xfId="22" applyNumberFormat="1" applyFont="1" applyFill="1" applyBorder="1" applyAlignment="1">
      <alignment horizontal="center"/>
    </xf>
    <xf numFmtId="0" fontId="0" fillId="36" borderId="0" xfId="0" applyFill="1" applyAlignment="1">
      <alignment horizontal="left" vertical="top" wrapText="1"/>
    </xf>
    <xf numFmtId="39" fontId="24" fillId="0" borderId="0" xfId="22" applyNumberFormat="1" applyFont="1" applyBorder="1" applyAlignment="1">
      <alignment horizontal="center"/>
    </xf>
    <xf numFmtId="39" fontId="24" fillId="0" borderId="0" xfId="22" applyNumberFormat="1" applyFont="1" applyFill="1" applyBorder="1" applyAlignment="1">
      <alignment horizontal="center"/>
    </xf>
    <xf numFmtId="39" fontId="24" fillId="37" borderId="7" xfId="22" applyNumberFormat="1" applyFont="1" applyFill="1" applyBorder="1" applyAlignment="1">
      <alignment horizontal="center"/>
    </xf>
    <xf numFmtId="39" fontId="24" fillId="37" borderId="0" xfId="22" quotePrefix="1" applyNumberFormat="1" applyFont="1" applyFill="1" applyBorder="1" applyAlignment="1">
      <alignment horizontal="center"/>
    </xf>
    <xf numFmtId="39" fontId="26" fillId="0" borderId="0" xfId="22" applyNumberFormat="1" applyFont="1" applyBorder="1" applyAlignment="1">
      <alignment horizontal="center"/>
    </xf>
    <xf numFmtId="0" fontId="27" fillId="0" borderId="0" xfId="0" quotePrefix="1" applyFont="1" applyFill="1" applyAlignment="1">
      <alignment horizontal="center"/>
    </xf>
    <xf numFmtId="164" fontId="24" fillId="0" borderId="0" xfId="0" applyNumberFormat="1" applyFont="1" applyFill="1" applyAlignment="1">
      <alignment horizontal="center"/>
    </xf>
    <xf numFmtId="164" fontId="27" fillId="0" borderId="0" xfId="0" applyNumberFormat="1" applyFont="1" applyFill="1" applyAlignment="1">
      <alignment horizontal="center"/>
    </xf>
    <xf numFmtId="164" fontId="27" fillId="36" borderId="0" xfId="0" applyNumberFormat="1" applyFont="1" applyFill="1" applyAlignment="1">
      <alignment horizontal="center"/>
    </xf>
    <xf numFmtId="0" fontId="26" fillId="0" borderId="0" xfId="0" quotePrefix="1" applyFont="1" applyFill="1" applyAlignment="1">
      <alignment horizontal="center"/>
    </xf>
    <xf numFmtId="0" fontId="26" fillId="0" borderId="0" xfId="0" applyFont="1" applyFill="1" applyAlignment="1">
      <alignment horizontal="right"/>
    </xf>
    <xf numFmtId="164" fontId="30" fillId="0" borderId="0" xfId="0" applyNumberFormat="1" applyFont="1" applyFill="1" applyAlignment="1">
      <alignment horizontal="right"/>
    </xf>
    <xf numFmtId="164" fontId="26" fillId="36" borderId="0" xfId="0" applyNumberFormat="1" applyFont="1" applyFill="1" applyAlignment="1">
      <alignment horizontal="right"/>
    </xf>
    <xf numFmtId="10" fontId="57" fillId="0" borderId="0" xfId="0" applyNumberFormat="1" applyFont="1"/>
    <xf numFmtId="164" fontId="62" fillId="0" borderId="0" xfId="0" applyNumberFormat="1" applyFont="1"/>
    <xf numFmtId="0" fontId="59" fillId="0" borderId="0" xfId="0" applyFont="1" applyAlignment="1">
      <alignment horizontal="center"/>
    </xf>
    <xf numFmtId="3" fontId="57" fillId="36" borderId="0" xfId="0" applyNumberFormat="1" applyFont="1" applyFill="1"/>
    <xf numFmtId="0" fontId="55" fillId="0" borderId="0" xfId="0" applyFont="1"/>
    <xf numFmtId="0" fontId="63" fillId="0" borderId="0" xfId="0" applyFont="1" applyAlignment="1">
      <alignment horizontal="left" indent="1"/>
    </xf>
    <xf numFmtId="0" fontId="63" fillId="0" borderId="0" xfId="0" applyFont="1"/>
    <xf numFmtId="0" fontId="63" fillId="0" borderId="0" xfId="0" applyFont="1" applyAlignment="1">
      <alignment horizontal="right"/>
    </xf>
    <xf numFmtId="0" fontId="32" fillId="0" borderId="0" xfId="27" applyAlignment="1" applyProtection="1"/>
    <xf numFmtId="0" fontId="30" fillId="0" borderId="0" xfId="0" applyFont="1" applyFill="1" applyAlignment="1">
      <alignment horizontal="center"/>
    </xf>
    <xf numFmtId="168" fontId="26" fillId="0" borderId="0" xfId="0" applyNumberFormat="1" applyFont="1" applyFill="1" applyAlignment="1">
      <alignment horizontal="right"/>
    </xf>
    <xf numFmtId="0" fontId="26" fillId="0" borderId="0" xfId="0" applyFont="1" applyFill="1" applyAlignment="1">
      <alignment horizontal="left" indent="2"/>
    </xf>
    <xf numFmtId="0" fontId="0" fillId="0" borderId="0" xfId="0" applyFill="1" applyAlignment="1">
      <alignment horizontal="left" indent="2"/>
    </xf>
    <xf numFmtId="0" fontId="26" fillId="0" borderId="0" xfId="0" applyFont="1" applyFill="1" applyAlignment="1">
      <alignment horizontal="left" indent="3"/>
    </xf>
    <xf numFmtId="166" fontId="57" fillId="0" borderId="0" xfId="0" quotePrefix="1" applyNumberFormat="1" applyFont="1" applyAlignment="1">
      <alignment horizontal="right"/>
    </xf>
    <xf numFmtId="168" fontId="30" fillId="0" borderId="0" xfId="0" applyNumberFormat="1" applyFont="1"/>
    <xf numFmtId="49" fontId="0" fillId="0" borderId="0" xfId="0" applyNumberFormat="1" applyAlignment="1">
      <alignment horizontal="center"/>
    </xf>
    <xf numFmtId="49" fontId="60" fillId="0" borderId="0" xfId="0" applyNumberFormat="1" applyFont="1" applyAlignment="1">
      <alignment horizontal="center"/>
    </xf>
    <xf numFmtId="0" fontId="0" fillId="0" borderId="0" xfId="0" applyFont="1"/>
    <xf numFmtId="164" fontId="26" fillId="36" borderId="0" xfId="23" applyNumberFormat="1" applyFont="1" applyFill="1" applyAlignment="1">
      <alignment horizontal="right"/>
    </xf>
    <xf numFmtId="49" fontId="0" fillId="0" borderId="0" xfId="0" applyNumberFormat="1" applyAlignment="1">
      <alignment horizontal="left" indent="1"/>
    </xf>
    <xf numFmtId="0" fontId="64" fillId="0" borderId="0" xfId="0" applyFont="1" applyAlignment="1">
      <alignment horizontal="center" vertical="top"/>
    </xf>
    <xf numFmtId="0" fontId="26" fillId="0" borderId="0" xfId="0" applyFont="1" applyAlignment="1">
      <alignment horizontal="left" wrapText="1"/>
    </xf>
    <xf numFmtId="49" fontId="63" fillId="0" borderId="0" xfId="0" applyNumberFormat="1" applyFont="1" applyAlignment="1">
      <alignment horizontal="left" indent="1"/>
    </xf>
    <xf numFmtId="0" fontId="63" fillId="0" borderId="0" xfId="0" applyFont="1" applyAlignment="1">
      <alignment horizontal="left" wrapText="1"/>
    </xf>
    <xf numFmtId="164" fontId="26" fillId="0" borderId="0" xfId="23" applyNumberFormat="1" applyFont="1" applyFill="1" applyAlignment="1">
      <alignment horizontal="right"/>
    </xf>
    <xf numFmtId="0" fontId="64" fillId="0" borderId="0" xfId="0" applyFont="1" applyAlignment="1">
      <alignment horizontal="center"/>
    </xf>
    <xf numFmtId="179" fontId="0" fillId="0" borderId="0" xfId="23" applyNumberFormat="1" applyFont="1"/>
    <xf numFmtId="0" fontId="0" fillId="0" borderId="0" xfId="0" applyFont="1" applyBorder="1"/>
    <xf numFmtId="164" fontId="44" fillId="0" borderId="0" xfId="0" applyNumberFormat="1" applyFont="1" applyBorder="1"/>
    <xf numFmtId="164" fontId="0" fillId="0" borderId="0" xfId="0" applyNumberFormat="1" applyFont="1" applyAlignment="1">
      <alignment horizontal="right"/>
    </xf>
    <xf numFmtId="164" fontId="54" fillId="36" borderId="0" xfId="23" applyNumberFormat="1" applyFont="1" applyFill="1" applyAlignment="1">
      <alignment horizontal="right"/>
    </xf>
    <xf numFmtId="164" fontId="0" fillId="0" borderId="0" xfId="0" applyNumberFormat="1" applyFont="1" applyFill="1" applyAlignment="1">
      <alignment horizontal="right"/>
    </xf>
    <xf numFmtId="3" fontId="0" fillId="0" borderId="0" xfId="23" applyNumberFormat="1" applyFont="1" applyBorder="1" applyAlignment="1">
      <alignment horizontal="right"/>
    </xf>
    <xf numFmtId="49" fontId="63" fillId="0" borderId="0" xfId="0" quotePrefix="1" applyNumberFormat="1" applyFont="1" applyAlignment="1">
      <alignment horizontal="left" indent="1"/>
    </xf>
    <xf numFmtId="49" fontId="26" fillId="0" borderId="0" xfId="0" applyNumberFormat="1" applyFont="1" applyAlignment="1">
      <alignment horizontal="left" indent="1"/>
    </xf>
    <xf numFmtId="0" fontId="0" fillId="36" borderId="0" xfId="0" applyFill="1" applyAlignment="1">
      <alignment horizontal="left" indent="1"/>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xf numFmtId="0" fontId="24" fillId="36" borderId="0" xfId="0" applyFont="1" applyFill="1" applyAlignment="1">
      <alignment horizontal="left"/>
    </xf>
    <xf numFmtId="0" fontId="0" fillId="0" borderId="0" xfId="0" quotePrefix="1" applyFont="1" applyFill="1" applyAlignment="1">
      <alignment horizontal="left" indent="1"/>
    </xf>
    <xf numFmtId="0" fontId="24" fillId="0" borderId="0" xfId="0" applyFont="1" applyFill="1" applyAlignment="1">
      <alignment horizontal="left"/>
    </xf>
    <xf numFmtId="0" fontId="56" fillId="0" borderId="0" xfId="0" applyFont="1" applyAlignment="1">
      <alignment horizontal="left" indent="1"/>
    </xf>
    <xf numFmtId="0" fontId="27" fillId="0" borderId="0" xfId="0" applyFont="1" applyAlignment="1">
      <alignment horizontal="left" indent="1"/>
    </xf>
    <xf numFmtId="0" fontId="24" fillId="36" borderId="0" xfId="0" applyFont="1" applyFill="1"/>
    <xf numFmtId="0" fontId="0" fillId="36" borderId="0" xfId="0" applyFill="1" applyAlignment="1">
      <alignment horizontal="right"/>
    </xf>
    <xf numFmtId="10" fontId="0" fillId="36" borderId="0" xfId="0" applyNumberFormat="1" applyFill="1" applyAlignment="1">
      <alignment horizontal="right"/>
    </xf>
    <xf numFmtId="168" fontId="57" fillId="0" borderId="0" xfId="0" applyNumberFormat="1" applyFont="1"/>
    <xf numFmtId="0" fontId="0" fillId="0" borderId="8" xfId="0" applyBorder="1" applyAlignment="1">
      <alignment horizontal="center"/>
    </xf>
    <xf numFmtId="164" fontId="0" fillId="0" borderId="0" xfId="0" applyNumberFormat="1" applyAlignment="1">
      <alignment horizontal="right"/>
    </xf>
    <xf numFmtId="0" fontId="58" fillId="0" borderId="0" xfId="0" applyFont="1"/>
    <xf numFmtId="0" fontId="57" fillId="36" borderId="0" xfId="0" applyFont="1" applyFill="1"/>
    <xf numFmtId="0" fontId="27" fillId="0" borderId="0" xfId="28" applyNumberFormat="1" applyFont="1" applyFill="1" applyBorder="1" applyAlignment="1">
      <alignment horizontal="left"/>
    </xf>
    <xf numFmtId="0" fontId="27" fillId="0" borderId="0" xfId="28" applyNumberFormat="1" applyFont="1" applyFill="1" applyBorder="1" applyAlignment="1">
      <alignment horizontal="center"/>
    </xf>
    <xf numFmtId="3" fontId="27" fillId="0" borderId="0" xfId="28" applyNumberFormat="1" applyFont="1" applyFill="1" applyBorder="1" applyAlignment="1">
      <alignment horizontal="center"/>
    </xf>
    <xf numFmtId="164" fontId="62" fillId="36" borderId="0" xfId="0" applyNumberFormat="1" applyFont="1" applyFill="1"/>
    <xf numFmtId="0" fontId="59" fillId="0" borderId="0" xfId="0" applyFont="1"/>
    <xf numFmtId="0" fontId="24" fillId="36" borderId="0" xfId="0" quotePrefix="1" applyFont="1" applyFill="1" applyAlignment="1">
      <alignment vertical="center"/>
    </xf>
    <xf numFmtId="164" fontId="26" fillId="36" borderId="8" xfId="0" applyNumberFormat="1" applyFont="1" applyFill="1" applyBorder="1"/>
    <xf numFmtId="164" fontId="60" fillId="0" borderId="0" xfId="0" applyNumberFormat="1" applyFont="1" applyAlignment="1">
      <alignment horizontal="center"/>
    </xf>
    <xf numFmtId="165" fontId="23" fillId="34" borderId="0" xfId="0" applyNumberFormat="1" applyFont="1" applyFill="1"/>
    <xf numFmtId="165" fontId="23" fillId="0" borderId="0" xfId="0" applyNumberFormat="1" applyFont="1" applyFill="1"/>
    <xf numFmtId="168" fontId="24" fillId="0" borderId="0" xfId="0" applyNumberFormat="1" applyFont="1" applyFill="1" applyAlignment="1">
      <alignment horizontal="center"/>
    </xf>
    <xf numFmtId="37" fontId="24" fillId="37" borderId="3" xfId="0" applyNumberFormat="1" applyFont="1" applyFill="1" applyBorder="1" applyAlignment="1">
      <alignment horizontal="center"/>
    </xf>
    <xf numFmtId="164" fontId="26" fillId="0" borderId="0" xfId="19" applyNumberFormat="1" applyFont="1" applyBorder="1" applyAlignment="1">
      <alignment horizontal="center"/>
    </xf>
    <xf numFmtId="37" fontId="24" fillId="0" borderId="0" xfId="0" applyNumberFormat="1" applyFont="1" applyBorder="1" applyAlignment="1">
      <alignment horizontal="center"/>
    </xf>
    <xf numFmtId="164" fontId="30" fillId="36" borderId="0" xfId="0" applyNumberFormat="1" applyFont="1" applyFill="1" applyAlignment="1">
      <alignment horizontal="right"/>
    </xf>
    <xf numFmtId="0" fontId="26" fillId="36" borderId="0" xfId="0" applyFont="1" applyFill="1" applyAlignment="1">
      <alignment horizontal="right"/>
    </xf>
    <xf numFmtId="164" fontId="0" fillId="0" borderId="0" xfId="0" applyNumberFormat="1" applyAlignment="1">
      <alignment horizontal="center"/>
    </xf>
    <xf numFmtId="0" fontId="24" fillId="0" borderId="0" xfId="28" applyFont="1" applyAlignment="1">
      <alignment horizontal="left" vertical="center"/>
    </xf>
    <xf numFmtId="0" fontId="53" fillId="0" borderId="0" xfId="28" applyFont="1" applyFill="1" applyAlignment="1">
      <alignment horizontal="left"/>
    </xf>
    <xf numFmtId="0" fontId="53" fillId="0" borderId="0" xfId="28" applyFont="1" applyFill="1" applyAlignment="1">
      <alignment horizontal="center"/>
    </xf>
    <xf numFmtId="0" fontId="53" fillId="0" borderId="0" xfId="28" applyNumberFormat="1" applyFont="1" applyFill="1" applyAlignment="1">
      <alignment horizontal="center"/>
    </xf>
    <xf numFmtId="0" fontId="53" fillId="0" borderId="0" xfId="28" applyFont="1" applyAlignment="1">
      <alignment horizontal="center"/>
    </xf>
    <xf numFmtId="0" fontId="24" fillId="0" borderId="0" xfId="28" applyFont="1" applyAlignment="1">
      <alignment horizontal="left"/>
    </xf>
    <xf numFmtId="0" fontId="53" fillId="36" borderId="0" xfId="28" applyNumberFormat="1" applyFont="1" applyFill="1" applyAlignment="1">
      <alignment horizontal="center"/>
    </xf>
    <xf numFmtId="0" fontId="24" fillId="0" borderId="0" xfId="28" applyFont="1" applyAlignment="1">
      <alignment vertical="top"/>
    </xf>
    <xf numFmtId="0" fontId="24" fillId="0" borderId="0" xfId="28" applyFont="1" applyAlignment="1">
      <alignment horizontal="left" vertical="top"/>
    </xf>
    <xf numFmtId="0" fontId="24" fillId="0" borderId="0" xfId="28" applyFont="1" applyAlignment="1">
      <alignment horizontal="center" vertical="top"/>
    </xf>
    <xf numFmtId="0" fontId="24" fillId="0" borderId="0" xfId="28" applyFont="1" applyFill="1" applyAlignment="1">
      <alignment horizontal="center" vertical="top"/>
    </xf>
    <xf numFmtId="0" fontId="24" fillId="0" borderId="0" xfId="28" applyNumberFormat="1" applyFont="1" applyFill="1" applyAlignment="1">
      <alignment horizontal="center" vertical="top"/>
    </xf>
    <xf numFmtId="0" fontId="53" fillId="0" borderId="0" xfId="28" applyFont="1" applyAlignment="1">
      <alignment horizontal="center" vertical="top"/>
    </xf>
    <xf numFmtId="0" fontId="24" fillId="0" borderId="0" xfId="28" applyFont="1" applyAlignment="1"/>
    <xf numFmtId="0" fontId="24" fillId="0" borderId="0" xfId="28" applyFont="1" applyFill="1" applyAlignment="1">
      <alignment horizontal="center"/>
    </xf>
    <xf numFmtId="0" fontId="24" fillId="0" borderId="0" xfId="28" applyNumberFormat="1" applyFont="1" applyFill="1" applyAlignment="1">
      <alignment horizontal="center"/>
    </xf>
    <xf numFmtId="0" fontId="27" fillId="0" borderId="0" xfId="0" quotePrefix="1" applyFont="1" applyAlignment="1">
      <alignment horizontal="center" vertical="top"/>
    </xf>
    <xf numFmtId="0" fontId="27" fillId="0" borderId="0" xfId="0" quotePrefix="1" applyNumberFormat="1" applyFont="1" applyAlignment="1">
      <alignment horizontal="center" vertical="top"/>
    </xf>
    <xf numFmtId="0" fontId="24" fillId="0" borderId="0" xfId="28" applyFont="1" applyAlignment="1">
      <alignment horizontal="center" vertical="center"/>
    </xf>
    <xf numFmtId="0" fontId="24" fillId="0" borderId="0" xfId="28" applyFont="1" applyBorder="1" applyAlignment="1"/>
    <xf numFmtId="0" fontId="24" fillId="0" borderId="6" xfId="28" applyNumberFormat="1" applyFont="1" applyFill="1" applyBorder="1" applyAlignment="1">
      <alignment horizontal="center"/>
    </xf>
    <xf numFmtId="0" fontId="24" fillId="0" borderId="3" xfId="28" applyFont="1" applyBorder="1" applyAlignment="1">
      <alignment horizontal="center"/>
    </xf>
    <xf numFmtId="0" fontId="24" fillId="0" borderId="3" xfId="28" applyNumberFormat="1" applyFont="1" applyBorder="1" applyAlignment="1">
      <alignment horizontal="center"/>
    </xf>
    <xf numFmtId="0" fontId="27" fillId="0" borderId="0" xfId="28" applyFont="1" applyBorder="1" applyAlignment="1"/>
    <xf numFmtId="0" fontId="24" fillId="0" borderId="0" xfId="28" applyFont="1" applyBorder="1" applyAlignment="1">
      <alignment horizontal="center"/>
    </xf>
    <xf numFmtId="0" fontId="24" fillId="0" borderId="0" xfId="28" applyNumberFormat="1" applyFont="1" applyBorder="1" applyAlignment="1">
      <alignment horizontal="center"/>
    </xf>
    <xf numFmtId="167" fontId="38" fillId="0" borderId="0" xfId="28" applyNumberFormat="1" applyFont="1" applyFill="1" applyBorder="1"/>
    <xf numFmtId="0" fontId="24" fillId="0" borderId="0" xfId="28" applyFont="1" applyBorder="1"/>
    <xf numFmtId="0" fontId="24" fillId="0" borderId="0" xfId="28" applyFont="1" applyFill="1" applyBorder="1"/>
    <xf numFmtId="0" fontId="27" fillId="0" borderId="0" xfId="28" applyFont="1" applyBorder="1"/>
    <xf numFmtId="167" fontId="24" fillId="0" borderId="0" xfId="28" applyNumberFormat="1" applyFont="1" applyBorder="1" applyAlignment="1">
      <alignment horizontal="center"/>
    </xf>
    <xf numFmtId="167" fontId="24" fillId="0" borderId="0" xfId="28" applyNumberFormat="1" applyFont="1" applyBorder="1"/>
    <xf numFmtId="0" fontId="24" fillId="0" borderId="0" xfId="28" applyFont="1" applyBorder="1" applyAlignment="1">
      <alignment horizontal="right"/>
    </xf>
    <xf numFmtId="0" fontId="24" fillId="0" borderId="0" xfId="28" applyFont="1" applyFill="1" applyBorder="1" applyAlignment="1">
      <alignment horizontal="right"/>
    </xf>
    <xf numFmtId="167" fontId="24" fillId="0" borderId="3" xfId="22" applyNumberFormat="1" applyFont="1" applyFill="1" applyBorder="1" applyAlignment="1">
      <alignment horizontal="center" wrapText="1"/>
    </xf>
    <xf numFmtId="171" fontId="24" fillId="0" borderId="0" xfId="36" applyNumberFormat="1" applyFont="1" applyFill="1" applyBorder="1" applyAlignment="1">
      <alignment horizontal="center" wrapText="1"/>
    </xf>
    <xf numFmtId="167" fontId="24" fillId="0" borderId="0" xfId="22" applyNumberFormat="1" applyFont="1" applyFill="1" applyBorder="1"/>
    <xf numFmtId="0" fontId="24" fillId="0" borderId="0" xfId="38" applyNumberFormat="1" applyFont="1" applyFill="1" applyBorder="1" applyAlignment="1">
      <alignment horizontal="center" wrapText="1"/>
    </xf>
    <xf numFmtId="171" fontId="24" fillId="0" borderId="0" xfId="38" applyNumberFormat="1" applyFont="1" applyFill="1" applyBorder="1" applyAlignment="1">
      <alignment horizontal="center" wrapText="1"/>
    </xf>
    <xf numFmtId="167" fontId="38" fillId="0" borderId="0" xfId="22" applyNumberFormat="1" applyFont="1" applyFill="1" applyBorder="1" applyAlignment="1">
      <alignment horizontal="center" wrapText="1"/>
    </xf>
    <xf numFmtId="167" fontId="24" fillId="0" borderId="0" xfId="22" applyNumberFormat="1" applyFont="1" applyBorder="1"/>
    <xf numFmtId="0" fontId="27" fillId="0" borderId="0" xfId="28" applyFont="1" applyBorder="1" applyAlignment="1">
      <alignment vertical="top" wrapText="1"/>
    </xf>
    <xf numFmtId="168" fontId="26" fillId="0" borderId="0" xfId="0" applyNumberFormat="1" applyFont="1" applyFill="1" applyAlignment="1">
      <alignment horizontal="left" indent="1"/>
    </xf>
    <xf numFmtId="0" fontId="57" fillId="34" borderId="0" xfId="0" applyFont="1" applyFill="1"/>
    <xf numFmtId="0" fontId="58" fillId="0" borderId="0" xfId="0" applyFont="1" applyFill="1" applyAlignment="1">
      <alignment horizontal="center"/>
    </xf>
    <xf numFmtId="0" fontId="59" fillId="0" borderId="0" xfId="0" applyFont="1" applyFill="1" applyAlignment="1">
      <alignment horizontal="center"/>
    </xf>
    <xf numFmtId="0" fontId="57" fillId="0" borderId="0" xfId="0" applyFont="1" applyFill="1" applyAlignment="1">
      <alignment horizontal="center"/>
    </xf>
    <xf numFmtId="0" fontId="57" fillId="0" borderId="0" xfId="0" applyFont="1" applyFill="1" applyAlignment="1">
      <alignment horizontal="left" indent="2"/>
    </xf>
    <xf numFmtId="0" fontId="58" fillId="0" borderId="0" xfId="0" applyFont="1" applyAlignment="1">
      <alignment horizontal="left" indent="1"/>
    </xf>
    <xf numFmtId="0" fontId="58" fillId="0" borderId="0" xfId="0" quotePrefix="1" applyFont="1" applyAlignment="1">
      <alignment horizontal="center"/>
    </xf>
    <xf numFmtId="0" fontId="59" fillId="0" borderId="0" xfId="0" quotePrefix="1" applyFont="1" applyAlignment="1">
      <alignment horizontal="center"/>
    </xf>
    <xf numFmtId="164" fontId="62" fillId="0" borderId="0" xfId="0" applyNumberFormat="1" applyFont="1" applyFill="1"/>
    <xf numFmtId="0" fontId="57" fillId="0" borderId="0" xfId="0" quotePrefix="1" applyFont="1"/>
    <xf numFmtId="0" fontId="59" fillId="0" borderId="0" xfId="0" applyFont="1" applyAlignment="1">
      <alignment horizontal="left"/>
    </xf>
    <xf numFmtId="1" fontId="57" fillId="36" borderId="0" xfId="0" applyNumberFormat="1" applyFont="1" applyFill="1"/>
    <xf numFmtId="175" fontId="57" fillId="0" borderId="0" xfId="0" applyNumberFormat="1" applyFont="1"/>
    <xf numFmtId="0" fontId="57" fillId="0" borderId="0" xfId="0" applyFont="1" applyFill="1" applyAlignment="1">
      <alignment horizontal="left" indent="1"/>
    </xf>
    <xf numFmtId="164" fontId="0" fillId="0" borderId="0" xfId="0" quotePrefix="1" applyNumberFormat="1" applyAlignment="1">
      <alignment horizontal="center"/>
    </xf>
    <xf numFmtId="164" fontId="55" fillId="0" borderId="0" xfId="0" applyNumberFormat="1" applyFont="1" applyAlignment="1">
      <alignment horizontal="center"/>
    </xf>
    <xf numFmtId="164" fontId="26" fillId="0" borderId="0" xfId="0" applyNumberFormat="1" applyFont="1" applyAlignment="1"/>
    <xf numFmtId="164" fontId="26" fillId="0" borderId="0" xfId="0" applyNumberFormat="1" applyFont="1" applyAlignment="1">
      <alignment horizontal="right" indent="1"/>
    </xf>
    <xf numFmtId="0" fontId="24" fillId="0" borderId="0" xfId="0" applyFont="1" applyAlignment="1">
      <alignment horizontal="center"/>
    </xf>
    <xf numFmtId="0" fontId="0" fillId="0" borderId="0" xfId="0" applyAlignment="1">
      <alignment horizontal="center"/>
    </xf>
    <xf numFmtId="0" fontId="27" fillId="0" borderId="0" xfId="28" applyFont="1" applyFill="1" applyAlignment="1">
      <alignment horizontal="center"/>
    </xf>
    <xf numFmtId="0" fontId="26" fillId="0" borderId="0" xfId="0" applyNumberFormat="1" applyFont="1" applyFill="1"/>
    <xf numFmtId="0" fontId="26" fillId="0" borderId="0" xfId="0" applyNumberFormat="1" applyFont="1" applyFill="1" applyAlignment="1">
      <alignment horizontal="left"/>
    </xf>
    <xf numFmtId="0" fontId="24" fillId="0" borderId="0" xfId="0" applyFont="1" applyAlignment="1">
      <alignment horizontal="center"/>
    </xf>
    <xf numFmtId="0" fontId="24" fillId="0" borderId="0" xfId="0" applyFont="1" applyAlignment="1">
      <alignment horizontal="center"/>
    </xf>
    <xf numFmtId="164" fontId="22" fillId="0" borderId="0" xfId="0" applyNumberFormat="1" applyFont="1"/>
    <xf numFmtId="0" fontId="24" fillId="0" borderId="0" xfId="0" applyFont="1" applyAlignment="1">
      <alignment horizontal="center"/>
    </xf>
    <xf numFmtId="164" fontId="0" fillId="0" borderId="0" xfId="0" applyNumberFormat="1" applyFill="1" applyAlignment="1"/>
    <xf numFmtId="0" fontId="24"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xf>
    <xf numFmtId="0" fontId="23" fillId="0" borderId="0" xfId="0" applyFont="1" applyFill="1" applyAlignment="1">
      <alignment horizontal="left" indent="1"/>
    </xf>
    <xf numFmtId="0" fontId="23" fillId="0" borderId="0" xfId="0" applyFont="1"/>
    <xf numFmtId="0" fontId="23" fillId="0" borderId="0" xfId="0" applyFont="1" applyAlignment="1">
      <alignment horizontal="center"/>
    </xf>
    <xf numFmtId="0" fontId="23" fillId="0" borderId="0" xfId="0" applyFont="1" applyFill="1"/>
    <xf numFmtId="164" fontId="23" fillId="0" borderId="0" xfId="0" applyNumberFormat="1" applyFont="1" applyFill="1" applyBorder="1"/>
    <xf numFmtId="0" fontId="23" fillId="0" borderId="0" xfId="0" applyFont="1" applyAlignment="1">
      <alignment horizontal="left" indent="1"/>
    </xf>
    <xf numFmtId="164" fontId="23" fillId="0" borderId="0" xfId="0" applyNumberFormat="1" applyFont="1"/>
    <xf numFmtId="0" fontId="23" fillId="0" borderId="0" xfId="0" quotePrefix="1" applyFont="1" applyAlignment="1">
      <alignment horizontal="center"/>
    </xf>
    <xf numFmtId="0" fontId="23" fillId="36" borderId="0" xfId="0" applyFont="1" applyFill="1"/>
    <xf numFmtId="0" fontId="23" fillId="0" borderId="0" xfId="28" applyFont="1" applyFill="1"/>
    <xf numFmtId="10" fontId="0" fillId="0" borderId="0" xfId="36" applyNumberFormat="1" applyFont="1"/>
    <xf numFmtId="0" fontId="23" fillId="0" borderId="0" xfId="28" applyFont="1"/>
    <xf numFmtId="164" fontId="23" fillId="36" borderId="0" xfId="22" applyNumberFormat="1" applyFont="1" applyFill="1" applyBorder="1"/>
    <xf numFmtId="164" fontId="23" fillId="0" borderId="0" xfId="0" applyNumberFormat="1" applyFont="1" applyFill="1"/>
    <xf numFmtId="164" fontId="23" fillId="34" borderId="0" xfId="0" applyNumberFormat="1" applyFont="1" applyFill="1"/>
    <xf numFmtId="164" fontId="23" fillId="0" borderId="14" xfId="0" applyNumberFormat="1" applyFont="1" applyFill="1" applyBorder="1"/>
    <xf numFmtId="164" fontId="23" fillId="0" borderId="8" xfId="0" applyNumberFormat="1" applyFont="1" applyFill="1" applyBorder="1"/>
    <xf numFmtId="3" fontId="23" fillId="0" borderId="0" xfId="0" applyNumberFormat="1" applyFont="1" applyFill="1"/>
    <xf numFmtId="0" fontId="23" fillId="0" borderId="0" xfId="0" quotePrefix="1" applyFont="1"/>
    <xf numFmtId="17" fontId="23" fillId="0" borderId="0" xfId="0" quotePrefix="1" applyNumberFormat="1" applyFont="1" applyAlignment="1">
      <alignment horizontal="center"/>
    </xf>
    <xf numFmtId="0" fontId="23" fillId="0" borderId="0" xfId="0" applyFont="1" applyAlignment="1">
      <alignment wrapText="1"/>
    </xf>
    <xf numFmtId="0" fontId="0" fillId="0" borderId="0" xfId="0" applyAlignment="1">
      <alignment horizontal="center"/>
    </xf>
    <xf numFmtId="0" fontId="24" fillId="0" borderId="0" xfId="0" applyFont="1" applyAlignment="1">
      <alignment horizontal="center"/>
    </xf>
    <xf numFmtId="0" fontId="24" fillId="0" borderId="0" xfId="0" applyFont="1" applyAlignment="1">
      <alignment horizontal="center"/>
    </xf>
    <xf numFmtId="0" fontId="24" fillId="0" borderId="0" xfId="0" applyFont="1" applyAlignment="1">
      <alignment horizontal="center"/>
    </xf>
    <xf numFmtId="0" fontId="23" fillId="0" borderId="0" xfId="0" applyFont="1" applyAlignment="1">
      <alignment horizontal="right" indent="1"/>
    </xf>
    <xf numFmtId="0" fontId="23" fillId="0" borderId="0" xfId="0" applyFont="1" applyAlignment="1">
      <alignment horizontal="left" indent="2"/>
    </xf>
    <xf numFmtId="0" fontId="23" fillId="0" borderId="0" xfId="28" applyNumberFormat="1" applyFont="1" applyFill="1" applyBorder="1" applyAlignment="1">
      <alignment horizontal="left" indent="1"/>
    </xf>
    <xf numFmtId="0" fontId="24" fillId="0" borderId="0" xfId="0" applyFont="1" applyAlignment="1">
      <alignment horizontal="center"/>
    </xf>
    <xf numFmtId="0" fontId="23" fillId="0" borderId="0" xfId="0" quotePrefix="1" applyFont="1" applyAlignment="1">
      <alignment horizontal="center" vertical="justify"/>
    </xf>
    <xf numFmtId="10" fontId="30" fillId="0" borderId="0" xfId="0" applyNumberFormat="1" applyFont="1"/>
    <xf numFmtId="0" fontId="24" fillId="0" borderId="0" xfId="0" applyFont="1" applyAlignment="1">
      <alignment horizontal="center"/>
    </xf>
    <xf numFmtId="166" fontId="23" fillId="0" borderId="0" xfId="0" applyNumberFormat="1" applyFont="1" applyAlignment="1">
      <alignment horizontal="left" indent="1"/>
    </xf>
    <xf numFmtId="166" fontId="27" fillId="0" borderId="0" xfId="0" applyNumberFormat="1" applyFont="1" applyAlignment="1">
      <alignment horizontal="center"/>
    </xf>
    <xf numFmtId="0" fontId="24" fillId="0" borderId="0" xfId="0" applyFont="1" applyAlignment="1">
      <alignment horizontal="center"/>
    </xf>
    <xf numFmtId="0" fontId="23" fillId="0" borderId="0" xfId="28" applyNumberFormat="1" applyFont="1" applyFill="1" applyBorder="1" applyAlignment="1">
      <alignment horizontal="left"/>
    </xf>
    <xf numFmtId="164" fontId="23" fillId="36" borderId="0" xfId="0" applyNumberFormat="1" applyFont="1" applyFill="1"/>
    <xf numFmtId="0" fontId="23" fillId="0" borderId="0" xfId="28" applyFont="1" applyBorder="1" applyAlignment="1">
      <alignment horizontal="left"/>
    </xf>
    <xf numFmtId="0" fontId="23" fillId="0" borderId="0" xfId="28" quotePrefix="1" applyNumberFormat="1" applyFont="1" applyFill="1" applyBorder="1" applyAlignment="1">
      <alignment horizontal="left"/>
    </xf>
    <xf numFmtId="0" fontId="23" fillId="0" borderId="0" xfId="28" applyNumberFormat="1" applyFont="1" applyFill="1" applyBorder="1" applyAlignment="1">
      <alignment horizontal="right"/>
    </xf>
    <xf numFmtId="164" fontId="23" fillId="0" borderId="0" xfId="20" applyNumberFormat="1" applyFont="1" applyFill="1" applyBorder="1" applyAlignment="1">
      <alignment horizontal="right"/>
    </xf>
    <xf numFmtId="167" fontId="23" fillId="0" borderId="0" xfId="28" quotePrefix="1" applyNumberFormat="1" applyFont="1" applyFill="1" applyBorder="1" applyAlignment="1">
      <alignment horizontal="left" indent="1"/>
    </xf>
    <xf numFmtId="167" fontId="23" fillId="0" borderId="0" xfId="28" applyNumberFormat="1" applyFont="1" applyFill="1" applyBorder="1" applyAlignment="1">
      <alignment horizontal="left" indent="1"/>
    </xf>
    <xf numFmtId="0" fontId="23" fillId="0" borderId="0" xfId="28" applyFont="1" applyBorder="1" applyAlignment="1"/>
    <xf numFmtId="167" fontId="23" fillId="0" borderId="0" xfId="20" applyNumberFormat="1" applyFont="1" applyFill="1" applyBorder="1" applyAlignment="1">
      <alignment horizontal="right"/>
    </xf>
    <xf numFmtId="167" fontId="23" fillId="0" borderId="0" xfId="28" applyNumberFormat="1" applyFont="1" applyFill="1" applyBorder="1" applyAlignment="1">
      <alignment horizontal="right"/>
    </xf>
    <xf numFmtId="0" fontId="23" fillId="0" borderId="0" xfId="28" applyFont="1" applyBorder="1"/>
    <xf numFmtId="3" fontId="23" fillId="0" borderId="0" xfId="28" applyNumberFormat="1" applyFont="1" applyFill="1" applyBorder="1" applyAlignment="1">
      <alignment horizontal="left" indent="1"/>
    </xf>
    <xf numFmtId="1" fontId="23" fillId="0" borderId="0" xfId="28" applyNumberFormat="1" applyFont="1" applyFill="1" applyBorder="1" applyAlignment="1">
      <alignment horizontal="center"/>
    </xf>
    <xf numFmtId="3" fontId="23" fillId="0" borderId="0" xfId="28" applyNumberFormat="1" applyFont="1" applyFill="1" applyBorder="1" applyAlignment="1"/>
    <xf numFmtId="37" fontId="23" fillId="0" borderId="0" xfId="35" applyNumberFormat="1" applyFont="1" applyFill="1" applyAlignment="1">
      <alignment horizontal="left" indent="1"/>
    </xf>
    <xf numFmtId="0" fontId="23" fillId="0" borderId="0" xfId="28" applyFont="1" applyBorder="1" applyAlignment="1">
      <alignment horizontal="right"/>
    </xf>
    <xf numFmtId="10" fontId="23" fillId="0" borderId="0" xfId="0" applyNumberFormat="1" applyFont="1" applyFill="1"/>
    <xf numFmtId="0" fontId="23" fillId="36" borderId="0" xfId="34" applyFont="1" applyFill="1"/>
    <xf numFmtId="0" fontId="23" fillId="0" borderId="0" xfId="0" quotePrefix="1" applyFont="1" applyAlignment="1"/>
    <xf numFmtId="165" fontId="23" fillId="0" borderId="0" xfId="20" applyNumberFormat="1" applyFont="1" applyFill="1" applyBorder="1" applyAlignment="1">
      <alignment horizontal="right"/>
    </xf>
    <xf numFmtId="0" fontId="59" fillId="0" borderId="0" xfId="0" applyFont="1" applyFill="1"/>
    <xf numFmtId="0" fontId="26" fillId="0" borderId="0" xfId="28" applyFont="1" applyFill="1" applyBorder="1" applyAlignment="1"/>
    <xf numFmtId="0" fontId="24" fillId="0" borderId="0" xfId="0" applyFont="1" applyAlignment="1">
      <alignment horizontal="center"/>
    </xf>
    <xf numFmtId="0" fontId="24" fillId="0" borderId="0" xfId="28" applyFont="1" applyBorder="1" applyAlignment="1">
      <alignment horizontal="left"/>
    </xf>
    <xf numFmtId="1" fontId="23" fillId="0" borderId="0" xfId="28" quotePrefix="1" applyNumberFormat="1" applyFont="1" applyFill="1" applyBorder="1" applyAlignment="1">
      <alignment horizontal="right"/>
    </xf>
    <xf numFmtId="164" fontId="23" fillId="0" borderId="0" xfId="0" applyNumberFormat="1" applyFont="1" applyFill="1" applyAlignment="1">
      <alignment horizontal="right"/>
    </xf>
    <xf numFmtId="164" fontId="24" fillId="0" borderId="0" xfId="0" applyNumberFormat="1" applyFont="1" applyFill="1" applyAlignment="1">
      <alignment horizontal="right"/>
    </xf>
    <xf numFmtId="164" fontId="23" fillId="36" borderId="0" xfId="0" applyNumberFormat="1" applyFont="1" applyFill="1" applyAlignment="1">
      <alignment horizontal="right"/>
    </xf>
    <xf numFmtId="0" fontId="23" fillId="36" borderId="0" xfId="0" applyFont="1" applyFill="1" applyAlignment="1">
      <alignment horizontal="left" indent="1"/>
    </xf>
    <xf numFmtId="0" fontId="23" fillId="36" borderId="0" xfId="0" applyFont="1" applyFill="1" applyAlignment="1">
      <alignment horizontal="left"/>
    </xf>
    <xf numFmtId="0" fontId="23" fillId="36" borderId="0" xfId="0" applyFont="1" applyFill="1" applyAlignment="1">
      <alignment horizontal="left" vertical="center"/>
    </xf>
    <xf numFmtId="0" fontId="23" fillId="36" borderId="0" xfId="0" quotePrefix="1" applyFont="1" applyFill="1"/>
    <xf numFmtId="164" fontId="23" fillId="0" borderId="0" xfId="0" applyNumberFormat="1" applyFont="1" applyFill="1" applyAlignment="1">
      <alignment horizontal="left" indent="1"/>
    </xf>
    <xf numFmtId="0" fontId="0" fillId="0" borderId="0" xfId="0" applyFill="1" applyBorder="1"/>
    <xf numFmtId="0" fontId="65" fillId="0" borderId="0" xfId="0" applyFont="1"/>
    <xf numFmtId="37" fontId="57" fillId="0" borderId="0" xfId="0" applyNumberFormat="1" applyFont="1" applyFill="1"/>
    <xf numFmtId="165" fontId="57" fillId="0" borderId="0" xfId="0" applyNumberFormat="1" applyFont="1" applyFill="1"/>
    <xf numFmtId="165" fontId="57" fillId="0" borderId="0" xfId="0" applyNumberFormat="1" applyFont="1" applyFill="1" applyAlignment="1">
      <alignment horizontal="left" indent="1"/>
    </xf>
    <xf numFmtId="164" fontId="59" fillId="0" borderId="0" xfId="0" applyNumberFormat="1" applyFont="1" applyFill="1"/>
    <xf numFmtId="39" fontId="57" fillId="0" borderId="0" xfId="0" applyNumberFormat="1" applyFont="1" applyAlignment="1">
      <alignment horizontal="left" indent="1"/>
    </xf>
    <xf numFmtId="39" fontId="57" fillId="0" borderId="0" xfId="0" applyNumberFormat="1" applyFont="1"/>
    <xf numFmtId="0" fontId="23" fillId="36" borderId="0" xfId="0" quotePrefix="1" applyFont="1" applyFill="1" applyAlignment="1">
      <alignment horizontal="center"/>
    </xf>
    <xf numFmtId="0" fontId="23" fillId="0" borderId="0" xfId="0" quotePrefix="1" applyFont="1" applyFill="1" applyAlignment="1">
      <alignment horizontal="center"/>
    </xf>
    <xf numFmtId="0" fontId="23" fillId="36" borderId="0" xfId="0" applyFont="1" applyFill="1" applyBorder="1" applyProtection="1"/>
    <xf numFmtId="164" fontId="23" fillId="36" borderId="0" xfId="0" applyNumberFormat="1" applyFont="1" applyFill="1" applyBorder="1" applyProtection="1"/>
    <xf numFmtId="170" fontId="23" fillId="0" borderId="0" xfId="0" applyNumberFormat="1" applyFont="1" applyFill="1" applyBorder="1" applyAlignment="1" applyProtection="1">
      <alignment horizontal="center"/>
    </xf>
    <xf numFmtId="0" fontId="23" fillId="0" borderId="0" xfId="0" applyFont="1" applyFill="1" applyBorder="1" applyProtection="1"/>
    <xf numFmtId="164" fontId="23" fillId="0" borderId="0" xfId="0" applyNumberFormat="1" applyFont="1" applyFill="1" applyBorder="1" applyProtection="1"/>
    <xf numFmtId="0" fontId="23" fillId="0" borderId="0" xfId="0" quotePrefix="1" applyFont="1" applyFill="1" applyBorder="1"/>
    <xf numFmtId="0" fontId="23" fillId="0" borderId="0" xfId="0" applyFont="1" applyFill="1" applyBorder="1"/>
    <xf numFmtId="0" fontId="24" fillId="0" borderId="0" xfId="0" applyFont="1" applyAlignment="1">
      <alignment horizontal="center"/>
    </xf>
    <xf numFmtId="0" fontId="23" fillId="0" borderId="0" xfId="0" applyFont="1" applyAlignment="1">
      <alignment horizontal="left"/>
    </xf>
    <xf numFmtId="164" fontId="30" fillId="0" borderId="0" xfId="28" applyNumberFormat="1" applyFont="1" applyFill="1"/>
    <xf numFmtId="0" fontId="24" fillId="0" borderId="0" xfId="0" applyFont="1" applyAlignment="1">
      <alignment horizontal="center"/>
    </xf>
    <xf numFmtId="0" fontId="24" fillId="0" borderId="0" xfId="0" applyFont="1" applyFill="1" applyBorder="1" applyAlignment="1">
      <alignment horizontal="center"/>
    </xf>
    <xf numFmtId="37" fontId="23" fillId="0" borderId="0" xfId="0" applyNumberFormat="1" applyFont="1" applyFill="1" applyAlignment="1">
      <alignment horizontal="left" indent="1"/>
    </xf>
    <xf numFmtId="39" fontId="23" fillId="0" borderId="0" xfId="0" applyNumberFormat="1" applyFont="1" applyAlignment="1">
      <alignment horizontal="left" indent="1"/>
    </xf>
    <xf numFmtId="0" fontId="67" fillId="0" borderId="0" xfId="0" applyFont="1"/>
    <xf numFmtId="0" fontId="24" fillId="0" borderId="0" xfId="0" applyFont="1" applyAlignment="1">
      <alignment horizontal="center"/>
    </xf>
    <xf numFmtId="0" fontId="24" fillId="0" borderId="0" xfId="0" applyFont="1" applyAlignment="1">
      <alignment horizontal="center"/>
    </xf>
    <xf numFmtId="0" fontId="28" fillId="0" borderId="0" xfId="0" applyFont="1" applyFill="1"/>
    <xf numFmtId="0" fontId="29" fillId="0" borderId="0" xfId="0" applyFont="1" applyFill="1"/>
    <xf numFmtId="0" fontId="27" fillId="0" borderId="0" xfId="0" applyFont="1" applyFill="1" applyAlignment="1">
      <alignment horizontal="left"/>
    </xf>
    <xf numFmtId="17" fontId="23" fillId="0" borderId="0" xfId="0" quotePrefix="1" applyNumberFormat="1" applyFont="1" applyFill="1" applyAlignment="1">
      <alignment horizontal="center"/>
    </xf>
    <xf numFmtId="0" fontId="67" fillId="0" borderId="0" xfId="0" applyFont="1" applyFill="1" applyAlignment="1">
      <alignment horizontal="center"/>
    </xf>
    <xf numFmtId="0" fontId="23" fillId="0" borderId="0" xfId="0" applyFont="1" applyBorder="1"/>
    <xf numFmtId="0" fontId="23" fillId="0" borderId="0" xfId="0" applyFont="1" applyAlignment="1"/>
    <xf numFmtId="0" fontId="24" fillId="0" borderId="0" xfId="0" applyFont="1" applyAlignment="1">
      <alignment horizontal="center"/>
    </xf>
    <xf numFmtId="0" fontId="23" fillId="0" borderId="0" xfId="0" quotePrefix="1" applyFont="1" applyAlignment="1">
      <alignment horizontal="left" indent="1"/>
    </xf>
    <xf numFmtId="0" fontId="23" fillId="0" borderId="0" xfId="28" quotePrefix="1" applyFont="1" applyFill="1" applyAlignment="1">
      <alignment horizontal="center" vertical="center"/>
    </xf>
    <xf numFmtId="0" fontId="23" fillId="0" borderId="0" xfId="28" quotePrefix="1" applyFont="1" applyFill="1" applyAlignment="1">
      <alignment horizontal="center"/>
    </xf>
    <xf numFmtId="0" fontId="23" fillId="0" borderId="0" xfId="28" quotePrefix="1" applyFont="1" applyBorder="1" applyAlignment="1">
      <alignment horizontal="center"/>
    </xf>
    <xf numFmtId="0" fontId="23" fillId="0" borderId="3" xfId="0" applyFont="1" applyBorder="1" applyAlignment="1">
      <alignment horizontal="center"/>
    </xf>
    <xf numFmtId="0" fontId="23" fillId="0" borderId="3" xfId="0" applyFont="1" applyFill="1" applyBorder="1" applyAlignment="1">
      <alignment horizontal="center"/>
    </xf>
    <xf numFmtId="0" fontId="23" fillId="0" borderId="3" xfId="0" applyFont="1" applyFill="1" applyBorder="1"/>
    <xf numFmtId="37" fontId="23" fillId="0" borderId="3" xfId="22" quotePrefix="1" applyNumberFormat="1" applyFont="1" applyFill="1" applyBorder="1" applyAlignment="1">
      <alignment horizontal="center"/>
    </xf>
    <xf numFmtId="0" fontId="23" fillId="0" borderId="0" xfId="0" applyFont="1" applyFill="1" applyBorder="1" applyAlignment="1">
      <alignment vertical="top"/>
    </xf>
    <xf numFmtId="0" fontId="24" fillId="0" borderId="0" xfId="0" applyFont="1" applyAlignment="1">
      <alignment horizontal="center"/>
    </xf>
    <xf numFmtId="168" fontId="23" fillId="36" borderId="0" xfId="0" applyNumberFormat="1" applyFont="1" applyFill="1" applyAlignment="1">
      <alignment horizontal="left"/>
    </xf>
    <xf numFmtId="181" fontId="0" fillId="36" borderId="0" xfId="0" applyNumberFormat="1" applyFill="1" applyAlignment="1">
      <alignment horizontal="center"/>
    </xf>
    <xf numFmtId="17" fontId="0" fillId="36" borderId="0" xfId="0" quotePrefix="1" applyNumberFormat="1" applyFill="1" applyAlignment="1">
      <alignment horizontal="center"/>
    </xf>
    <xf numFmtId="181" fontId="0" fillId="36" borderId="0" xfId="0" quotePrefix="1" applyNumberFormat="1" applyFill="1" applyAlignment="1">
      <alignment horizontal="center"/>
    </xf>
    <xf numFmtId="37" fontId="57" fillId="36" borderId="0" xfId="80" applyNumberFormat="1" applyFont="1" applyFill="1" applyAlignment="1">
      <alignment horizontal="right"/>
    </xf>
    <xf numFmtId="0" fontId="24" fillId="0" borderId="8" xfId="0" applyFont="1" applyBorder="1"/>
    <xf numFmtId="0" fontId="24" fillId="0" borderId="0" xfId="0" applyFont="1" applyAlignment="1">
      <alignment horizontal="center"/>
    </xf>
    <xf numFmtId="6" fontId="0" fillId="0" borderId="0" xfId="0" applyNumberFormat="1"/>
    <xf numFmtId="0" fontId="23" fillId="0" borderId="8" xfId="0" applyFont="1" applyBorder="1"/>
    <xf numFmtId="0" fontId="24" fillId="0" borderId="0" xfId="0" applyFont="1" applyAlignment="1">
      <alignment horizontal="center"/>
    </xf>
    <xf numFmtId="0" fontId="24" fillId="0" borderId="0" xfId="0" applyFont="1" applyAlignment="1">
      <alignment horizontal="center"/>
    </xf>
    <xf numFmtId="182" fontId="0" fillId="0" borderId="0" xfId="0" applyNumberFormat="1"/>
    <xf numFmtId="0" fontId="24" fillId="0" borderId="0" xfId="0" quotePrefix="1" applyFont="1" applyFill="1" applyAlignment="1">
      <alignment horizontal="right"/>
    </xf>
    <xf numFmtId="0" fontId="23" fillId="0" borderId="0" xfId="0" quotePrefix="1" applyFont="1" applyAlignment="1">
      <alignment horizontal="center" vertical="center"/>
    </xf>
    <xf numFmtId="0" fontId="24" fillId="0" borderId="0" xfId="107" applyFont="1"/>
    <xf numFmtId="0" fontId="23" fillId="0" borderId="0" xfId="107"/>
    <xf numFmtId="0" fontId="27" fillId="0" borderId="0" xfId="107" applyFont="1"/>
    <xf numFmtId="0" fontId="24" fillId="0" borderId="0" xfId="107" applyFont="1" applyAlignment="1">
      <alignment horizontal="center"/>
    </xf>
    <xf numFmtId="0" fontId="23" fillId="0" borderId="0" xfId="107" applyFont="1"/>
    <xf numFmtId="0" fontId="27" fillId="0" borderId="0" xfId="107" applyFont="1" applyAlignment="1">
      <alignment horizontal="center"/>
    </xf>
    <xf numFmtId="0" fontId="27" fillId="0" borderId="0" xfId="107" applyFont="1" applyAlignment="1">
      <alignment horizontal="left"/>
    </xf>
    <xf numFmtId="164" fontId="23" fillId="0" borderId="0" xfId="107" applyNumberFormat="1" applyFill="1"/>
    <xf numFmtId="0" fontId="23" fillId="36" borderId="0" xfId="107" applyFont="1" applyFill="1"/>
    <xf numFmtId="164" fontId="23" fillId="36" borderId="0" xfId="107" applyNumberFormat="1" applyFill="1"/>
    <xf numFmtId="164" fontId="30" fillId="36" borderId="0" xfId="107" applyNumberFormat="1" applyFont="1" applyFill="1"/>
    <xf numFmtId="164" fontId="23" fillId="0" borderId="0" xfId="107" applyNumberFormat="1"/>
    <xf numFmtId="0" fontId="23" fillId="0" borderId="0" xfId="107" applyFont="1" applyFill="1"/>
    <xf numFmtId="0" fontId="23" fillId="0" borderId="0" xfId="28" applyNumberFormat="1" applyFont="1" applyFill="1" applyBorder="1" applyAlignment="1">
      <alignment horizontal="left" indent="2"/>
    </xf>
    <xf numFmtId="3" fontId="34" fillId="0" borderId="0" xfId="34" applyNumberFormat="1" applyFont="1" applyBorder="1"/>
    <xf numFmtId="0" fontId="23" fillId="36" borderId="0" xfId="0" applyFont="1" applyFill="1" applyAlignment="1"/>
    <xf numFmtId="39" fontId="26" fillId="36" borderId="0" xfId="22" applyNumberFormat="1" applyFont="1" applyFill="1" applyBorder="1" applyAlignment="1">
      <alignment horizontal="center"/>
    </xf>
    <xf numFmtId="0" fontId="23" fillId="36" borderId="0" xfId="28" quotePrefix="1" applyNumberFormat="1" applyFont="1" applyFill="1" applyBorder="1" applyAlignment="1">
      <alignment horizontal="left"/>
    </xf>
    <xf numFmtId="0" fontId="23" fillId="36" borderId="0" xfId="28" quotePrefix="1" applyFont="1" applyFill="1" applyBorder="1" applyAlignment="1">
      <alignment horizontal="left"/>
    </xf>
    <xf numFmtId="10" fontId="23" fillId="36" borderId="0" xfId="0" applyNumberFormat="1" applyFont="1" applyFill="1"/>
    <xf numFmtId="10" fontId="0" fillId="0" borderId="0" xfId="0" applyNumberFormat="1" applyFill="1" applyAlignment="1">
      <alignment horizontal="center"/>
    </xf>
    <xf numFmtId="0" fontId="32" fillId="0" borderId="0" xfId="27" applyAlignment="1" applyProtection="1"/>
    <xf numFmtId="164" fontId="0" fillId="36" borderId="0" xfId="0" applyNumberFormat="1" applyFill="1" applyAlignment="1">
      <alignment horizontal="right"/>
    </xf>
    <xf numFmtId="0" fontId="23" fillId="0" borderId="0" xfId="0" quotePrefix="1" applyFont="1" applyFill="1"/>
    <xf numFmtId="171" fontId="0" fillId="36" borderId="0" xfId="0" applyNumberFormat="1" applyFill="1"/>
    <xf numFmtId="167" fontId="23" fillId="0" borderId="0" xfId="28" applyNumberFormat="1" applyFont="1" applyBorder="1"/>
    <xf numFmtId="15" fontId="23" fillId="36" borderId="0" xfId="0" quotePrefix="1" applyNumberFormat="1" applyFont="1" applyFill="1" applyAlignment="1">
      <alignment horizontal="center"/>
    </xf>
    <xf numFmtId="0" fontId="72" fillId="0" borderId="0" xfId="0" applyFont="1"/>
    <xf numFmtId="0" fontId="23" fillId="0" borderId="0" xfId="28" applyFont="1" applyFill="1" applyBorder="1" applyAlignment="1" applyProtection="1">
      <alignment horizontal="left" indent="1"/>
      <protection locked="0"/>
    </xf>
    <xf numFmtId="0" fontId="23" fillId="0" borderId="0" xfId="99" applyFill="1"/>
    <xf numFmtId="0" fontId="23" fillId="36" borderId="0" xfId="107" applyFill="1"/>
    <xf numFmtId="0" fontId="23" fillId="0" borderId="0" xfId="99" applyFont="1" applyAlignment="1">
      <alignment horizontal="left" indent="1"/>
    </xf>
    <xf numFmtId="164" fontId="23" fillId="0" borderId="0" xfId="99" applyNumberFormat="1"/>
    <xf numFmtId="164" fontId="56" fillId="0" borderId="0" xfId="99" applyNumberFormat="1" applyFont="1" applyFill="1"/>
    <xf numFmtId="0" fontId="24" fillId="0" borderId="0" xfId="99" applyFont="1"/>
    <xf numFmtId="0" fontId="23" fillId="0" borderId="0" xfId="99" applyFont="1"/>
    <xf numFmtId="0" fontId="24" fillId="0" borderId="0" xfId="99" applyFont="1" applyAlignment="1">
      <alignment horizontal="left" indent="1"/>
    </xf>
    <xf numFmtId="0" fontId="66" fillId="0" borderId="0" xfId="99" applyFont="1" applyBorder="1" applyAlignment="1">
      <alignment horizontal="left"/>
    </xf>
    <xf numFmtId="0" fontId="24" fillId="0" borderId="0" xfId="99" applyFont="1" applyBorder="1" applyAlignment="1">
      <alignment horizontal="center"/>
    </xf>
    <xf numFmtId="0" fontId="23" fillId="0" borderId="0" xfId="99" applyFont="1" applyBorder="1" applyAlignment="1">
      <alignment horizontal="right"/>
    </xf>
    <xf numFmtId="0" fontId="24" fillId="0" borderId="0" xfId="99" applyFont="1" applyBorder="1" applyAlignment="1">
      <alignment horizontal="right"/>
    </xf>
    <xf numFmtId="0" fontId="24" fillId="0" borderId="8" xfId="99" applyFont="1" applyBorder="1" applyAlignment="1">
      <alignment horizontal="center"/>
    </xf>
    <xf numFmtId="0" fontId="23" fillId="36" borderId="0" xfId="99" applyFont="1" applyFill="1"/>
    <xf numFmtId="164" fontId="23" fillId="36" borderId="0" xfId="99" applyNumberFormat="1" applyFont="1" applyFill="1"/>
    <xf numFmtId="170" fontId="23" fillId="0" borderId="0" xfId="99" applyNumberFormat="1" applyFont="1" applyFill="1" applyAlignment="1">
      <alignment horizontal="center"/>
    </xf>
    <xf numFmtId="0" fontId="23" fillId="0" borderId="0" xfId="99" applyFont="1" applyFill="1"/>
    <xf numFmtId="164" fontId="23" fillId="0" borderId="0" xfId="99" applyNumberFormat="1" applyFont="1" applyFill="1"/>
    <xf numFmtId="170" fontId="23" fillId="0" borderId="0" xfId="99" quotePrefix="1" applyNumberFormat="1" applyFont="1" applyFill="1" applyAlignment="1">
      <alignment horizontal="center"/>
    </xf>
    <xf numFmtId="164" fontId="23" fillId="0" borderId="0" xfId="99" applyNumberFormat="1" applyFont="1"/>
    <xf numFmtId="164" fontId="23" fillId="0" borderId="0" xfId="95" applyNumberFormat="1" applyFont="1" applyBorder="1"/>
    <xf numFmtId="164" fontId="23" fillId="0" borderId="0" xfId="95" applyNumberFormat="1" applyFont="1"/>
    <xf numFmtId="168" fontId="23" fillId="0" borderId="0" xfId="95" applyNumberFormat="1" applyFont="1" applyBorder="1"/>
    <xf numFmtId="164" fontId="23" fillId="0" borderId="14" xfId="95" applyNumberFormat="1" applyFont="1" applyBorder="1"/>
    <xf numFmtId="0" fontId="23" fillId="0" borderId="0" xfId="99" quotePrefix="1" applyFont="1" applyAlignment="1">
      <alignment horizontal="left" indent="1"/>
    </xf>
    <xf numFmtId="164" fontId="23" fillId="36" borderId="0" xfId="95" applyNumberFormat="1" applyFont="1" applyFill="1" applyBorder="1"/>
    <xf numFmtId="164" fontId="23" fillId="0" borderId="0" xfId="95" applyNumberFormat="1" applyFont="1" applyBorder="1" applyAlignment="1">
      <alignment horizontal="left" indent="1"/>
    </xf>
    <xf numFmtId="39" fontId="23" fillId="0" borderId="0" xfId="95" applyNumberFormat="1" applyFont="1" applyBorder="1"/>
    <xf numFmtId="37" fontId="23" fillId="0" borderId="0" xfId="95" applyNumberFormat="1" applyFont="1" applyBorder="1" applyAlignment="1">
      <alignment horizontal="center"/>
    </xf>
    <xf numFmtId="164" fontId="23" fillId="0" borderId="0" xfId="95" applyNumberFormat="1" applyFont="1" applyFill="1" applyBorder="1"/>
    <xf numFmtId="0" fontId="23" fillId="0" borderId="0" xfId="99" applyFont="1" applyBorder="1"/>
    <xf numFmtId="164" fontId="24" fillId="0" borderId="0" xfId="99" applyNumberFormat="1" applyFont="1" applyBorder="1" applyAlignment="1">
      <alignment horizontal="center"/>
    </xf>
    <xf numFmtId="164" fontId="24" fillId="0" borderId="8" xfId="99" applyNumberFormat="1" applyFont="1" applyBorder="1" applyAlignment="1">
      <alignment horizontal="center"/>
    </xf>
    <xf numFmtId="0" fontId="23" fillId="0" borderId="0" xfId="99" quotePrefix="1" applyFont="1"/>
    <xf numFmtId="10" fontId="23" fillId="0" borderId="0" xfId="95" applyNumberFormat="1" applyFont="1" applyBorder="1"/>
    <xf numFmtId="164" fontId="63" fillId="34" borderId="0" xfId="0" applyNumberFormat="1" applyFont="1" applyFill="1"/>
    <xf numFmtId="3" fontId="65" fillId="0" borderId="0" xfId="0" applyNumberFormat="1" applyFont="1"/>
    <xf numFmtId="164" fontId="63" fillId="36" borderId="0" xfId="0" applyNumberFormat="1" applyFont="1" applyFill="1"/>
    <xf numFmtId="164" fontId="74" fillId="36" borderId="0" xfId="0" applyNumberFormat="1" applyFont="1" applyFill="1"/>
    <xf numFmtId="0" fontId="65" fillId="0" borderId="0" xfId="0" applyFont="1" applyFill="1"/>
    <xf numFmtId="0" fontId="27" fillId="0" borderId="0" xfId="99" applyFont="1" applyBorder="1" applyAlignment="1">
      <alignment horizontal="center"/>
    </xf>
    <xf numFmtId="0" fontId="23" fillId="0" borderId="0" xfId="99" applyFont="1" applyBorder="1" applyAlignment="1">
      <alignment horizontal="left"/>
    </xf>
    <xf numFmtId="1" fontId="23" fillId="36" borderId="0" xfId="99" applyNumberFormat="1" applyFont="1" applyFill="1" applyBorder="1" applyAlignment="1">
      <alignment horizontal="center"/>
    </xf>
    <xf numFmtId="164" fontId="23" fillId="0" borderId="0" xfId="0" applyNumberFormat="1" applyFont="1" applyFill="1" applyAlignment="1">
      <alignment horizontal="center"/>
    </xf>
    <xf numFmtId="0" fontId="23" fillId="0" borderId="0" xfId="99" applyNumberFormat="1" applyFont="1" applyFill="1" applyBorder="1" applyAlignment="1">
      <alignment horizontal="left"/>
    </xf>
    <xf numFmtId="1" fontId="23" fillId="0" borderId="0" xfId="99" quotePrefix="1" applyNumberFormat="1" applyFont="1" applyFill="1" applyBorder="1" applyAlignment="1">
      <alignment horizontal="right"/>
    </xf>
    <xf numFmtId="164" fontId="23" fillId="36" borderId="0" xfId="0" quotePrefix="1" applyNumberFormat="1" applyFont="1" applyFill="1" applyAlignment="1">
      <alignment horizontal="center"/>
    </xf>
    <xf numFmtId="164" fontId="23" fillId="0" borderId="0" xfId="0" quotePrefix="1" applyNumberFormat="1" applyFont="1" applyFill="1" applyAlignment="1">
      <alignment horizontal="center"/>
    </xf>
    <xf numFmtId="0" fontId="24" fillId="0" borderId="0" xfId="99" applyFont="1" applyFill="1" applyBorder="1" applyAlignment="1">
      <alignment horizontal="left"/>
    </xf>
    <xf numFmtId="0" fontId="24" fillId="0" borderId="0" xfId="99" applyNumberFormat="1" applyFont="1" applyFill="1" applyBorder="1" applyAlignment="1">
      <alignment horizontal="left"/>
    </xf>
    <xf numFmtId="0" fontId="23" fillId="0" borderId="0" xfId="99"/>
    <xf numFmtId="0" fontId="23" fillId="36" borderId="0" xfId="99" applyFill="1"/>
    <xf numFmtId="0" fontId="27" fillId="0" borderId="0" xfId="99" quotePrefix="1" applyFont="1" applyAlignment="1">
      <alignment horizontal="center"/>
    </xf>
    <xf numFmtId="0" fontId="27" fillId="0" borderId="0" xfId="99" applyFont="1" applyAlignment="1">
      <alignment horizontal="center"/>
    </xf>
    <xf numFmtId="0" fontId="23" fillId="0" borderId="0" xfId="99" quotePrefix="1" applyFont="1" applyAlignment="1">
      <alignment horizontal="center"/>
    </xf>
    <xf numFmtId="0" fontId="23" fillId="0" borderId="0" xfId="99" quotePrefix="1" applyFont="1" applyFill="1" applyAlignment="1">
      <alignment horizontal="center"/>
    </xf>
    <xf numFmtId="0" fontId="23" fillId="0" borderId="0" xfId="99" applyAlignment="1">
      <alignment horizontal="center"/>
    </xf>
    <xf numFmtId="0" fontId="24" fillId="0" borderId="0" xfId="99" applyFont="1" applyAlignment="1">
      <alignment horizontal="center"/>
    </xf>
    <xf numFmtId="0" fontId="24" fillId="0" borderId="0" xfId="99" applyFont="1" applyFill="1" applyAlignment="1">
      <alignment horizontal="center"/>
    </xf>
    <xf numFmtId="0" fontId="27" fillId="0" borderId="0" xfId="99" applyFont="1"/>
    <xf numFmtId="0" fontId="27" fillId="0" borderId="0" xfId="99" applyFont="1" applyFill="1" applyAlignment="1">
      <alignment horizontal="center"/>
    </xf>
    <xf numFmtId="164" fontId="23" fillId="0" borderId="0" xfId="99" applyNumberFormat="1" applyFont="1" applyFill="1" applyAlignment="1"/>
    <xf numFmtId="10" fontId="23" fillId="0" borderId="0" xfId="36" applyNumberFormat="1" applyFont="1" applyFill="1" applyAlignment="1"/>
    <xf numFmtId="167" fontId="23" fillId="0" borderId="0" xfId="99" applyNumberFormat="1"/>
    <xf numFmtId="164" fontId="30" fillId="0" borderId="0" xfId="99" applyNumberFormat="1" applyFont="1"/>
    <xf numFmtId="0" fontId="23" fillId="0" borderId="0" xfId="99" applyFont="1" applyAlignment="1">
      <alignment horizontal="left"/>
    </xf>
    <xf numFmtId="0" fontId="23" fillId="0" borderId="0" xfId="99" applyFont="1" applyAlignment="1">
      <alignment horizontal="right" indent="1"/>
    </xf>
    <xf numFmtId="167" fontId="0" fillId="0" borderId="0" xfId="19" applyNumberFormat="1" applyFont="1"/>
    <xf numFmtId="164" fontId="23" fillId="0" borderId="0" xfId="99" applyNumberFormat="1" applyFont="1" applyFill="1" applyAlignment="1">
      <alignment horizontal="right"/>
    </xf>
    <xf numFmtId="164" fontId="23" fillId="36" borderId="0" xfId="99" applyNumberFormat="1" applyFont="1" applyFill="1" applyAlignment="1">
      <alignment horizontal="right"/>
    </xf>
    <xf numFmtId="0" fontId="23" fillId="0" borderId="0" xfId="99" applyAlignment="1">
      <alignment horizontal="left" indent="1"/>
    </xf>
    <xf numFmtId="10" fontId="0" fillId="0" borderId="0" xfId="36" applyNumberFormat="1" applyFont="1" applyAlignment="1">
      <alignment horizontal="center"/>
    </xf>
    <xf numFmtId="10" fontId="27" fillId="0" borderId="0" xfId="99" applyNumberFormat="1" applyFont="1" applyAlignment="1">
      <alignment horizontal="center"/>
    </xf>
    <xf numFmtId="0" fontId="23" fillId="0" borderId="0" xfId="99" applyNumberFormat="1"/>
    <xf numFmtId="10" fontId="23" fillId="0" borderId="0" xfId="36" applyNumberFormat="1" applyAlignment="1">
      <alignment horizontal="center"/>
    </xf>
    <xf numFmtId="0" fontId="24" fillId="0" borderId="0" xfId="99" applyFont="1" applyFill="1"/>
    <xf numFmtId="0" fontId="27" fillId="0" borderId="0" xfId="0" applyNumberFormat="1" applyFont="1" applyFill="1" applyAlignment="1">
      <alignment horizontal="center"/>
    </xf>
    <xf numFmtId="0" fontId="25" fillId="0" borderId="0" xfId="0" applyFont="1" applyAlignment="1">
      <alignment horizontal="center"/>
    </xf>
    <xf numFmtId="0" fontId="24" fillId="0" borderId="0" xfId="0" applyNumberFormat="1" applyFont="1" applyFill="1" applyAlignment="1">
      <alignment horizontal="center"/>
    </xf>
    <xf numFmtId="0" fontId="24" fillId="0" borderId="0" xfId="0" applyNumberFormat="1" applyFont="1" applyFill="1" applyAlignment="1">
      <alignment horizontal="center" wrapText="1"/>
    </xf>
    <xf numFmtId="164" fontId="24" fillId="0" borderId="0" xfId="0" applyNumberFormat="1" applyFont="1" applyFill="1" applyAlignment="1">
      <alignment horizontal="right" indent="1"/>
    </xf>
    <xf numFmtId="0" fontId="0" fillId="0" borderId="0" xfId="0" applyNumberFormat="1" applyFill="1"/>
    <xf numFmtId="0" fontId="24" fillId="0" borderId="0" xfId="0" applyNumberFormat="1" applyFont="1" applyFill="1" applyAlignment="1">
      <alignment horizontal="left" indent="2"/>
    </xf>
    <xf numFmtId="0" fontId="27" fillId="0" borderId="0" xfId="0" quotePrefix="1" applyNumberFormat="1" applyFont="1" applyFill="1" applyAlignment="1">
      <alignment horizontal="center"/>
    </xf>
    <xf numFmtId="0" fontId="23" fillId="0" borderId="0" xfId="0" quotePrefix="1" applyNumberFormat="1" applyFont="1" applyFill="1" applyAlignment="1">
      <alignment horizontal="center" wrapText="1"/>
    </xf>
    <xf numFmtId="0" fontId="23" fillId="0" borderId="0" xfId="0" quotePrefix="1" applyNumberFormat="1" applyFont="1" applyFill="1" applyAlignment="1">
      <alignment horizontal="center"/>
    </xf>
    <xf numFmtId="0" fontId="25" fillId="0" borderId="0" xfId="0" quotePrefix="1" applyNumberFormat="1" applyFont="1" applyFill="1" applyAlignment="1">
      <alignment horizontal="center"/>
    </xf>
    <xf numFmtId="0" fontId="23" fillId="0" borderId="0" xfId="0" applyNumberFormat="1" applyFont="1" applyFill="1" applyAlignment="1"/>
    <xf numFmtId="0" fontId="0" fillId="0" borderId="0" xfId="0" applyNumberFormat="1" applyFill="1" applyAlignment="1">
      <alignment horizontal="left"/>
    </xf>
    <xf numFmtId="0" fontId="23" fillId="0" borderId="0" xfId="99" applyNumberFormat="1" applyFont="1" applyFill="1" applyBorder="1" applyAlignment="1">
      <alignment horizontal="center"/>
    </xf>
    <xf numFmtId="0" fontId="30" fillId="0" borderId="0" xfId="0" applyNumberFormat="1" applyFont="1" applyFill="1"/>
    <xf numFmtId="0" fontId="23" fillId="0" borderId="0" xfId="99" quotePrefix="1" applyNumberFormat="1" applyFont="1" applyFill="1" applyBorder="1" applyAlignment="1">
      <alignment horizontal="right"/>
    </xf>
    <xf numFmtId="0" fontId="23" fillId="0" borderId="0" xfId="0" applyNumberFormat="1" applyFont="1" applyFill="1" applyAlignment="1">
      <alignment horizontal="right"/>
    </xf>
    <xf numFmtId="0" fontId="24" fillId="0" borderId="0" xfId="0" applyNumberFormat="1" applyFont="1" applyFill="1"/>
    <xf numFmtId="0" fontId="23" fillId="0" borderId="0" xfId="0" applyNumberFormat="1" applyFont="1" applyFill="1"/>
    <xf numFmtId="0" fontId="23" fillId="0" borderId="0" xfId="0" applyNumberFormat="1" applyFont="1" applyFill="1" applyAlignment="1">
      <alignment horizontal="left" indent="1"/>
    </xf>
    <xf numFmtId="0" fontId="24" fillId="0" borderId="0" xfId="99" applyFont="1" applyAlignment="1">
      <alignment horizontal="right"/>
    </xf>
    <xf numFmtId="164" fontId="24" fillId="0" borderId="0" xfId="99" applyNumberFormat="1" applyFont="1"/>
    <xf numFmtId="166" fontId="24" fillId="0" borderId="0" xfId="99" applyNumberFormat="1" applyFont="1"/>
    <xf numFmtId="10" fontId="27" fillId="0" borderId="0" xfId="36" applyNumberFormat="1" applyFont="1" applyAlignment="1">
      <alignment horizontal="center"/>
    </xf>
    <xf numFmtId="0" fontId="23" fillId="0" borderId="0" xfId="99" applyAlignment="1">
      <alignment horizontal="center" wrapText="1"/>
    </xf>
    <xf numFmtId="164" fontId="23" fillId="0" borderId="0" xfId="99" quotePrefix="1" applyNumberFormat="1" applyAlignment="1">
      <alignment horizontal="center"/>
    </xf>
    <xf numFmtId="0" fontId="23" fillId="0" borderId="0" xfId="99" quotePrefix="1" applyAlignment="1">
      <alignment horizontal="center" wrapText="1"/>
    </xf>
    <xf numFmtId="0" fontId="23" fillId="0" borderId="0" xfId="99" quotePrefix="1" applyFont="1" applyAlignment="1">
      <alignment horizontal="center" wrapText="1"/>
    </xf>
    <xf numFmtId="10" fontId="23" fillId="0" borderId="0" xfId="36" quotePrefix="1" applyNumberFormat="1" applyFont="1" applyAlignment="1">
      <alignment horizontal="center" wrapText="1"/>
    </xf>
    <xf numFmtId="5" fontId="23" fillId="0" borderId="0" xfId="19" applyNumberFormat="1" applyFont="1" applyFill="1" applyAlignment="1"/>
    <xf numFmtId="5" fontId="0" fillId="0" borderId="0" xfId="19" applyNumberFormat="1" applyFont="1" applyFill="1"/>
    <xf numFmtId="5" fontId="0" fillId="36" borderId="0" xfId="19" applyNumberFormat="1" applyFont="1" applyFill="1"/>
    <xf numFmtId="179" fontId="23" fillId="0" borderId="0" xfId="23" applyNumberFormat="1" applyFont="1"/>
    <xf numFmtId="10" fontId="23" fillId="0" borderId="0" xfId="99" applyNumberFormat="1"/>
    <xf numFmtId="0" fontId="30" fillId="0" borderId="0" xfId="99" applyFont="1" applyAlignment="1">
      <alignment horizontal="center"/>
    </xf>
    <xf numFmtId="5" fontId="23" fillId="0" borderId="0" xfId="19" applyNumberFormat="1"/>
    <xf numFmtId="5" fontId="23" fillId="0" borderId="0" xfId="99" applyNumberFormat="1"/>
    <xf numFmtId="5" fontId="23" fillId="0" borderId="0" xfId="99" applyNumberFormat="1" applyFont="1"/>
    <xf numFmtId="173" fontId="0" fillId="0" borderId="0" xfId="0" applyNumberFormat="1"/>
    <xf numFmtId="0" fontId="23" fillId="0" borderId="0" xfId="0" applyFont="1" applyFill="1" applyAlignment="1">
      <alignment horizontal="center"/>
    </xf>
    <xf numFmtId="0" fontId="23" fillId="36" borderId="0" xfId="0" applyFont="1" applyFill="1" applyAlignment="1">
      <alignment horizontal="center"/>
    </xf>
    <xf numFmtId="0" fontId="24" fillId="0" borderId="0" xfId="107" applyFont="1" applyFill="1"/>
    <xf numFmtId="0" fontId="23" fillId="0" borderId="0" xfId="107" applyFill="1"/>
    <xf numFmtId="0" fontId="27" fillId="0" borderId="0" xfId="107" applyFont="1" applyFill="1"/>
    <xf numFmtId="0" fontId="24" fillId="0" borderId="0" xfId="107" applyFont="1" applyFill="1" applyAlignment="1">
      <alignment horizontal="center"/>
    </xf>
    <xf numFmtId="0" fontId="24" fillId="0" borderId="8" xfId="107" applyFont="1" applyFill="1" applyBorder="1" applyAlignment="1">
      <alignment horizontal="center"/>
    </xf>
    <xf numFmtId="0" fontId="24" fillId="0" borderId="0" xfId="107" applyFont="1" applyFill="1" applyBorder="1" applyAlignment="1">
      <alignment horizontal="center"/>
    </xf>
    <xf numFmtId="0" fontId="24" fillId="0" borderId="8" xfId="107" applyFont="1" applyBorder="1" applyAlignment="1">
      <alignment horizontal="center"/>
    </xf>
    <xf numFmtId="0" fontId="44" fillId="0" borderId="0" xfId="0" applyFont="1"/>
    <xf numFmtId="0" fontId="24" fillId="0" borderId="0" xfId="107" quotePrefix="1" applyFont="1" applyFill="1" applyAlignment="1">
      <alignment horizontal="center"/>
    </xf>
    <xf numFmtId="0" fontId="42" fillId="0" borderId="0" xfId="0" applyFont="1" applyFill="1" applyAlignment="1">
      <alignment horizontal="center"/>
    </xf>
    <xf numFmtId="164" fontId="23" fillId="0" borderId="0" xfId="107" applyNumberFormat="1" applyFill="1" applyBorder="1"/>
    <xf numFmtId="164" fontId="23" fillId="0" borderId="0" xfId="107" applyNumberFormat="1" applyFont="1" applyFill="1" applyBorder="1" applyAlignment="1">
      <alignment horizontal="right"/>
    </xf>
    <xf numFmtId="0" fontId="23" fillId="0" borderId="0" xfId="107" applyFill="1" applyBorder="1"/>
    <xf numFmtId="0" fontId="0" fillId="0" borderId="0" xfId="0" applyFill="1" applyBorder="1" applyAlignment="1">
      <alignment horizontal="center"/>
    </xf>
    <xf numFmtId="0" fontId="23" fillId="0" borderId="8" xfId="0" applyFont="1" applyBorder="1" applyAlignment="1">
      <alignment horizontal="center"/>
    </xf>
    <xf numFmtId="164" fontId="23" fillId="34" borderId="0" xfId="19" applyNumberFormat="1" applyFont="1" applyFill="1"/>
    <xf numFmtId="164" fontId="23" fillId="0" borderId="0" xfId="19" applyNumberFormat="1" applyFont="1" applyFill="1" applyBorder="1"/>
    <xf numFmtId="37" fontId="23" fillId="0" borderId="0" xfId="19" applyNumberFormat="1" applyFont="1" applyFill="1" applyBorder="1"/>
    <xf numFmtId="165" fontId="0" fillId="0" borderId="0" xfId="36" quotePrefix="1" applyNumberFormat="1" applyFont="1" applyFill="1" applyBorder="1"/>
    <xf numFmtId="165" fontId="0" fillId="0" borderId="0" xfId="36" applyNumberFormat="1" applyFont="1" applyFill="1" applyBorder="1"/>
    <xf numFmtId="164" fontId="0" fillId="0" borderId="0" xfId="19" applyNumberFormat="1" applyFont="1" applyFill="1" applyBorder="1"/>
    <xf numFmtId="0" fontId="44" fillId="0" borderId="0" xfId="0" applyFont="1" applyAlignment="1">
      <alignment wrapText="1"/>
    </xf>
    <xf numFmtId="164" fontId="23" fillId="36" borderId="0" xfId="19" applyNumberFormat="1" applyFont="1" applyFill="1" applyBorder="1"/>
    <xf numFmtId="9" fontId="0" fillId="0" borderId="0" xfId="0" applyNumberFormat="1" applyAlignment="1">
      <alignment horizontal="left"/>
    </xf>
    <xf numFmtId="9" fontId="0" fillId="0" borderId="8" xfId="0" applyNumberFormat="1" applyBorder="1"/>
    <xf numFmtId="164" fontId="0" fillId="0" borderId="0" xfId="0" applyNumberFormat="1" applyFill="1" applyBorder="1"/>
    <xf numFmtId="0" fontId="23" fillId="36" borderId="0" xfId="99" quotePrefix="1" applyNumberFormat="1" applyFont="1" applyFill="1" applyBorder="1" applyAlignment="1">
      <alignment horizontal="left"/>
    </xf>
    <xf numFmtId="0" fontId="23" fillId="36" borderId="0" xfId="99" quotePrefix="1" applyFont="1" applyFill="1" applyBorder="1" applyAlignment="1">
      <alignment horizontal="left"/>
    </xf>
    <xf numFmtId="10" fontId="57" fillId="36" borderId="0" xfId="0" applyNumberFormat="1" applyFont="1" applyFill="1"/>
    <xf numFmtId="0" fontId="23" fillId="0" borderId="0" xfId="0" quotePrefix="1" applyFont="1" applyAlignment="1">
      <alignment horizontal="right"/>
    </xf>
    <xf numFmtId="49" fontId="23" fillId="0" borderId="0" xfId="19" applyNumberFormat="1" applyFont="1" applyBorder="1" applyAlignment="1">
      <alignment horizontal="left" indent="1"/>
    </xf>
    <xf numFmtId="5" fontId="23" fillId="36" borderId="0" xfId="19" applyNumberFormat="1" applyFont="1" applyFill="1" applyBorder="1"/>
    <xf numFmtId="167" fontId="0" fillId="36" borderId="0" xfId="19" applyNumberFormat="1" applyFont="1" applyFill="1"/>
    <xf numFmtId="164" fontId="23" fillId="34" borderId="0" xfId="95" applyNumberFormat="1" applyFont="1" applyFill="1" applyBorder="1" applyAlignment="1">
      <alignment horizontal="right"/>
    </xf>
    <xf numFmtId="0" fontId="26" fillId="36" borderId="4" xfId="0" applyNumberFormat="1" applyFont="1" applyFill="1" applyBorder="1"/>
    <xf numFmtId="164" fontId="57" fillId="36" borderId="0" xfId="124" applyNumberFormat="1" applyFont="1" applyFill="1"/>
    <xf numFmtId="0" fontId="57" fillId="36" borderId="0" xfId="124" applyFont="1" applyFill="1"/>
    <xf numFmtId="0" fontId="56" fillId="36" borderId="0" xfId="0" applyFont="1" applyFill="1"/>
    <xf numFmtId="0" fontId="23" fillId="36" borderId="0" xfId="124" applyFont="1" applyFill="1" applyBorder="1" applyProtection="1"/>
    <xf numFmtId="170" fontId="23" fillId="36" borderId="0" xfId="124" applyNumberFormat="1" applyFont="1" applyFill="1" applyBorder="1" applyAlignment="1" applyProtection="1">
      <alignment horizontal="center"/>
    </xf>
    <xf numFmtId="164" fontId="57" fillId="36" borderId="0" xfId="124" applyNumberFormat="1" applyFont="1" applyFill="1" applyBorder="1" applyProtection="1"/>
    <xf numFmtId="164" fontId="23" fillId="36" borderId="0" xfId="124" applyNumberFormat="1" applyFont="1" applyFill="1" applyBorder="1" applyProtection="1"/>
    <xf numFmtId="39" fontId="23" fillId="0" borderId="0" xfId="0" applyNumberFormat="1" applyFont="1" applyFill="1" applyAlignment="1">
      <alignment horizontal="left" indent="1"/>
    </xf>
    <xf numFmtId="164" fontId="23" fillId="36" borderId="0" xfId="23" applyNumberFormat="1" applyFont="1" applyFill="1" applyAlignment="1">
      <alignment horizontal="right"/>
    </xf>
    <xf numFmtId="164" fontId="15" fillId="36" borderId="0" xfId="23" applyNumberFormat="1" applyFont="1" applyFill="1" applyAlignment="1">
      <alignment horizontal="right"/>
    </xf>
    <xf numFmtId="0" fontId="23" fillId="36" borderId="0" xfId="0" applyFont="1" applyFill="1" applyAlignment="1">
      <alignment wrapText="1"/>
    </xf>
    <xf numFmtId="164" fontId="23" fillId="36" borderId="0" xfId="28" applyNumberFormat="1" applyFont="1" applyFill="1" applyBorder="1" applyAlignment="1">
      <alignment horizontal="right" vertical="center" wrapText="1"/>
    </xf>
    <xf numFmtId="164" fontId="23" fillId="36" borderId="0" xfId="28" applyNumberFormat="1" applyFont="1" applyFill="1"/>
    <xf numFmtId="164" fontId="23" fillId="36" borderId="0" xfId="20" applyNumberFormat="1" applyFont="1" applyFill="1"/>
    <xf numFmtId="164" fontId="38" fillId="36" borderId="0" xfId="28" applyNumberFormat="1" applyFont="1" applyFill="1"/>
    <xf numFmtId="0" fontId="75" fillId="0" borderId="0" xfId="125" applyFont="1"/>
    <xf numFmtId="0" fontId="23" fillId="0" borderId="0" xfId="125" applyFont="1"/>
    <xf numFmtId="0" fontId="23" fillId="0" borderId="0" xfId="125" applyFont="1" applyBorder="1"/>
    <xf numFmtId="0" fontId="23" fillId="0" borderId="0" xfId="125" applyFill="1" applyAlignment="1">
      <alignment horizontal="center"/>
    </xf>
    <xf numFmtId="0" fontId="23" fillId="0" borderId="0" xfId="125"/>
    <xf numFmtId="0" fontId="27" fillId="0" borderId="0" xfId="125" applyFont="1" applyAlignment="1">
      <alignment horizontal="center"/>
    </xf>
    <xf numFmtId="0" fontId="23" fillId="0" borderId="0" xfId="125" applyBorder="1"/>
    <xf numFmtId="0" fontId="24" fillId="0" borderId="0" xfId="125" applyFont="1" applyAlignment="1">
      <alignment horizontal="right"/>
    </xf>
    <xf numFmtId="0" fontId="23" fillId="0" borderId="0" xfId="125" applyFont="1" applyAlignment="1">
      <alignment horizontal="left" indent="1"/>
    </xf>
    <xf numFmtId="0" fontId="24" fillId="34" borderId="0" xfId="126" applyFont="1" applyFill="1"/>
    <xf numFmtId="0" fontId="23" fillId="36" borderId="0" xfId="126" applyFont="1" applyFill="1"/>
    <xf numFmtId="0" fontId="23" fillId="0" borderId="0" xfId="125" applyFill="1"/>
    <xf numFmtId="164" fontId="23" fillId="0" borderId="0" xfId="125" applyNumberFormat="1"/>
    <xf numFmtId="0" fontId="27" fillId="0" borderId="0" xfId="125" quotePrefix="1" applyFont="1" applyAlignment="1">
      <alignment horizontal="center"/>
    </xf>
    <xf numFmtId="0" fontId="23" fillId="0" borderId="0" xfId="125" applyFont="1" applyAlignment="1">
      <alignment horizontal="center"/>
    </xf>
    <xf numFmtId="0" fontId="23" fillId="0" borderId="0" xfId="125" applyAlignment="1"/>
    <xf numFmtId="0" fontId="23" fillId="0" borderId="0" xfId="125" quotePrefix="1" applyFont="1" applyBorder="1" applyAlignment="1">
      <alignment horizontal="center" wrapText="1"/>
    </xf>
    <xf numFmtId="0" fontId="23" fillId="0" borderId="0" xfId="125" applyFill="1" applyAlignment="1"/>
    <xf numFmtId="0" fontId="23" fillId="0" borderId="0" xfId="125" applyAlignment="1">
      <alignment vertical="center" wrapText="1"/>
    </xf>
    <xf numFmtId="0" fontId="27" fillId="0" borderId="0" xfId="125" quotePrefix="1" applyFont="1" applyAlignment="1">
      <alignment horizontal="center" vertical="center" wrapText="1"/>
    </xf>
    <xf numFmtId="0" fontId="23" fillId="0" borderId="6" xfId="125" quotePrefix="1" applyFont="1" applyBorder="1" applyAlignment="1">
      <alignment horizontal="center" vertical="center" wrapText="1"/>
    </xf>
    <xf numFmtId="0" fontId="23" fillId="0" borderId="0" xfId="125" applyFill="1" applyAlignment="1">
      <alignment horizontal="center" vertical="center" wrapText="1"/>
    </xf>
    <xf numFmtId="0" fontId="23" fillId="0" borderId="0" xfId="125" applyFill="1" applyAlignment="1">
      <alignment vertical="center" wrapText="1"/>
    </xf>
    <xf numFmtId="0" fontId="24" fillId="0" borderId="3" xfId="125" applyFont="1" applyFill="1" applyBorder="1" applyAlignment="1">
      <alignment horizontal="center" wrapText="1"/>
    </xf>
    <xf numFmtId="0" fontId="24" fillId="0" borderId="3" xfId="125" quotePrefix="1" applyFont="1" applyBorder="1" applyAlignment="1">
      <alignment horizontal="center" wrapText="1"/>
    </xf>
    <xf numFmtId="0" fontId="24" fillId="0" borderId="6" xfId="125" applyFont="1" applyBorder="1" applyAlignment="1">
      <alignment horizontal="center" wrapText="1"/>
    </xf>
    <xf numFmtId="0" fontId="24" fillId="0" borderId="3" xfId="125" applyFont="1" applyFill="1" applyBorder="1" applyAlignment="1">
      <alignment horizontal="center"/>
    </xf>
    <xf numFmtId="0" fontId="24" fillId="0" borderId="4" xfId="125" applyFont="1" applyBorder="1" applyAlignment="1">
      <alignment horizontal="center" wrapText="1"/>
    </xf>
    <xf numFmtId="0" fontId="24" fillId="0" borderId="3" xfId="125" applyFont="1" applyBorder="1" applyAlignment="1">
      <alignment horizontal="center" wrapText="1"/>
    </xf>
    <xf numFmtId="0" fontId="24" fillId="0" borderId="0" xfId="125" applyFont="1" applyAlignment="1">
      <alignment horizontal="center"/>
    </xf>
    <xf numFmtId="10" fontId="23" fillId="0" borderId="0" xfId="125" applyNumberFormat="1"/>
    <xf numFmtId="174" fontId="23" fillId="0" borderId="0" xfId="125" applyNumberFormat="1" applyAlignment="1">
      <alignment horizontal="center"/>
    </xf>
    <xf numFmtId="0" fontId="23" fillId="0" borderId="0" xfId="125" quotePrefix="1" applyNumberFormat="1" applyFont="1" applyAlignment="1">
      <alignment horizontal="center"/>
    </xf>
    <xf numFmtId="10" fontId="23" fillId="0" borderId="0" xfId="125" applyNumberFormat="1" applyBorder="1"/>
    <xf numFmtId="0" fontId="23" fillId="0" borderId="0" xfId="125" quotePrefix="1" applyNumberFormat="1" applyFont="1" applyBorder="1" applyAlignment="1">
      <alignment horizontal="center"/>
    </xf>
    <xf numFmtId="166" fontId="23" fillId="0" borderId="17" xfId="125" applyNumberFormat="1" applyBorder="1" applyAlignment="1">
      <alignment horizontal="center"/>
    </xf>
    <xf numFmtId="164" fontId="23" fillId="0" borderId="18" xfId="125" applyNumberFormat="1" applyBorder="1"/>
    <xf numFmtId="166" fontId="23" fillId="0" borderId="0" xfId="125" applyNumberFormat="1" applyAlignment="1">
      <alignment horizontal="center"/>
    </xf>
    <xf numFmtId="166" fontId="23" fillId="0" borderId="0" xfId="125" applyNumberFormat="1"/>
    <xf numFmtId="3" fontId="46" fillId="0" borderId="0" xfId="130" applyNumberFormat="1" applyFill="1" applyBorder="1"/>
    <xf numFmtId="3" fontId="46" fillId="0" borderId="0" xfId="131" applyNumberFormat="1" applyFill="1"/>
    <xf numFmtId="0" fontId="23" fillId="0" borderId="0" xfId="125" applyFill="1" applyBorder="1"/>
    <xf numFmtId="166" fontId="23" fillId="0" borderId="0" xfId="125" applyNumberFormat="1" applyFill="1"/>
    <xf numFmtId="3" fontId="46" fillId="0" borderId="0" xfId="129" applyNumberFormat="1" applyFill="1" applyBorder="1" applyAlignment="1">
      <alignment horizontal="center"/>
    </xf>
    <xf numFmtId="0" fontId="23" fillId="0" borderId="0" xfId="125" applyFill="1" applyBorder="1" applyAlignment="1">
      <alignment horizontal="center"/>
    </xf>
    <xf numFmtId="0" fontId="23" fillId="0" borderId="0" xfId="125" applyAlignment="1">
      <alignment horizontal="left" indent="1"/>
    </xf>
    <xf numFmtId="164" fontId="23" fillId="0" borderId="0" xfId="125" applyNumberFormat="1" applyFont="1"/>
    <xf numFmtId="3" fontId="46" fillId="36" borderId="0" xfId="127" applyNumberFormat="1" applyFill="1"/>
    <xf numFmtId="3" fontId="46" fillId="36" borderId="0" xfId="128" applyNumberFormat="1" applyFill="1"/>
    <xf numFmtId="3" fontId="46" fillId="36" borderId="0" xfId="129" applyNumberFormat="1" applyFill="1"/>
    <xf numFmtId="10" fontId="23" fillId="0" borderId="3" xfId="125" applyNumberFormat="1" applyBorder="1"/>
    <xf numFmtId="164" fontId="23" fillId="0" borderId="3" xfId="125" applyNumberFormat="1" applyFill="1" applyBorder="1"/>
    <xf numFmtId="3" fontId="23" fillId="0" borderId="3" xfId="125" applyNumberFormat="1" applyBorder="1"/>
    <xf numFmtId="0" fontId="23" fillId="0" borderId="0" xfId="125" applyAlignment="1">
      <alignment horizontal="center"/>
    </xf>
    <xf numFmtId="3" fontId="23" fillId="0" borderId="0" xfId="125" applyNumberFormat="1" applyFill="1"/>
    <xf numFmtId="3" fontId="46" fillId="0" borderId="0" xfId="128" applyNumberFormat="1" applyFill="1"/>
    <xf numFmtId="0" fontId="23" fillId="0" borderId="0" xfId="125" applyFont="1" applyAlignment="1">
      <alignment horizontal="center" vertical="center" wrapText="1"/>
    </xf>
    <xf numFmtId="0" fontId="23" fillId="0" borderId="0" xfId="125" quotePrefix="1" applyFont="1" applyAlignment="1">
      <alignment horizontal="center" vertical="center" wrapText="1"/>
    </xf>
    <xf numFmtId="0" fontId="27" fillId="0" borderId="0" xfId="125" quotePrefix="1" applyFont="1" applyBorder="1" applyAlignment="1">
      <alignment horizontal="center"/>
    </xf>
    <xf numFmtId="2" fontId="24" fillId="0" borderId="5" xfId="125" applyNumberFormat="1" applyFont="1" applyFill="1" applyBorder="1" applyAlignment="1">
      <alignment horizontal="center" wrapText="1"/>
    </xf>
    <xf numFmtId="2" fontId="24" fillId="0" borderId="3" xfId="125" applyNumberFormat="1" applyFont="1" applyFill="1" applyBorder="1" applyAlignment="1">
      <alignment horizontal="center" wrapText="1"/>
    </xf>
    <xf numFmtId="2" fontId="24" fillId="0" borderId="3" xfId="125" applyNumberFormat="1" applyFont="1" applyBorder="1" applyAlignment="1">
      <alignment horizontal="center" wrapText="1"/>
    </xf>
    <xf numFmtId="2" fontId="23" fillId="0" borderId="0" xfId="125" applyNumberFormat="1" applyFont="1" applyAlignment="1">
      <alignment horizontal="center" wrapText="1"/>
    </xf>
    <xf numFmtId="2" fontId="24" fillId="0" borderId="0" xfId="125" applyNumberFormat="1" applyFont="1" applyAlignment="1">
      <alignment horizontal="center"/>
    </xf>
    <xf numFmtId="164" fontId="23" fillId="0" borderId="0" xfId="125" applyNumberFormat="1" applyFill="1"/>
    <xf numFmtId="2" fontId="23" fillId="0" borderId="0" xfId="125" applyNumberFormat="1" applyFont="1"/>
    <xf numFmtId="2" fontId="23" fillId="0" borderId="0" xfId="125" applyNumberFormat="1" applyFont="1" applyFill="1" applyAlignment="1">
      <alignment horizontal="center"/>
    </xf>
    <xf numFmtId="0" fontId="24" fillId="0" borderId="0" xfId="125" applyFont="1" applyAlignment="1">
      <alignment horizontal="center" vertical="center" wrapText="1"/>
    </xf>
    <xf numFmtId="0" fontId="23" fillId="0" borderId="0" xfId="125" quotePrefix="1" applyFont="1" applyAlignment="1">
      <alignment horizontal="center"/>
    </xf>
    <xf numFmtId="0" fontId="23" fillId="0" borderId="0" xfId="125" applyFont="1" applyFill="1" applyAlignment="1">
      <alignment horizontal="center"/>
    </xf>
    <xf numFmtId="174" fontId="23" fillId="0" borderId="0" xfId="125" quotePrefix="1" applyNumberFormat="1" applyFill="1" applyAlignment="1">
      <alignment horizontal="center"/>
    </xf>
    <xf numFmtId="164" fontId="23" fillId="0" borderId="0" xfId="125" quotePrefix="1" applyNumberFormat="1" applyFill="1" applyAlignment="1">
      <alignment horizontal="center"/>
    </xf>
    <xf numFmtId="164" fontId="23" fillId="0" borderId="0" xfId="125" applyNumberFormat="1" applyAlignment="1">
      <alignment horizontal="right"/>
    </xf>
    <xf numFmtId="166" fontId="23" fillId="0" borderId="17" xfId="125" quotePrefix="1" applyNumberFormat="1" applyFill="1" applyBorder="1" applyAlignment="1">
      <alignment horizontal="center"/>
    </xf>
    <xf numFmtId="166" fontId="23" fillId="0" borderId="18" xfId="125" applyNumberFormat="1" applyFill="1" applyBorder="1" applyAlignment="1">
      <alignment horizontal="center"/>
    </xf>
    <xf numFmtId="166" fontId="23" fillId="0" borderId="0" xfId="125" quotePrefix="1" applyNumberFormat="1" applyFill="1" applyAlignment="1">
      <alignment horizontal="center"/>
    </xf>
    <xf numFmtId="166" fontId="23" fillId="0" borderId="0" xfId="125" applyNumberFormat="1" applyFill="1" applyAlignment="1">
      <alignment horizontal="center"/>
    </xf>
    <xf numFmtId="164" fontId="23" fillId="0" borderId="0" xfId="125" applyNumberFormat="1" applyBorder="1" applyAlignment="1">
      <alignment horizontal="right"/>
    </xf>
    <xf numFmtId="174" fontId="23" fillId="0" borderId="0" xfId="125" applyNumberFormat="1" applyFill="1" applyAlignment="1">
      <alignment horizontal="center"/>
    </xf>
    <xf numFmtId="166" fontId="23" fillId="0" borderId="17" xfId="125" applyNumberFormat="1" applyFill="1" applyBorder="1" applyAlignment="1">
      <alignment horizontal="center"/>
    </xf>
    <xf numFmtId="164" fontId="23" fillId="0" borderId="0" xfId="125" applyNumberFormat="1" applyBorder="1"/>
    <xf numFmtId="0" fontId="27" fillId="0" borderId="0" xfId="125" applyFont="1"/>
    <xf numFmtId="0" fontId="23" fillId="0" borderId="0" xfId="125" applyFont="1" applyFill="1"/>
    <xf numFmtId="0" fontId="23" fillId="0" borderId="0" xfId="125" applyAlignment="1">
      <alignment horizontal="left"/>
    </xf>
    <xf numFmtId="0" fontId="24" fillId="0" borderId="6" xfId="125" applyFont="1" applyFill="1" applyBorder="1"/>
    <xf numFmtId="0" fontId="23" fillId="0" borderId="9" xfId="125" applyFont="1" applyFill="1" applyBorder="1"/>
    <xf numFmtId="0" fontId="23" fillId="0" borderId="4" xfId="125" applyFont="1" applyFill="1" applyBorder="1"/>
    <xf numFmtId="0" fontId="23" fillId="36" borderId="0" xfId="125" applyFont="1" applyFill="1"/>
    <xf numFmtId="0" fontId="23" fillId="36" borderId="0" xfId="125" applyFill="1"/>
    <xf numFmtId="0" fontId="27" fillId="0" borderId="0" xfId="125" quotePrefix="1" applyFont="1" applyFill="1" applyAlignment="1">
      <alignment horizontal="center"/>
    </xf>
    <xf numFmtId="0" fontId="24" fillId="0" borderId="0" xfId="125" applyFont="1" applyAlignment="1">
      <alignment horizontal="center" vertical="center"/>
    </xf>
    <xf numFmtId="0" fontId="27" fillId="0" borderId="0" xfId="125" quotePrefix="1" applyFont="1" applyFill="1" applyAlignment="1">
      <alignment horizontal="center" vertical="center" wrapText="1"/>
    </xf>
    <xf numFmtId="0" fontId="23" fillId="0" borderId="0" xfId="125" applyAlignment="1">
      <alignment wrapText="1"/>
    </xf>
    <xf numFmtId="0" fontId="27" fillId="0" borderId="0" xfId="125" quotePrefix="1" applyFont="1" applyAlignment="1">
      <alignment horizontal="center" wrapText="1"/>
    </xf>
    <xf numFmtId="0" fontId="23" fillId="0" borderId="0" xfId="125" quotePrefix="1" applyFont="1" applyAlignment="1">
      <alignment horizontal="center" vertical="top" wrapText="1"/>
    </xf>
    <xf numFmtId="0" fontId="27" fillId="0" borderId="0" xfId="125" quotePrefix="1" applyFont="1" applyFill="1" applyAlignment="1">
      <alignment horizontal="center" wrapText="1"/>
    </xf>
    <xf numFmtId="0" fontId="23" fillId="0" borderId="7" xfId="125" applyFill="1" applyBorder="1"/>
    <xf numFmtId="0" fontId="24" fillId="34" borderId="7" xfId="125" applyFont="1" applyFill="1" applyBorder="1" applyAlignment="1">
      <alignment horizontal="center" wrapText="1"/>
    </xf>
    <xf numFmtId="0" fontId="23" fillId="0" borderId="7" xfId="125" applyBorder="1"/>
    <xf numFmtId="0" fontId="27" fillId="0" borderId="7" xfId="125" quotePrefix="1" applyFont="1" applyBorder="1" applyAlignment="1">
      <alignment horizontal="center"/>
    </xf>
    <xf numFmtId="0" fontId="24" fillId="0" borderId="5" xfId="125" applyFont="1" applyFill="1" applyBorder="1" applyAlignment="1">
      <alignment horizontal="center" wrapText="1"/>
    </xf>
    <xf numFmtId="0" fontId="24" fillId="34" borderId="11" xfId="125" applyFont="1" applyFill="1" applyBorder="1" applyAlignment="1">
      <alignment horizontal="center" wrapText="1"/>
    </xf>
    <xf numFmtId="0" fontId="24" fillId="34" borderId="10" xfId="125" applyFont="1" applyFill="1" applyBorder="1" applyAlignment="1">
      <alignment horizontal="center" wrapText="1"/>
    </xf>
    <xf numFmtId="0" fontId="24" fillId="34" borderId="5" xfId="125" applyFont="1" applyFill="1" applyBorder="1" applyAlignment="1">
      <alignment horizontal="center" wrapText="1"/>
    </xf>
    <xf numFmtId="3" fontId="23" fillId="0" borderId="0" xfId="125" applyNumberFormat="1"/>
    <xf numFmtId="2" fontId="23" fillId="0" borderId="0" xfId="125" applyNumberFormat="1" applyFont="1" applyBorder="1"/>
    <xf numFmtId="164" fontId="56" fillId="0" borderId="0" xfId="134" applyNumberFormat="1" applyFont="1" applyFill="1"/>
    <xf numFmtId="164" fontId="77" fillId="0" borderId="0" xfId="134" applyNumberFormat="1" applyFont="1" applyFill="1"/>
    <xf numFmtId="164" fontId="30" fillId="0" borderId="0" xfId="0" applyNumberFormat="1" applyFont="1" applyFill="1" applyBorder="1"/>
    <xf numFmtId="0" fontId="25" fillId="0" borderId="0" xfId="0" applyFont="1" applyFill="1" applyAlignment="1">
      <alignment horizontal="center"/>
    </xf>
    <xf numFmtId="164" fontId="61" fillId="0" borderId="0" xfId="134" applyNumberFormat="1" applyFont="1" applyFill="1"/>
    <xf numFmtId="0" fontId="24" fillId="0" borderId="3" xfId="28" applyFont="1" applyFill="1" applyBorder="1" applyAlignment="1">
      <alignment horizontal="center"/>
    </xf>
    <xf numFmtId="0" fontId="23" fillId="0" borderId="0" xfId="28" applyNumberFormat="1" applyFont="1" applyFill="1" applyAlignment="1">
      <alignment horizontal="center" vertical="center"/>
    </xf>
    <xf numFmtId="167" fontId="23" fillId="0" borderId="0" xfId="28" applyNumberFormat="1" applyFont="1" applyFill="1"/>
    <xf numFmtId="43" fontId="23" fillId="0" borderId="0" xfId="0" applyNumberFormat="1" applyFont="1"/>
    <xf numFmtId="0" fontId="23" fillId="0" borderId="0" xfId="0" applyNumberFormat="1" applyFont="1"/>
    <xf numFmtId="0" fontId="23" fillId="0" borderId="0" xfId="28" applyFont="1" applyAlignment="1">
      <alignment horizontal="center"/>
    </xf>
    <xf numFmtId="167" fontId="23" fillId="0" borderId="0" xfId="22" applyNumberFormat="1" applyFont="1"/>
    <xf numFmtId="167" fontId="23" fillId="0" borderId="0" xfId="28" applyNumberFormat="1" applyFont="1"/>
    <xf numFmtId="164" fontId="23" fillId="0" borderId="0" xfId="28" applyNumberFormat="1" applyFont="1" applyFill="1" applyBorder="1"/>
    <xf numFmtId="0" fontId="23" fillId="36" borderId="0" xfId="22" applyNumberFormat="1" applyFont="1" applyFill="1" applyBorder="1" applyAlignment="1">
      <alignment horizontal="center"/>
    </xf>
    <xf numFmtId="164" fontId="23" fillId="0" borderId="0" xfId="28" applyNumberFormat="1" applyFont="1" applyBorder="1" applyAlignment="1">
      <alignment horizontal="center"/>
    </xf>
    <xf numFmtId="0" fontId="23" fillId="36" borderId="0" xfId="22" applyNumberFormat="1" applyFont="1" applyFill="1" applyBorder="1" applyAlignment="1" applyProtection="1">
      <alignment horizontal="center"/>
      <protection locked="0"/>
    </xf>
    <xf numFmtId="164" fontId="23" fillId="0" borderId="0" xfId="28" applyNumberFormat="1" applyFont="1" applyFill="1" applyBorder="1" applyAlignment="1">
      <alignment horizontal="center"/>
    </xf>
    <xf numFmtId="0" fontId="23" fillId="36" borderId="0" xfId="28" applyFont="1" applyFill="1"/>
    <xf numFmtId="0" fontId="23" fillId="36" borderId="0" xfId="28" applyNumberFormat="1" applyFont="1" applyFill="1"/>
    <xf numFmtId="167" fontId="23" fillId="36" borderId="0" xfId="28" quotePrefix="1" applyNumberFormat="1" applyFont="1" applyFill="1" applyBorder="1" applyAlignment="1">
      <alignment horizontal="center"/>
    </xf>
    <xf numFmtId="167" fontId="23" fillId="0" borderId="8" xfId="28" applyNumberFormat="1" applyFont="1" applyBorder="1" applyAlignment="1">
      <alignment horizontal="center"/>
    </xf>
    <xf numFmtId="5" fontId="23" fillId="0" borderId="8" xfId="28" quotePrefix="1" applyNumberFormat="1" applyFont="1" applyFill="1" applyBorder="1" applyAlignment="1">
      <alignment horizontal="right"/>
    </xf>
    <xf numFmtId="164" fontId="23" fillId="0" borderId="0" xfId="22" applyNumberFormat="1" applyFont="1" applyFill="1" applyBorder="1"/>
    <xf numFmtId="164" fontId="23" fillId="0" borderId="0" xfId="22" applyNumberFormat="1" applyFont="1" applyFill="1" applyBorder="1" applyAlignment="1">
      <alignment horizontal="center"/>
    </xf>
    <xf numFmtId="0" fontId="23" fillId="0" borderId="0" xfId="28" applyFont="1" applyFill="1" applyBorder="1"/>
    <xf numFmtId="167" fontId="23" fillId="0" borderId="0" xfId="22" applyNumberFormat="1" applyFont="1" applyFill="1" applyBorder="1"/>
    <xf numFmtId="0" fontId="23" fillId="0" borderId="0" xfId="22" applyNumberFormat="1" applyFont="1" applyFill="1" applyBorder="1" applyAlignment="1">
      <alignment horizontal="center"/>
    </xf>
    <xf numFmtId="167" fontId="23" fillId="0" borderId="0" xfId="28" applyNumberFormat="1" applyFont="1" applyBorder="1" applyAlignment="1">
      <alignment horizontal="center"/>
    </xf>
    <xf numFmtId="167" fontId="23" fillId="0" borderId="0" xfId="22" applyNumberFormat="1" applyFont="1" applyBorder="1"/>
    <xf numFmtId="167" fontId="23" fillId="0" borderId="0" xfId="22" applyNumberFormat="1" applyFont="1" applyFill="1" applyBorder="1" applyAlignment="1">
      <alignment horizontal="center"/>
    </xf>
    <xf numFmtId="167" fontId="23" fillId="0" borderId="0" xfId="28" applyNumberFormat="1" applyFont="1" applyFill="1" applyBorder="1"/>
    <xf numFmtId="164" fontId="23" fillId="36" borderId="0" xfId="28" applyNumberFormat="1" applyFont="1" applyFill="1" applyBorder="1"/>
    <xf numFmtId="167" fontId="23" fillId="0" borderId="8" xfId="28" quotePrefix="1" applyNumberFormat="1" applyFont="1" applyFill="1" applyBorder="1" applyAlignment="1">
      <alignment horizontal="center"/>
    </xf>
    <xf numFmtId="0" fontId="23" fillId="0" borderId="0" xfId="22" applyNumberFormat="1" applyFont="1" applyFill="1" applyBorder="1"/>
    <xf numFmtId="0" fontId="23" fillId="0" borderId="0" xfId="28" applyNumberFormat="1" applyFont="1" applyFill="1" applyBorder="1"/>
    <xf numFmtId="0" fontId="23" fillId="0" borderId="0" xfId="28" applyFont="1" applyBorder="1" applyAlignment="1">
      <alignment horizontal="center"/>
    </xf>
    <xf numFmtId="164" fontId="23" fillId="36" borderId="0" xfId="28" applyNumberFormat="1" applyFont="1" applyFill="1" applyBorder="1" applyAlignment="1">
      <alignment vertical="top" wrapText="1"/>
    </xf>
    <xf numFmtId="167" fontId="23" fillId="0" borderId="0" xfId="28" applyNumberFormat="1" applyFont="1" applyFill="1" applyBorder="1" applyAlignment="1"/>
    <xf numFmtId="167" fontId="23" fillId="0" borderId="0" xfId="22" applyNumberFormat="1" applyFont="1" applyFill="1" applyBorder="1" applyAlignment="1">
      <alignment horizontal="center" wrapText="1"/>
    </xf>
    <xf numFmtId="0" fontId="23" fillId="0" borderId="0" xfId="0" quotePrefix="1" applyFont="1" applyFill="1" applyAlignment="1"/>
    <xf numFmtId="171" fontId="23" fillId="0" borderId="8" xfId="36" applyNumberFormat="1" applyFont="1" applyFill="1" applyBorder="1" applyAlignment="1">
      <alignment horizontal="center" wrapText="1"/>
    </xf>
    <xf numFmtId="167" fontId="23" fillId="0" borderId="8" xfId="22" applyNumberFormat="1" applyFont="1" applyFill="1" applyBorder="1" applyAlignment="1">
      <alignment horizontal="center" wrapText="1"/>
    </xf>
    <xf numFmtId="0" fontId="23" fillId="0" borderId="0" xfId="38" applyNumberFormat="1" applyFont="1" applyFill="1" applyBorder="1" applyAlignment="1">
      <alignment horizontal="center" wrapText="1"/>
    </xf>
    <xf numFmtId="171" fontId="23" fillId="0" borderId="0" xfId="38" applyNumberFormat="1" applyFont="1" applyFill="1" applyBorder="1" applyAlignment="1">
      <alignment horizontal="center" wrapText="1"/>
    </xf>
    <xf numFmtId="0" fontId="23" fillId="0" borderId="0" xfId="28" applyFont="1" applyAlignment="1">
      <alignment vertical="justify"/>
    </xf>
    <xf numFmtId="0" fontId="23" fillId="0" borderId="0" xfId="28" applyNumberFormat="1" applyFont="1" applyFill="1"/>
    <xf numFmtId="0" fontId="23" fillId="0" borderId="0" xfId="28" applyFont="1" applyFill="1" applyBorder="1" applyAlignment="1">
      <alignment vertical="top"/>
    </xf>
    <xf numFmtId="0" fontId="23" fillId="0" borderId="0" xfId="28" applyFont="1" applyFill="1" applyAlignment="1">
      <alignment horizontal="center"/>
    </xf>
    <xf numFmtId="167" fontId="23" fillId="0" borderId="0" xfId="22" applyNumberFormat="1" applyFont="1" applyFill="1"/>
    <xf numFmtId="0" fontId="23" fillId="0" borderId="0" xfId="28" applyFont="1" applyFill="1" applyBorder="1" applyAlignment="1">
      <alignment vertical="top" wrapText="1"/>
    </xf>
    <xf numFmtId="0" fontId="23" fillId="0" borderId="0" xfId="28" applyFont="1" applyFill="1" applyBorder="1" applyAlignment="1" applyProtection="1">
      <alignment horizontal="left" vertical="top" indent="1"/>
      <protection locked="0"/>
    </xf>
    <xf numFmtId="0" fontId="23" fillId="36" borderId="0" xfId="28" applyFont="1" applyFill="1" applyBorder="1" applyAlignment="1" applyProtection="1">
      <alignment horizontal="left" indent="1"/>
      <protection locked="0"/>
    </xf>
    <xf numFmtId="0" fontId="23" fillId="36" borderId="0" xfId="28" applyFont="1" applyFill="1" applyAlignment="1">
      <alignment horizontal="center"/>
    </xf>
    <xf numFmtId="167" fontId="23" fillId="36" borderId="0" xfId="22" applyNumberFormat="1" applyFont="1" applyFill="1"/>
    <xf numFmtId="0" fontId="23" fillId="0" borderId="0" xfId="28" applyFont="1" applyFill="1" applyAlignment="1">
      <alignment horizontal="left" indent="1"/>
    </xf>
    <xf numFmtId="165" fontId="23" fillId="0" borderId="0" xfId="28" applyNumberFormat="1" applyFont="1" applyFill="1"/>
    <xf numFmtId="0" fontId="27" fillId="0" borderId="0" xfId="0" applyFont="1" applyFill="1"/>
    <xf numFmtId="0" fontId="78" fillId="0" borderId="0" xfId="0" applyFont="1" applyAlignment="1">
      <alignment horizontal="center"/>
    </xf>
    <xf numFmtId="10" fontId="23" fillId="0" borderId="0" xfId="0" applyNumberFormat="1" applyFont="1"/>
    <xf numFmtId="0" fontId="23" fillId="36" borderId="0" xfId="28" applyNumberFormat="1" applyFont="1" applyFill="1" applyAlignment="1">
      <alignment horizontal="center"/>
    </xf>
    <xf numFmtId="0" fontId="24" fillId="0" borderId="3" xfId="28" applyFont="1" applyFill="1" applyBorder="1" applyAlignment="1">
      <alignment horizontal="center"/>
    </xf>
    <xf numFmtId="0" fontId="26" fillId="0" borderId="6" xfId="0" applyFont="1" applyFill="1" applyBorder="1" applyAlignment="1">
      <alignment horizontal="left"/>
    </xf>
    <xf numFmtId="0" fontId="23" fillId="36" borderId="0" xfId="99" applyFill="1" applyAlignment="1">
      <alignment horizontal="center"/>
    </xf>
    <xf numFmtId="0" fontId="32" fillId="0" borderId="0" xfId="27" applyFill="1" applyAlignment="1" applyProtection="1"/>
    <xf numFmtId="0" fontId="0" fillId="0" borderId="0" xfId="0" applyFill="1" applyAlignment="1">
      <alignment horizontal="center"/>
    </xf>
    <xf numFmtId="0" fontId="0" fillId="0" borderId="0" xfId="0" applyFill="1" applyAlignment="1">
      <alignment horizontal="left"/>
    </xf>
    <xf numFmtId="0" fontId="23" fillId="0" borderId="0" xfId="0" applyFont="1" applyFill="1" applyAlignment="1">
      <alignment horizontal="left"/>
    </xf>
    <xf numFmtId="0" fontId="23" fillId="0" borderId="0" xfId="0" applyFont="1" applyFill="1" applyAlignment="1">
      <alignment horizontal="right"/>
    </xf>
    <xf numFmtId="0" fontId="23" fillId="0" borderId="0" xfId="0" quotePrefix="1" applyFont="1" applyFill="1" applyAlignment="1">
      <alignment horizontal="right"/>
    </xf>
    <xf numFmtId="168" fontId="0" fillId="0" borderId="0" xfId="0" applyNumberFormat="1" applyFill="1"/>
    <xf numFmtId="0" fontId="23" fillId="0" borderId="0" xfId="0" applyFont="1" applyFill="1" applyAlignment="1">
      <alignment horizontal="left" indent="2"/>
    </xf>
    <xf numFmtId="0" fontId="23" fillId="0" borderId="0" xfId="0" quotePrefix="1" applyFont="1" applyFill="1" applyAlignment="1">
      <alignment horizontal="left" indent="2"/>
    </xf>
    <xf numFmtId="0" fontId="23" fillId="0" borderId="0" xfId="0" applyFont="1" applyFill="1" applyAlignment="1">
      <alignment horizontal="left" indent="3"/>
    </xf>
    <xf numFmtId="0" fontId="26" fillId="0" borderId="0" xfId="0" applyFont="1" applyFill="1" applyAlignment="1">
      <alignment horizontal="left" indent="4"/>
    </xf>
    <xf numFmtId="0" fontId="57" fillId="0" borderId="0" xfId="0" applyFont="1" applyFill="1" applyAlignment="1">
      <alignment horizontal="left"/>
    </xf>
    <xf numFmtId="0" fontId="26" fillId="0" borderId="0" xfId="0" quotePrefix="1" applyFont="1" applyFill="1" applyAlignment="1">
      <alignment horizontal="left" indent="2"/>
    </xf>
    <xf numFmtId="0" fontId="23" fillId="0" borderId="0" xfId="0" quotePrefix="1" applyFont="1" applyFill="1" applyAlignment="1">
      <alignment horizontal="left" indent="1"/>
    </xf>
    <xf numFmtId="0" fontId="30" fillId="0" borderId="0" xfId="0" applyFont="1" applyFill="1" applyAlignment="1">
      <alignment horizontal="left"/>
    </xf>
    <xf numFmtId="0" fontId="26" fillId="0" borderId="0" xfId="28" applyFont="1" applyFill="1" applyBorder="1" applyAlignment="1">
      <alignment horizontal="left" indent="1"/>
    </xf>
    <xf numFmtId="0" fontId="24" fillId="0" borderId="0" xfId="0" applyNumberFormat="1" applyFont="1" applyFill="1" applyAlignment="1">
      <alignment horizontal="left"/>
    </xf>
    <xf numFmtId="0" fontId="23" fillId="0" borderId="0" xfId="0" applyFont="1" applyFill="1" applyAlignment="1"/>
    <xf numFmtId="0" fontId="24" fillId="0" borderId="0" xfId="0" quotePrefix="1" applyFont="1" applyFill="1" applyAlignment="1">
      <alignment horizontal="center"/>
    </xf>
    <xf numFmtId="10" fontId="23" fillId="0" borderId="0" xfId="0" quotePrefix="1" applyNumberFormat="1" applyFont="1" applyFill="1" applyAlignment="1">
      <alignment horizontal="right"/>
    </xf>
    <xf numFmtId="3" fontId="0" fillId="0" borderId="0" xfId="0" applyNumberFormat="1" applyFill="1" applyAlignment="1">
      <alignment horizontal="center"/>
    </xf>
    <xf numFmtId="0" fontId="56" fillId="0" borderId="0" xfId="0" applyFont="1" applyFill="1"/>
    <xf numFmtId="164" fontId="56" fillId="0" borderId="0" xfId="0" applyNumberFormat="1" applyFont="1" applyFill="1" applyBorder="1"/>
    <xf numFmtId="0" fontId="58" fillId="36" borderId="0" xfId="0" quotePrefix="1" applyFont="1" applyFill="1" applyAlignment="1">
      <alignment horizontal="center"/>
    </xf>
    <xf numFmtId="0" fontId="57" fillId="0" borderId="0" xfId="0" applyFont="1" applyFill="1" applyAlignment="1">
      <alignment horizontal="right"/>
    </xf>
    <xf numFmtId="0" fontId="70" fillId="0" borderId="0" xfId="0" applyFont="1" applyFill="1" applyAlignment="1">
      <alignment horizontal="left" vertical="center"/>
    </xf>
    <xf numFmtId="0" fontId="24" fillId="0" borderId="0" xfId="34" applyFont="1" applyFill="1"/>
    <xf numFmtId="0" fontId="26" fillId="0" borderId="0" xfId="34" applyFont="1" applyFill="1"/>
    <xf numFmtId="0" fontId="23" fillId="0" borderId="0" xfId="34" applyFont="1" applyFill="1" applyAlignment="1">
      <alignment horizontal="right"/>
    </xf>
    <xf numFmtId="0" fontId="59" fillId="0" borderId="0" xfId="0" applyFont="1" applyFill="1" applyAlignment="1">
      <alignment horizontal="left" indent="1"/>
    </xf>
    <xf numFmtId="0" fontId="23" fillId="0" borderId="0" xfId="99" applyFont="1" applyFill="1" applyAlignment="1">
      <alignment horizontal="left" indent="1"/>
    </xf>
    <xf numFmtId="0" fontId="58" fillId="0" borderId="0" xfId="0" applyFont="1" applyFill="1"/>
    <xf numFmtId="0" fontId="57" fillId="0" borderId="0" xfId="0" quotePrefix="1" applyFont="1" applyFill="1" applyAlignment="1">
      <alignment horizontal="center"/>
    </xf>
    <xf numFmtId="0" fontId="23" fillId="0" borderId="0" xfId="0" applyFont="1" applyFill="1" applyBorder="1" applyAlignment="1">
      <alignment horizontal="left" indent="1"/>
    </xf>
    <xf numFmtId="0" fontId="63" fillId="0" borderId="0" xfId="0" applyFont="1" applyFill="1"/>
    <xf numFmtId="0" fontId="63" fillId="0" borderId="0" xfId="0" applyFont="1" applyFill="1" applyAlignment="1">
      <alignment horizontal="left" indent="1"/>
    </xf>
    <xf numFmtId="0" fontId="67" fillId="0" borderId="0" xfId="0" applyFont="1" applyFill="1"/>
    <xf numFmtId="164" fontId="63" fillId="0" borderId="0" xfId="0" applyNumberFormat="1" applyFont="1" applyFill="1"/>
    <xf numFmtId="0" fontId="0" fillId="0" borderId="0" xfId="0" quotePrefix="1" applyFill="1"/>
    <xf numFmtId="0" fontId="23" fillId="0" borderId="0" xfId="99" applyFont="1" applyFill="1" applyBorder="1" applyAlignment="1"/>
    <xf numFmtId="0" fontId="26" fillId="0" borderId="0" xfId="28" applyFont="1" applyFill="1" applyBorder="1" applyAlignment="1">
      <alignment horizontal="right"/>
    </xf>
    <xf numFmtId="164" fontId="0" fillId="0" borderId="0" xfId="0" applyNumberFormat="1" applyFill="1" applyAlignment="1">
      <alignment horizontal="right"/>
    </xf>
    <xf numFmtId="2" fontId="0" fillId="0" borderId="0" xfId="0" applyNumberFormat="1" applyFill="1"/>
    <xf numFmtId="164" fontId="24" fillId="0" borderId="0" xfId="99" applyNumberFormat="1" applyFont="1" applyFill="1"/>
    <xf numFmtId="0" fontId="23" fillId="0" borderId="0" xfId="99" applyNumberFormat="1" applyFont="1" applyFill="1" applyAlignment="1">
      <alignment horizontal="center"/>
    </xf>
    <xf numFmtId="10" fontId="23" fillId="0" borderId="0" xfId="36" applyNumberFormat="1" applyFont="1" applyFill="1" applyAlignment="1">
      <alignment horizontal="center"/>
    </xf>
    <xf numFmtId="5" fontId="23" fillId="0" borderId="0" xfId="99" applyNumberFormat="1" applyFill="1"/>
    <xf numFmtId="0" fontId="23" fillId="0" borderId="0" xfId="99" quotePrefix="1" applyFill="1"/>
    <xf numFmtId="166" fontId="57" fillId="0" borderId="0" xfId="0" applyNumberFormat="1" applyFont="1" applyFill="1"/>
    <xf numFmtId="0" fontId="27" fillId="0" borderId="0" xfId="0" quotePrefix="1" applyFont="1" applyFill="1" applyAlignment="1">
      <alignment horizontal="center" vertical="top"/>
    </xf>
    <xf numFmtId="0" fontId="24" fillId="0" borderId="7" xfId="28" applyFont="1" applyFill="1" applyBorder="1" applyAlignment="1">
      <alignment horizontal="center"/>
    </xf>
    <xf numFmtId="0" fontId="23" fillId="0" borderId="0" xfId="28" quotePrefix="1" applyFont="1" applyFill="1"/>
    <xf numFmtId="0" fontId="24" fillId="0" borderId="0" xfId="0" applyFont="1" applyFill="1" applyAlignment="1">
      <alignment horizontal="center" vertical="justify"/>
    </xf>
    <xf numFmtId="0" fontId="23" fillId="0" borderId="0" xfId="28" applyFont="1" applyFill="1" applyBorder="1" applyAlignment="1" applyProtection="1">
      <alignment horizontal="left" indent="2"/>
      <protection locked="0"/>
    </xf>
    <xf numFmtId="0" fontId="23" fillId="0" borderId="0" xfId="28" applyFont="1" applyFill="1" applyAlignment="1">
      <alignment horizontal="right"/>
    </xf>
    <xf numFmtId="10" fontId="23" fillId="0" borderId="0" xfId="28" applyNumberFormat="1" applyFont="1" applyFill="1"/>
    <xf numFmtId="0" fontId="30" fillId="0" borderId="0" xfId="28" applyFont="1" applyFill="1" applyAlignment="1">
      <alignment horizontal="center"/>
    </xf>
    <xf numFmtId="0" fontId="23" fillId="0" borderId="0" xfId="28" applyFont="1" applyFill="1" applyAlignment="1">
      <alignment horizontal="left" indent="2"/>
    </xf>
    <xf numFmtId="171" fontId="23" fillId="0" borderId="0" xfId="28" applyNumberFormat="1" applyFont="1" applyFill="1"/>
    <xf numFmtId="0" fontId="23" fillId="0" borderId="0" xfId="28" applyFont="1" applyFill="1" applyAlignment="1">
      <alignment horizontal="left" indent="3"/>
    </xf>
    <xf numFmtId="171" fontId="23" fillId="0" borderId="0" xfId="38" applyNumberFormat="1" applyFont="1" applyFill="1" applyBorder="1" applyAlignment="1">
      <alignment horizontal="center"/>
    </xf>
    <xf numFmtId="10" fontId="23" fillId="0" borderId="0" xfId="38" applyNumberFormat="1" applyFont="1" applyFill="1" applyAlignment="1">
      <alignment horizontal="center"/>
    </xf>
    <xf numFmtId="10" fontId="23" fillId="0" borderId="0" xfId="38" applyNumberFormat="1" applyFont="1" applyFill="1" applyBorder="1" applyAlignment="1">
      <alignment horizontal="center" vertical="justify" wrapText="1"/>
    </xf>
    <xf numFmtId="10" fontId="23" fillId="0" borderId="8" xfId="38" applyNumberFormat="1" applyFont="1" applyFill="1" applyBorder="1" applyAlignment="1">
      <alignment horizontal="center" wrapText="1"/>
    </xf>
    <xf numFmtId="165" fontId="31" fillId="0" borderId="0" xfId="0" applyNumberFormat="1" applyFont="1" applyFill="1"/>
    <xf numFmtId="0" fontId="69" fillId="0" borderId="0" xfId="0" applyFont="1" applyFill="1"/>
    <xf numFmtId="0" fontId="23" fillId="0" borderId="0" xfId="99" applyFont="1" applyFill="1" applyAlignment="1">
      <alignment horizontal="left" indent="2"/>
    </xf>
    <xf numFmtId="0" fontId="23" fillId="0" borderId="0" xfId="99" applyFont="1" applyFill="1" applyAlignment="1">
      <alignment horizontal="left"/>
    </xf>
    <xf numFmtId="0" fontId="23" fillId="0" borderId="3" xfId="0" quotePrefix="1" applyNumberFormat="1" applyFont="1" applyFill="1" applyBorder="1"/>
    <xf numFmtId="0" fontId="23" fillId="0" borderId="3" xfId="0" quotePrefix="1" applyNumberFormat="1" applyFont="1" applyFill="1" applyBorder="1" applyAlignment="1">
      <alignment horizontal="center"/>
    </xf>
    <xf numFmtId="0" fontId="26" fillId="0" borderId="4" xfId="0" applyFont="1" applyFill="1" applyBorder="1" applyAlignment="1">
      <alignment horizontal="left"/>
    </xf>
    <xf numFmtId="49" fontId="23" fillId="0" borderId="0" xfId="22" applyNumberFormat="1" applyFont="1" applyFill="1" applyBorder="1" applyAlignment="1">
      <alignment horizontal="left"/>
    </xf>
    <xf numFmtId="49" fontId="26" fillId="0" borderId="0" xfId="22" quotePrefix="1" applyNumberFormat="1" applyFont="1" applyFill="1" applyBorder="1" applyAlignment="1">
      <alignment horizontal="left"/>
    </xf>
    <xf numFmtId="49" fontId="26" fillId="0" borderId="0" xfId="22" applyNumberFormat="1" applyFont="1" applyFill="1" applyBorder="1" applyAlignment="1">
      <alignment horizontal="left"/>
    </xf>
    <xf numFmtId="49" fontId="26" fillId="0" borderId="0" xfId="0" applyNumberFormat="1" applyFont="1" applyFill="1" applyBorder="1" applyAlignment="1">
      <alignment horizontal="left"/>
    </xf>
    <xf numFmtId="177" fontId="26" fillId="0" borderId="0" xfId="22" applyNumberFormat="1" applyFont="1" applyFill="1" applyBorder="1" applyAlignment="1">
      <alignment horizontal="center"/>
    </xf>
    <xf numFmtId="39" fontId="23" fillId="0" borderId="0" xfId="22" applyNumberFormat="1" applyFont="1" applyFill="1" applyBorder="1" applyAlignment="1">
      <alignment horizontal="right"/>
    </xf>
    <xf numFmtId="0" fontId="27" fillId="0" borderId="0" xfId="107" applyFont="1" applyFill="1" applyAlignment="1">
      <alignment horizontal="center"/>
    </xf>
    <xf numFmtId="0" fontId="27" fillId="0" borderId="0" xfId="107" applyFont="1" applyFill="1" applyAlignment="1">
      <alignment horizontal="left"/>
    </xf>
    <xf numFmtId="0" fontId="55" fillId="0" borderId="0" xfId="0" applyFont="1" applyFill="1"/>
    <xf numFmtId="0" fontId="24" fillId="0" borderId="0" xfId="107" applyFont="1" applyFill="1" applyAlignment="1"/>
    <xf numFmtId="0" fontId="27" fillId="0" borderId="0" xfId="107" applyFont="1" applyFill="1" applyAlignment="1"/>
    <xf numFmtId="0" fontId="23" fillId="0" borderId="0" xfId="107" applyFont="1" applyFill="1" applyAlignment="1">
      <alignment horizontal="left" indent="1"/>
    </xf>
    <xf numFmtId="0" fontId="24" fillId="0" borderId="0" xfId="0" applyFont="1" applyFill="1" applyAlignment="1">
      <alignment horizontal="left" indent="2"/>
    </xf>
    <xf numFmtId="0" fontId="55" fillId="0" borderId="0" xfId="0" applyFont="1" applyFill="1" applyAlignment="1">
      <alignment horizontal="center"/>
    </xf>
    <xf numFmtId="0" fontId="58" fillId="0" borderId="0" xfId="0" applyFont="1" applyFill="1" applyAlignment="1">
      <alignment horizontal="left" indent="1"/>
    </xf>
    <xf numFmtId="0" fontId="57" fillId="0" borderId="0" xfId="0" quotePrefix="1" applyFont="1" applyFill="1"/>
    <xf numFmtId="0" fontId="24" fillId="0" borderId="0" xfId="0" applyFont="1" applyFill="1" applyAlignment="1">
      <alignment horizontal="left" indent="1"/>
    </xf>
    <xf numFmtId="164" fontId="23" fillId="0" borderId="0" xfId="0" applyNumberFormat="1" applyFont="1" applyFill="1" applyAlignment="1"/>
    <xf numFmtId="0" fontId="58" fillId="0" borderId="0" xfId="0" applyFont="1" applyFill="1" applyAlignment="1">
      <alignment horizontal="left"/>
    </xf>
    <xf numFmtId="168" fontId="23" fillId="0" borderId="0" xfId="0" applyNumberFormat="1" applyFont="1" applyFill="1" applyAlignment="1">
      <alignment horizontal="left" indent="1"/>
    </xf>
    <xf numFmtId="0" fontId="23" fillId="0" borderId="0" xfId="0" applyNumberFormat="1" applyFont="1" applyFill="1" applyAlignment="1">
      <alignment horizontal="left"/>
    </xf>
    <xf numFmtId="0" fontId="23" fillId="0" borderId="0" xfId="0" applyFont="1" applyFill="1" applyBorder="1" applyAlignment="1">
      <alignment horizontal="left"/>
    </xf>
    <xf numFmtId="172" fontId="0" fillId="0" borderId="0" xfId="0" applyNumberFormat="1" applyFill="1"/>
    <xf numFmtId="171" fontId="0" fillId="0" borderId="0" xfId="0" applyNumberFormat="1" applyFill="1"/>
    <xf numFmtId="0" fontId="27" fillId="0" borderId="0" xfId="0" applyFont="1" applyFill="1" applyAlignment="1"/>
    <xf numFmtId="173" fontId="0" fillId="0" borderId="0" xfId="0" applyNumberFormat="1" applyFill="1"/>
    <xf numFmtId="0" fontId="24" fillId="0" borderId="0" xfId="28" applyFont="1" applyFill="1" applyAlignment="1">
      <alignment horizontal="right" vertical="center"/>
    </xf>
    <xf numFmtId="0" fontId="24" fillId="0" borderId="0" xfId="28" applyFont="1" applyFill="1" applyAlignment="1">
      <alignment horizontal="right"/>
    </xf>
    <xf numFmtId="42" fontId="26" fillId="0" borderId="0" xfId="20" applyNumberFormat="1" applyFont="1" applyFill="1" applyBorder="1"/>
    <xf numFmtId="164" fontId="26" fillId="0" borderId="0" xfId="20" applyNumberFormat="1" applyFont="1" applyFill="1" applyBorder="1"/>
    <xf numFmtId="0" fontId="39" fillId="0" borderId="0" xfId="28" applyFont="1" applyFill="1" applyAlignment="1">
      <alignment vertical="center"/>
    </xf>
    <xf numFmtId="0" fontId="26" fillId="0" borderId="0" xfId="28" applyFont="1" applyFill="1" applyAlignment="1">
      <alignment vertical="center"/>
    </xf>
    <xf numFmtId="164" fontId="26" fillId="0" borderId="0" xfId="38" applyNumberFormat="1" applyFont="1" applyFill="1"/>
    <xf numFmtId="164" fontId="23" fillId="0" borderId="0" xfId="105" applyNumberFormat="1" applyFont="1" applyFill="1"/>
    <xf numFmtId="0" fontId="34" fillId="0" borderId="0" xfId="99" applyFont="1" applyFill="1"/>
    <xf numFmtId="42" fontId="26" fillId="0" borderId="0" xfId="38" applyNumberFormat="1" applyFont="1" applyFill="1"/>
    <xf numFmtId="42" fontId="26" fillId="0" borderId="0" xfId="28" applyNumberFormat="1" applyFont="1" applyFill="1"/>
    <xf numFmtId="0" fontId="24" fillId="0" borderId="0" xfId="28" applyFont="1" applyFill="1" applyAlignment="1">
      <alignment horizontal="center" wrapText="1"/>
    </xf>
    <xf numFmtId="0" fontId="27" fillId="0" borderId="0" xfId="28" applyFont="1" applyFill="1"/>
    <xf numFmtId="164" fontId="23" fillId="0" borderId="0" xfId="28" applyNumberFormat="1" applyFont="1" applyFill="1"/>
    <xf numFmtId="168" fontId="26" fillId="0" borderId="0" xfId="28" applyNumberFormat="1" applyFont="1" applyFill="1"/>
    <xf numFmtId="0" fontId="23" fillId="0" borderId="0" xfId="28" applyFont="1" applyFill="1" applyAlignment="1">
      <alignment vertical="center"/>
    </xf>
    <xf numFmtId="0" fontId="34" fillId="0" borderId="0" xfId="28" applyFont="1" applyFill="1"/>
    <xf numFmtId="164" fontId="23" fillId="36" borderId="0" xfId="124" applyNumberFormat="1" applyFill="1"/>
    <xf numFmtId="0" fontId="23" fillId="36" borderId="0" xfId="124" applyFill="1" applyAlignment="1">
      <alignment horizontal="center"/>
    </xf>
    <xf numFmtId="0" fontId="23" fillId="36" borderId="0" xfId="124" quotePrefix="1" applyFont="1" applyFill="1"/>
    <xf numFmtId="168" fontId="23" fillId="36" borderId="0" xfId="124" applyNumberFormat="1" applyFont="1" applyFill="1" applyAlignment="1">
      <alignment horizontal="left"/>
    </xf>
    <xf numFmtId="181" fontId="23" fillId="36" borderId="0" xfId="124" applyNumberFormat="1" applyFill="1" applyAlignment="1">
      <alignment horizontal="center"/>
    </xf>
    <xf numFmtId="0" fontId="23" fillId="36" borderId="0" xfId="124" applyFont="1" applyFill="1" applyAlignment="1">
      <alignment horizontal="center"/>
    </xf>
    <xf numFmtId="10" fontId="26" fillId="0" borderId="0" xfId="0" applyNumberFormat="1" applyFont="1" applyFill="1"/>
    <xf numFmtId="10" fontId="23" fillId="36" borderId="0" xfId="0" quotePrefix="1" applyNumberFormat="1" applyFont="1" applyFill="1" applyAlignment="1">
      <alignment horizontal="right"/>
    </xf>
    <xf numFmtId="17" fontId="23" fillId="36" borderId="0" xfId="28" quotePrefix="1" applyNumberFormat="1" applyFont="1" applyFill="1" applyBorder="1" applyAlignment="1">
      <alignment horizontal="left"/>
    </xf>
    <xf numFmtId="17" fontId="23" fillId="36" borderId="0" xfId="99" quotePrefix="1" applyNumberFormat="1" applyFont="1" applyFill="1" applyBorder="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23" fillId="36" borderId="0" xfId="0" quotePrefix="1" applyFont="1" applyFill="1"/>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0" fontId="0" fillId="36" borderId="0" xfId="0" applyFill="1" applyAlignment="1">
      <alignment horizontal="left"/>
    </xf>
    <xf numFmtId="10" fontId="0" fillId="36" borderId="0" xfId="0" applyNumberFormat="1" applyFill="1" applyAlignment="1">
      <alignment horizontal="left"/>
    </xf>
    <xf numFmtId="42" fontId="23" fillId="0" borderId="0" xfId="0" applyNumberFormat="1" applyFont="1"/>
    <xf numFmtId="164" fontId="23" fillId="36" borderId="0" xfId="0" applyNumberFormat="1" applyFont="1" applyFill="1" applyAlignment="1">
      <alignment wrapText="1"/>
    </xf>
    <xf numFmtId="164" fontId="23" fillId="36" borderId="0" xfId="19" applyNumberFormat="1" applyFont="1" applyFill="1" applyBorder="1" applyAlignment="1">
      <alignment wrapText="1"/>
    </xf>
    <xf numFmtId="167" fontId="57" fillId="36" borderId="0" xfId="132" applyNumberFormat="1" applyFont="1" applyFill="1"/>
    <xf numFmtId="167" fontId="57" fillId="36" borderId="0" xfId="132" applyNumberFormat="1" applyFont="1" applyFill="1" applyBorder="1"/>
    <xf numFmtId="3" fontId="23" fillId="36" borderId="0" xfId="125" applyNumberFormat="1" applyFill="1"/>
    <xf numFmtId="3" fontId="23" fillId="36" borderId="0" xfId="127" applyNumberFormat="1" applyFont="1" applyFill="1"/>
    <xf numFmtId="3" fontId="23" fillId="36" borderId="0" xfId="128" applyNumberFormat="1" applyFont="1" applyFill="1"/>
    <xf numFmtId="3" fontId="23" fillId="36" borderId="0" xfId="129" applyNumberFormat="1" applyFont="1" applyFill="1"/>
    <xf numFmtId="10" fontId="23" fillId="36" borderId="0" xfId="125" applyNumberFormat="1" applyFont="1" applyFill="1" applyBorder="1"/>
    <xf numFmtId="3" fontId="23" fillId="36" borderId="0" xfId="125" applyNumberFormat="1" applyFont="1" applyFill="1" applyBorder="1"/>
    <xf numFmtId="3" fontId="23" fillId="36" borderId="0" xfId="127" applyNumberFormat="1" applyFont="1" applyFill="1" applyBorder="1"/>
    <xf numFmtId="3" fontId="23" fillId="36" borderId="0" xfId="128" applyNumberFormat="1" applyFont="1" applyFill="1" applyBorder="1"/>
    <xf numFmtId="3" fontId="23" fillId="36" borderId="0" xfId="129" applyNumberFormat="1" applyFont="1" applyFill="1" applyBorder="1"/>
    <xf numFmtId="3" fontId="23" fillId="36" borderId="0" xfId="127" applyNumberFormat="1" applyFont="1" applyFill="1" applyAlignment="1">
      <alignment horizontal="center"/>
    </xf>
    <xf numFmtId="3" fontId="23" fillId="36" borderId="0" xfId="128" applyNumberFormat="1" applyFont="1" applyFill="1" applyAlignment="1">
      <alignment horizontal="center"/>
    </xf>
    <xf numFmtId="3" fontId="23" fillId="36" borderId="0" xfId="129" applyNumberFormat="1" applyFont="1" applyFill="1" applyAlignment="1">
      <alignment horizontal="center"/>
    </xf>
    <xf numFmtId="164" fontId="23" fillId="36" borderId="0" xfId="254" applyNumberFormat="1" applyFont="1" applyFill="1" applyAlignment="1">
      <alignment horizontal="right"/>
    </xf>
    <xf numFmtId="164" fontId="30" fillId="36" borderId="0" xfId="254" applyNumberFormat="1" applyFont="1" applyFill="1" applyAlignment="1">
      <alignment horizontal="right"/>
    </xf>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3" fontId="0" fillId="36" borderId="0" xfId="0" applyNumberFormat="1" applyFill="1"/>
    <xf numFmtId="170" fontId="23" fillId="36" borderId="0" xfId="99" applyNumberFormat="1" applyFont="1" applyFill="1" applyAlignment="1">
      <alignment horizontal="center"/>
    </xf>
    <xf numFmtId="170" fontId="23" fillId="36" borderId="0" xfId="99" applyNumberFormat="1" applyFont="1" applyFill="1" applyAlignment="1">
      <alignment horizontal="center"/>
    </xf>
    <xf numFmtId="0" fontId="23" fillId="36" borderId="0" xfId="99" applyFont="1" applyFill="1"/>
    <xf numFmtId="164" fontId="23" fillId="36" borderId="0" xfId="99" applyNumberFormat="1" applyFont="1" applyFill="1"/>
    <xf numFmtId="164" fontId="57" fillId="36" borderId="0" xfId="124" applyNumberFormat="1" applyFont="1" applyFill="1"/>
    <xf numFmtId="0" fontId="57" fillId="36" borderId="0" xfId="124" applyFont="1" applyFill="1"/>
    <xf numFmtId="0" fontId="0" fillId="0" borderId="0" xfId="0"/>
    <xf numFmtId="0" fontId="57" fillId="36" borderId="0" xfId="0" applyFont="1" applyFill="1"/>
    <xf numFmtId="164" fontId="57" fillId="36" borderId="0" xfId="124" applyNumberFormat="1" applyFont="1" applyFill="1"/>
    <xf numFmtId="0" fontId="57" fillId="36" borderId="0" xfId="124" applyFont="1" applyFill="1"/>
    <xf numFmtId="170" fontId="23" fillId="36" borderId="0" xfId="124" quotePrefix="1" applyNumberFormat="1" applyFont="1" applyFill="1" applyAlignment="1">
      <alignment horizontal="center"/>
    </xf>
    <xf numFmtId="0" fontId="23" fillId="36" borderId="0" xfId="124" applyFont="1" applyFill="1"/>
    <xf numFmtId="164" fontId="57" fillId="36" borderId="0" xfId="95" applyNumberFormat="1" applyFont="1" applyFill="1" applyBorder="1"/>
    <xf numFmtId="0" fontId="23" fillId="36" borderId="0" xfId="0" applyFont="1" applyFill="1"/>
    <xf numFmtId="0" fontId="24" fillId="36" borderId="0" xfId="0" applyFont="1" applyFill="1" applyAlignment="1">
      <alignment horizontal="center"/>
    </xf>
    <xf numFmtId="164" fontId="57" fillId="36" borderId="0" xfId="0" applyNumberFormat="1" applyFont="1" applyFill="1"/>
    <xf numFmtId="170" fontId="23" fillId="36" borderId="0" xfId="99" applyNumberFormat="1" applyFont="1" applyFill="1" applyAlignment="1">
      <alignment horizontal="center"/>
    </xf>
    <xf numFmtId="164" fontId="23" fillId="36" borderId="0" xfId="95" applyNumberFormat="1" applyFont="1" applyFill="1" applyBorder="1"/>
    <xf numFmtId="164" fontId="57" fillId="36" borderId="0" xfId="124" applyNumberFormat="1" applyFont="1" applyFill="1"/>
    <xf numFmtId="0" fontId="57" fillId="36" borderId="0" xfId="124" applyFont="1" applyFill="1"/>
    <xf numFmtId="170" fontId="23" fillId="36" borderId="0" xfId="124" quotePrefix="1" applyNumberFormat="1" applyFont="1" applyFill="1" applyAlignment="1">
      <alignment horizontal="center"/>
    </xf>
    <xf numFmtId="0" fontId="23" fillId="36" borderId="0" xfId="124" applyFont="1" applyFill="1"/>
    <xf numFmtId="164" fontId="57" fillId="36" borderId="0" xfId="95" applyNumberFormat="1" applyFont="1" applyFill="1" applyBorder="1"/>
    <xf numFmtId="0" fontId="23" fillId="36" borderId="0" xfId="124" applyFont="1" applyFill="1" applyBorder="1" applyProtection="1"/>
    <xf numFmtId="170" fontId="23" fillId="36" borderId="0" xfId="124" applyNumberFormat="1" applyFont="1" applyFill="1" applyAlignment="1">
      <alignment horizontal="center"/>
    </xf>
    <xf numFmtId="164" fontId="70" fillId="36" borderId="0" xfId="0" applyNumberFormat="1" applyFont="1" applyFill="1"/>
    <xf numFmtId="173" fontId="23" fillId="34" borderId="0" xfId="0" applyNumberFormat="1" applyFont="1" applyFill="1" applyAlignment="1">
      <alignment wrapText="1"/>
    </xf>
    <xf numFmtId="0" fontId="26" fillId="0" borderId="4" xfId="0" applyNumberFormat="1" applyFont="1" applyFill="1" applyBorder="1"/>
    <xf numFmtId="0" fontId="23" fillId="36" borderId="0" xfId="0" applyFont="1" applyFill="1" applyAlignment="1"/>
    <xf numFmtId="37" fontId="23" fillId="36" borderId="3" xfId="96" quotePrefix="1" applyNumberFormat="1" applyFont="1" applyFill="1" applyBorder="1" applyAlignment="1">
      <alignment horizontal="center"/>
    </xf>
    <xf numFmtId="0" fontId="0" fillId="36" borderId="0" xfId="0" applyFill="1" applyAlignment="1">
      <alignment horizontal="left" vertical="top" wrapText="1"/>
    </xf>
    <xf numFmtId="164" fontId="23" fillId="34" borderId="0" xfId="0" applyNumberFormat="1" applyFont="1" applyFill="1"/>
    <xf numFmtId="164" fontId="23" fillId="34" borderId="0" xfId="0" applyNumberFormat="1" applyFont="1" applyFill="1"/>
    <xf numFmtId="164" fontId="23" fillId="34" borderId="0" xfId="0" applyNumberFormat="1" applyFont="1" applyFill="1"/>
    <xf numFmtId="164" fontId="0" fillId="36" borderId="0" xfId="0" applyNumberFormat="1" applyFill="1"/>
    <xf numFmtId="164" fontId="23" fillId="34" borderId="0" xfId="0" applyNumberFormat="1" applyFont="1" applyFill="1"/>
    <xf numFmtId="164" fontId="24" fillId="0" borderId="0" xfId="0" applyNumberFormat="1" applyFont="1" applyAlignment="1">
      <alignment horizontal="center"/>
    </xf>
    <xf numFmtId="0" fontId="55" fillId="0" borderId="0" xfId="0" applyFont="1" applyAlignment="1">
      <alignment horizontal="left" indent="1"/>
    </xf>
    <xf numFmtId="0" fontId="167" fillId="0" borderId="0" xfId="0" applyFont="1" applyFill="1"/>
    <xf numFmtId="0" fontId="168" fillId="0" borderId="0" xfId="0" applyFont="1" applyFill="1" applyAlignment="1">
      <alignment horizontal="left" indent="1"/>
    </xf>
    <xf numFmtId="0" fontId="23" fillId="0" borderId="0" xfId="0" applyFont="1" applyFill="1" applyBorder="1" applyAlignment="1">
      <alignment horizontal="right"/>
    </xf>
    <xf numFmtId="164" fontId="23" fillId="36" borderId="0" xfId="0" applyNumberFormat="1" applyFont="1" applyFill="1" applyBorder="1"/>
    <xf numFmtId="0" fontId="23" fillId="0" borderId="0" xfId="0" quotePrefix="1" applyFont="1" applyFill="1" applyBorder="1" applyAlignment="1">
      <alignment horizontal="center"/>
    </xf>
    <xf numFmtId="164" fontId="27" fillId="0" borderId="0" xfId="0" applyNumberFormat="1" applyFont="1" applyFill="1" applyBorder="1" applyAlignment="1">
      <alignment horizontal="center"/>
    </xf>
    <xf numFmtId="0" fontId="59" fillId="0" borderId="0" xfId="0" applyFont="1" applyFill="1" applyBorder="1"/>
    <xf numFmtId="0" fontId="27" fillId="0" borderId="0" xfId="0" applyFont="1" applyFill="1" applyBorder="1"/>
    <xf numFmtId="0" fontId="26" fillId="0" borderId="0" xfId="0" applyFont="1" applyBorder="1" applyAlignment="1">
      <alignment horizontal="right"/>
    </xf>
    <xf numFmtId="164" fontId="30" fillId="36" borderId="0" xfId="0" applyNumberFormat="1" applyFont="1" applyFill="1" applyBorder="1" applyAlignment="1"/>
    <xf numFmtId="0" fontId="24" fillId="0" borderId="0" xfId="0" applyFont="1" applyBorder="1"/>
    <xf numFmtId="164" fontId="0" fillId="0" borderId="0" xfId="0" applyNumberFormat="1" applyBorder="1" applyAlignment="1"/>
    <xf numFmtId="0" fontId="26" fillId="0" borderId="0" xfId="0" applyFont="1" applyBorder="1" applyAlignment="1">
      <alignment horizontal="left" indent="1"/>
    </xf>
    <xf numFmtId="0" fontId="57" fillId="0" borderId="0" xfId="0" applyFont="1" applyFill="1" applyBorder="1"/>
    <xf numFmtId="0" fontId="57" fillId="0" borderId="0" xfId="0" applyFont="1" applyBorder="1"/>
    <xf numFmtId="0" fontId="62" fillId="0" borderId="0" xfId="0" applyFont="1" applyFill="1" applyBorder="1"/>
    <xf numFmtId="0" fontId="23" fillId="0" borderId="0" xfId="0" applyFont="1" applyBorder="1" applyAlignment="1">
      <alignment horizontal="left" indent="1"/>
    </xf>
    <xf numFmtId="0" fontId="59" fillId="0" borderId="0" xfId="0" applyFont="1" applyBorder="1" applyAlignment="1">
      <alignment horizontal="center"/>
    </xf>
    <xf numFmtId="0" fontId="23" fillId="36" borderId="0" xfId="0" quotePrefix="1" applyFont="1" applyFill="1" applyBorder="1" applyAlignment="1">
      <alignment horizontal="center"/>
    </xf>
    <xf numFmtId="0" fontId="57" fillId="36" borderId="0" xfId="0" applyFont="1" applyFill="1" applyBorder="1" applyAlignment="1">
      <alignment horizontal="left" vertical="center" indent="1"/>
    </xf>
    <xf numFmtId="0" fontId="23" fillId="36" borderId="0" xfId="0" applyFont="1" applyFill="1" applyBorder="1"/>
    <xf numFmtId="0" fontId="23" fillId="0" borderId="0" xfId="0" quotePrefix="1" applyFont="1" applyBorder="1"/>
    <xf numFmtId="164" fontId="56" fillId="36" borderId="0" xfId="0" applyNumberFormat="1" applyFont="1" applyFill="1" applyBorder="1"/>
    <xf numFmtId="0" fontId="56" fillId="36" borderId="0" xfId="0" quotePrefix="1" applyFont="1" applyFill="1" applyBorder="1" applyAlignment="1">
      <alignment horizontal="left" indent="1"/>
    </xf>
    <xf numFmtId="0" fontId="23" fillId="0" borderId="0" xfId="0" quotePrefix="1" applyFont="1" applyBorder="1" applyAlignment="1">
      <alignment horizontal="center"/>
    </xf>
    <xf numFmtId="164" fontId="23" fillId="0" borderId="0" xfId="0" applyNumberFormat="1" applyFont="1" applyBorder="1"/>
    <xf numFmtId="0" fontId="24" fillId="0" borderId="0" xfId="0" quotePrefix="1" applyFont="1" applyBorder="1" applyAlignment="1">
      <alignment horizontal="center"/>
    </xf>
    <xf numFmtId="0" fontId="61" fillId="0" borderId="0" xfId="0" quotePrefix="1" applyFont="1" applyBorder="1" applyAlignment="1">
      <alignment horizontal="center"/>
    </xf>
    <xf numFmtId="0" fontId="64" fillId="0" borderId="0" xfId="0" applyFont="1" applyBorder="1" applyAlignment="1">
      <alignment horizontal="center"/>
    </xf>
    <xf numFmtId="0" fontId="58" fillId="0" borderId="0" xfId="0" applyFont="1" applyBorder="1" applyAlignment="1">
      <alignment horizontal="center"/>
    </xf>
    <xf numFmtId="0" fontId="23" fillId="36" borderId="0" xfId="0" applyFont="1" applyFill="1" applyBorder="1" applyAlignment="1">
      <alignment horizontal="center"/>
    </xf>
    <xf numFmtId="0" fontId="23" fillId="0" borderId="0" xfId="0" applyFont="1" applyFill="1" applyBorder="1" applyAlignment="1">
      <alignment horizontal="center"/>
    </xf>
    <xf numFmtId="0" fontId="93" fillId="0" borderId="0" xfId="0" applyFont="1" applyBorder="1"/>
    <xf numFmtId="164" fontId="23" fillId="0" borderId="0" xfId="0" applyNumberFormat="1" applyFont="1" applyBorder="1" applyAlignment="1">
      <alignment horizontal="right"/>
    </xf>
    <xf numFmtId="0" fontId="23" fillId="0" borderId="0" xfId="0" applyFont="1" applyBorder="1" applyAlignment="1">
      <alignment horizontal="right"/>
    </xf>
    <xf numFmtId="164" fontId="62" fillId="0" borderId="0" xfId="0" applyNumberFormat="1" applyFont="1" applyBorder="1"/>
    <xf numFmtId="0" fontId="59" fillId="0" borderId="0" xfId="0" applyFont="1" applyFill="1" applyBorder="1" applyAlignment="1">
      <alignment horizontal="center"/>
    </xf>
    <xf numFmtId="0" fontId="0" fillId="36" borderId="0" xfId="0" applyFill="1" applyBorder="1"/>
    <xf numFmtId="0" fontId="0" fillId="0" borderId="0" xfId="0" applyFill="1" applyBorder="1" applyAlignment="1">
      <alignment horizontal="left" indent="1"/>
    </xf>
    <xf numFmtId="183" fontId="24" fillId="36" borderId="0" xfId="19" applyNumberFormat="1" applyFont="1" applyFill="1" applyAlignment="1">
      <alignment horizontal="center"/>
    </xf>
    <xf numFmtId="164" fontId="23" fillId="34" borderId="0" xfId="0" applyNumberFormat="1" applyFont="1" applyFill="1" applyBorder="1"/>
    <xf numFmtId="164" fontId="0" fillId="36" borderId="0" xfId="0" applyNumberFormat="1" applyFill="1" applyBorder="1"/>
    <xf numFmtId="164" fontId="23" fillId="36" borderId="0" xfId="99" applyNumberFormat="1" applyFont="1" applyFill="1" applyBorder="1"/>
    <xf numFmtId="164" fontId="57" fillId="36" borderId="0" xfId="0" applyNumberFormat="1" applyFont="1" applyFill="1" applyBorder="1"/>
    <xf numFmtId="170" fontId="23" fillId="36" borderId="0" xfId="0" quotePrefix="1" applyNumberFormat="1" applyFont="1" applyFill="1" applyBorder="1" applyAlignment="1" applyProtection="1">
      <alignment horizontal="center"/>
    </xf>
    <xf numFmtId="0" fontId="23" fillId="36" borderId="0" xfId="28" applyFont="1" applyFill="1" applyBorder="1"/>
    <xf numFmtId="164" fontId="26" fillId="0" borderId="0" xfId="0" applyNumberFormat="1" applyFont="1" applyFill="1" applyBorder="1" applyAlignment="1">
      <alignment horizontal="right"/>
    </xf>
    <xf numFmtId="0" fontId="56" fillId="0" borderId="0" xfId="0" applyFont="1" applyFill="1" applyBorder="1"/>
    <xf numFmtId="0" fontId="23" fillId="0" borderId="0" xfId="0" applyFont="1" applyBorder="1" applyAlignment="1">
      <alignment horizontal="left"/>
    </xf>
    <xf numFmtId="0" fontId="58" fillId="0" borderId="0" xfId="0" applyFont="1" applyFill="1" applyBorder="1" applyAlignment="1">
      <alignment horizontal="center"/>
    </xf>
    <xf numFmtId="0" fontId="27" fillId="0" borderId="0" xfId="0" applyFont="1" applyFill="1" applyBorder="1" applyAlignment="1">
      <alignment horizontal="left"/>
    </xf>
    <xf numFmtId="0" fontId="58" fillId="0" borderId="0" xfId="0" applyFont="1" applyBorder="1" applyAlignment="1">
      <alignment horizontal="left"/>
    </xf>
    <xf numFmtId="0" fontId="57" fillId="0" borderId="0" xfId="0" applyFont="1" applyFill="1" applyBorder="1" applyAlignment="1">
      <alignment horizontal="left"/>
    </xf>
    <xf numFmtId="0" fontId="57" fillId="0" borderId="0" xfId="0" applyFont="1" applyFill="1" applyBorder="1" applyAlignment="1">
      <alignment horizontal="left" indent="1"/>
    </xf>
    <xf numFmtId="0" fontId="58" fillId="0" borderId="0" xfId="0" applyFont="1" applyFill="1" applyBorder="1" applyAlignment="1">
      <alignment horizontal="left"/>
    </xf>
    <xf numFmtId="0" fontId="166" fillId="0" borderId="0" xfId="0" applyFont="1" applyBorder="1"/>
    <xf numFmtId="0" fontId="167" fillId="0" borderId="0" xfId="0" applyFont="1" applyFill="1" applyBorder="1"/>
    <xf numFmtId="0" fontId="23" fillId="0" borderId="0" xfId="0" applyFont="1" applyFill="1" applyBorder="1" applyAlignment="1">
      <alignment horizontal="left" indent="2"/>
    </xf>
    <xf numFmtId="0" fontId="23" fillId="0" borderId="0" xfId="0" applyFont="1" applyBorder="1" applyAlignment="1">
      <alignment horizontal="left" indent="2"/>
    </xf>
    <xf numFmtId="3" fontId="23" fillId="0" borderId="0" xfId="0" applyNumberFormat="1" applyFont="1"/>
    <xf numFmtId="3" fontId="57" fillId="0" borderId="0" xfId="0" applyNumberFormat="1" applyFont="1"/>
    <xf numFmtId="3" fontId="57" fillId="0" borderId="0" xfId="0" applyNumberFormat="1" applyFont="1" applyFill="1"/>
    <xf numFmtId="3" fontId="57" fillId="36" borderId="0" xfId="246" applyNumberFormat="1" applyFont="1" applyFill="1"/>
    <xf numFmtId="0" fontId="23" fillId="36" borderId="3" xfId="0" quotePrefix="1" applyNumberFormat="1" applyFont="1" applyFill="1" applyBorder="1" applyAlignment="1">
      <alignment horizontal="center"/>
    </xf>
    <xf numFmtId="0" fontId="23" fillId="36" borderId="3" xfId="0" quotePrefix="1" applyNumberFormat="1" applyFont="1" applyFill="1" applyBorder="1" applyAlignment="1">
      <alignment horizontal="left"/>
    </xf>
    <xf numFmtId="0" fontId="23" fillId="36" borderId="3" xfId="0" applyNumberFormat="1" applyFont="1" applyFill="1" applyBorder="1"/>
    <xf numFmtId="164" fontId="23" fillId="36" borderId="3" xfId="0" applyNumberFormat="1" applyFont="1" applyFill="1" applyBorder="1" applyAlignment="1">
      <alignment horizontal="center"/>
    </xf>
    <xf numFmtId="0" fontId="23" fillId="36" borderId="3" xfId="0" applyFont="1" applyFill="1" applyBorder="1" applyAlignment="1">
      <alignment horizontal="center"/>
    </xf>
    <xf numFmtId="0" fontId="23" fillId="36" borderId="6" xfId="0" quotePrefix="1" applyNumberFormat="1" applyFont="1" applyFill="1" applyBorder="1" applyAlignment="1">
      <alignment horizontal="left"/>
    </xf>
    <xf numFmtId="0" fontId="23" fillId="36" borderId="9" xfId="0" quotePrefix="1" applyNumberFormat="1" applyFont="1" applyFill="1" applyBorder="1" applyAlignment="1">
      <alignment horizontal="left"/>
    </xf>
    <xf numFmtId="0" fontId="23" fillId="36" borderId="4" xfId="0" applyNumberFormat="1" applyFont="1" applyFill="1" applyBorder="1"/>
    <xf numFmtId="0" fontId="65" fillId="36" borderId="0" xfId="0" applyFont="1" applyFill="1"/>
    <xf numFmtId="164" fontId="169" fillId="0" borderId="0" xfId="246" applyNumberFormat="1" applyFont="1" applyBorder="1" applyAlignment="1"/>
    <xf numFmtId="0" fontId="23" fillId="36" borderId="0" xfId="125" applyFont="1" applyFill="1" applyBorder="1"/>
    <xf numFmtId="0" fontId="23" fillId="36" borderId="0" xfId="125" applyFill="1" applyBorder="1"/>
    <xf numFmtId="168" fontId="26" fillId="0" borderId="0" xfId="0" applyNumberFormat="1" applyFont="1" applyFill="1"/>
    <xf numFmtId="164" fontId="57" fillId="0" borderId="0" xfId="0" applyNumberFormat="1" applyFont="1" applyFill="1" applyBorder="1"/>
    <xf numFmtId="164" fontId="23" fillId="36" borderId="0" xfId="0" applyNumberFormat="1" applyFont="1" applyFill="1" applyBorder="1" applyAlignment="1">
      <alignment horizontal="right"/>
    </xf>
    <xf numFmtId="165" fontId="30" fillId="0" borderId="0" xfId="20" applyNumberFormat="1" applyFont="1" applyFill="1" applyBorder="1" applyAlignment="1">
      <alignment horizontal="right"/>
    </xf>
    <xf numFmtId="164" fontId="23" fillId="0" borderId="14" xfId="95" applyNumberFormat="1" applyFont="1" applyFill="1" applyBorder="1"/>
    <xf numFmtId="164" fontId="23" fillId="0" borderId="8" xfId="95" applyNumberFormat="1" applyFont="1" applyFill="1" applyBorder="1"/>
    <xf numFmtId="168" fontId="23" fillId="0" borderId="0" xfId="95" applyNumberFormat="1" applyFont="1" applyFill="1" applyBorder="1"/>
    <xf numFmtId="165" fontId="23" fillId="0" borderId="8" xfId="36" applyNumberFormat="1" applyFont="1" applyFill="1" applyBorder="1"/>
    <xf numFmtId="164" fontId="23" fillId="0" borderId="0" xfId="99" applyNumberFormat="1" applyFont="1" applyFill="1" applyBorder="1" applyAlignment="1">
      <alignment horizontal="right"/>
    </xf>
    <xf numFmtId="165" fontId="26" fillId="0" borderId="0" xfId="20" applyNumberFormat="1" applyFont="1" applyFill="1" applyBorder="1" applyAlignment="1">
      <alignment horizontal="right"/>
    </xf>
    <xf numFmtId="164" fontId="23" fillId="0" borderId="8" xfId="28" applyNumberFormat="1" applyFont="1" applyFill="1" applyBorder="1" applyAlignment="1">
      <alignment horizontal="center"/>
    </xf>
    <xf numFmtId="5" fontId="23" fillId="0" borderId="8" xfId="28" applyNumberFormat="1" applyFont="1" applyFill="1" applyBorder="1"/>
    <xf numFmtId="164" fontId="23" fillId="0" borderId="0" xfId="28" applyNumberFormat="1" applyFont="1" applyFill="1" applyBorder="1" applyAlignment="1">
      <alignment vertical="top" wrapText="1"/>
    </xf>
    <xf numFmtId="164" fontId="0" fillId="0" borderId="0" xfId="0" applyNumberFormat="1" applyFill="1" applyAlignment="1">
      <alignment horizontal="right" indent="1"/>
    </xf>
    <xf numFmtId="164" fontId="0" fillId="0" borderId="0" xfId="0" applyNumberFormat="1" applyFill="1" applyBorder="1" applyAlignment="1">
      <alignment horizontal="right" indent="1"/>
    </xf>
    <xf numFmtId="164" fontId="30" fillId="36" borderId="0" xfId="99" applyNumberFormat="1" applyFont="1" applyFill="1" applyBorder="1"/>
    <xf numFmtId="164" fontId="0" fillId="34" borderId="0" xfId="0" applyNumberFormat="1" applyFill="1" applyBorder="1"/>
    <xf numFmtId="174" fontId="0" fillId="0" borderId="0" xfId="0" applyNumberFormat="1" applyFill="1"/>
    <xf numFmtId="169" fontId="0" fillId="0" borderId="0" xfId="0" applyNumberFormat="1" applyFill="1"/>
    <xf numFmtId="164" fontId="23" fillId="0" borderId="15" xfId="107" applyNumberFormat="1" applyFill="1" applyBorder="1"/>
    <xf numFmtId="164" fontId="23" fillId="0" borderId="8" xfId="107" applyNumberFormat="1" applyFont="1" applyFill="1" applyBorder="1" applyAlignment="1">
      <alignment horizontal="right"/>
    </xf>
    <xf numFmtId="164" fontId="23" fillId="0" borderId="16" xfId="107" applyNumberFormat="1" applyFill="1" applyBorder="1"/>
    <xf numFmtId="165" fontId="0" fillId="0" borderId="8" xfId="36" applyNumberFormat="1" applyFont="1" applyFill="1" applyBorder="1"/>
    <xf numFmtId="164" fontId="0" fillId="0" borderId="15" xfId="19" applyNumberFormat="1" applyFont="1" applyFill="1" applyBorder="1"/>
    <xf numFmtId="164" fontId="0" fillId="0" borderId="15" xfId="0" applyNumberFormat="1" applyFill="1" applyBorder="1"/>
    <xf numFmtId="165" fontId="23" fillId="0" borderId="0" xfId="0" applyNumberFormat="1" applyFont="1" applyFill="1" applyBorder="1"/>
    <xf numFmtId="0" fontId="23" fillId="0" borderId="6" xfId="125" applyFont="1" applyFill="1" applyBorder="1" applyAlignment="1">
      <alignment horizontal="center" wrapText="1"/>
    </xf>
    <xf numFmtId="166" fontId="23" fillId="0" borderId="18" xfId="125" applyNumberFormat="1" applyBorder="1" applyAlignment="1">
      <alignment horizontal="center"/>
    </xf>
    <xf numFmtId="10" fontId="23" fillId="0" borderId="0" xfId="0" applyNumberFormat="1" applyFont="1" applyAlignment="1">
      <alignment horizontal="right" wrapText="1"/>
    </xf>
    <xf numFmtId="167" fontId="23" fillId="0" borderId="0" xfId="53891" applyNumberFormat="1" applyFont="1"/>
    <xf numFmtId="0" fontId="56" fillId="0" borderId="0" xfId="125" applyFont="1" applyFill="1" applyAlignment="1">
      <alignment horizontal="center"/>
    </xf>
    <xf numFmtId="0" fontId="23" fillId="0" borderId="6" xfId="125" quotePrefix="1" applyFont="1" applyBorder="1" applyAlignment="1">
      <alignment horizontal="center" wrapText="1"/>
    </xf>
    <xf numFmtId="0" fontId="23" fillId="0" borderId="5" xfId="125" applyFont="1" applyFill="1" applyBorder="1" applyAlignment="1">
      <alignment horizontal="center" wrapText="1"/>
    </xf>
    <xf numFmtId="0" fontId="23" fillId="0" borderId="0" xfId="125" applyFont="1" applyFill="1" applyAlignment="1">
      <alignment horizontal="center" wrapText="1"/>
    </xf>
    <xf numFmtId="0" fontId="23" fillId="0" borderId="5" xfId="125" quotePrefix="1" applyFont="1" applyFill="1" applyBorder="1" applyAlignment="1">
      <alignment horizontal="center" wrapText="1"/>
    </xf>
    <xf numFmtId="0" fontId="1" fillId="0" borderId="9" xfId="53892" applyBorder="1" applyAlignment="1">
      <alignment horizontal="center" wrapText="1"/>
    </xf>
    <xf numFmtId="0" fontId="1" fillId="0" borderId="4" xfId="53892" applyBorder="1" applyAlignment="1">
      <alignment horizontal="center" wrapText="1"/>
    </xf>
    <xf numFmtId="0" fontId="24" fillId="0" borderId="4" xfId="125" applyFont="1" applyFill="1" applyBorder="1" applyAlignment="1">
      <alignment horizontal="center"/>
    </xf>
    <xf numFmtId="180" fontId="23" fillId="34" borderId="0" xfId="53893" applyNumberFormat="1" applyFont="1" applyFill="1" applyAlignment="1">
      <alignment horizontal="left"/>
    </xf>
    <xf numFmtId="0" fontId="1" fillId="0" borderId="18" xfId="53892" applyBorder="1" applyAlignment="1">
      <alignment horizontal="center"/>
    </xf>
    <xf numFmtId="0" fontId="23" fillId="0" borderId="19" xfId="125" applyFont="1" applyFill="1" applyBorder="1" applyAlignment="1">
      <alignment horizontal="center"/>
    </xf>
    <xf numFmtId="180" fontId="23" fillId="34" borderId="0" xfId="53893" quotePrefix="1" applyNumberFormat="1" applyFont="1" applyFill="1" applyAlignment="1">
      <alignment horizontal="left"/>
    </xf>
    <xf numFmtId="180" fontId="23" fillId="0" borderId="0" xfId="53893" applyNumberFormat="1" applyFont="1" applyFill="1" applyAlignment="1">
      <alignment horizontal="right"/>
    </xf>
    <xf numFmtId="3" fontId="23" fillId="0" borderId="3" xfId="125" applyNumberFormat="1" applyFont="1" applyFill="1" applyBorder="1"/>
    <xf numFmtId="3" fontId="23" fillId="0" borderId="3" xfId="125" applyNumberFormat="1" applyFill="1" applyBorder="1"/>
    <xf numFmtId="9" fontId="23" fillId="0" borderId="0" xfId="53894" applyFont="1" applyFill="1"/>
    <xf numFmtId="0" fontId="75" fillId="0" borderId="0" xfId="125" applyFont="1" applyFill="1"/>
    <xf numFmtId="0" fontId="69" fillId="0" borderId="0" xfId="125" quotePrefix="1" applyFont="1" applyAlignment="1">
      <alignment horizontal="center" vertical="center" wrapText="1"/>
    </xf>
    <xf numFmtId="0" fontId="23" fillId="0" borderId="0" xfId="125" applyFont="1" applyAlignment="1">
      <alignment horizontal="center" wrapText="1"/>
    </xf>
    <xf numFmtId="0" fontId="23" fillId="0" borderId="0" xfId="125" quotePrefix="1" applyFont="1" applyFill="1" applyAlignment="1">
      <alignment horizontal="center" wrapText="1"/>
    </xf>
    <xf numFmtId="0" fontId="171" fillId="0" borderId="0" xfId="125" quotePrefix="1" applyFont="1" applyAlignment="1">
      <alignment horizontal="center" wrapText="1"/>
    </xf>
    <xf numFmtId="0" fontId="172" fillId="0" borderId="0" xfId="125" quotePrefix="1" applyFont="1" applyAlignment="1">
      <alignment horizontal="center"/>
    </xf>
    <xf numFmtId="0" fontId="172" fillId="0" borderId="0" xfId="125" quotePrefix="1" applyFont="1" applyBorder="1" applyAlignment="1">
      <alignment horizontal="center"/>
    </xf>
    <xf numFmtId="2" fontId="173" fillId="0" borderId="29" xfId="125" applyNumberFormat="1" applyFont="1" applyBorder="1" applyAlignment="1">
      <alignment horizontal="center" wrapText="1"/>
    </xf>
    <xf numFmtId="2" fontId="24" fillId="0" borderId="11" xfId="125" applyNumberFormat="1" applyFont="1" applyFill="1" applyBorder="1" applyAlignment="1">
      <alignment horizontal="center" wrapText="1"/>
    </xf>
    <xf numFmtId="2" fontId="173" fillId="0" borderId="0" xfId="125" applyNumberFormat="1" applyFont="1" applyBorder="1" applyAlignment="1">
      <alignment horizontal="center" wrapText="1"/>
    </xf>
    <xf numFmtId="2" fontId="23" fillId="34" borderId="0" xfId="53893" applyNumberFormat="1" applyFont="1" applyFill="1" applyAlignment="1">
      <alignment horizontal="left"/>
    </xf>
    <xf numFmtId="164" fontId="23" fillId="0" borderId="0" xfId="125" applyNumberFormat="1" applyFont="1" applyFill="1"/>
    <xf numFmtId="3" fontId="63" fillId="0" borderId="0" xfId="53892" applyNumberFormat="1" applyFont="1" applyFill="1" applyAlignment="1">
      <alignment horizontal="right"/>
    </xf>
    <xf numFmtId="166" fontId="63" fillId="0" borderId="0" xfId="53892" applyNumberFormat="1" applyFont="1" applyFill="1" applyAlignment="1">
      <alignment horizontal="right"/>
    </xf>
    <xf numFmtId="2" fontId="171" fillId="0" borderId="0" xfId="125" applyNumberFormat="1" applyFont="1"/>
    <xf numFmtId="3" fontId="23" fillId="0" borderId="0" xfId="125" applyNumberFormat="1" applyFont="1"/>
    <xf numFmtId="164" fontId="171" fillId="0" borderId="0" xfId="125" applyNumberFormat="1" applyFont="1" applyFill="1"/>
    <xf numFmtId="1" fontId="171" fillId="0" borderId="0" xfId="125" applyNumberFormat="1" applyFont="1"/>
    <xf numFmtId="180" fontId="75" fillId="0" borderId="0" xfId="53893" applyNumberFormat="1" applyFont="1" applyFill="1" applyAlignment="1">
      <alignment horizontal="left"/>
    </xf>
    <xf numFmtId="0" fontId="23" fillId="0" borderId="0" xfId="125" quotePrefix="1" applyFont="1" applyFill="1" applyAlignment="1">
      <alignment horizontal="center" vertical="center" wrapText="1"/>
    </xf>
    <xf numFmtId="0" fontId="171" fillId="0" borderId="0" xfId="125" applyFont="1" applyFill="1" applyAlignment="1">
      <alignment horizontal="center"/>
    </xf>
    <xf numFmtId="180" fontId="24" fillId="0" borderId="3" xfId="53893" applyNumberFormat="1" applyFont="1" applyFill="1" applyBorder="1" applyAlignment="1">
      <alignment horizontal="center"/>
    </xf>
    <xf numFmtId="166" fontId="23" fillId="0" borderId="0" xfId="125" quotePrefix="1" applyNumberFormat="1" applyFont="1" applyFill="1" applyAlignment="1">
      <alignment horizontal="center"/>
    </xf>
    <xf numFmtId="166" fontId="23" fillId="0" borderId="0" xfId="125" applyNumberFormat="1" applyFont="1" applyFill="1" applyAlignment="1">
      <alignment horizontal="center"/>
    </xf>
    <xf numFmtId="180" fontId="23" fillId="0" borderId="0" xfId="53893" applyNumberFormat="1" applyFont="1" applyFill="1" applyAlignment="1">
      <alignment horizontal="left"/>
    </xf>
    <xf numFmtId="164" fontId="23" fillId="0" borderId="3" xfId="125" applyNumberFormat="1" applyFont="1" applyFill="1" applyBorder="1"/>
    <xf numFmtId="0" fontId="23" fillId="0" borderId="0" xfId="125" applyFont="1" applyFill="1" applyAlignment="1">
      <alignment horizontal="left"/>
    </xf>
    <xf numFmtId="0" fontId="23" fillId="0" borderId="0" xfId="125" applyFont="1" applyFill="1" applyAlignment="1">
      <alignment readingOrder="1"/>
    </xf>
    <xf numFmtId="180" fontId="23" fillId="36" borderId="0" xfId="53893" applyNumberFormat="1" applyFont="1" applyFill="1" applyAlignment="1">
      <alignment horizontal="left"/>
    </xf>
    <xf numFmtId="0" fontId="23" fillId="36" borderId="0" xfId="53893" applyFont="1" applyFill="1" applyAlignment="1">
      <alignment horizontal="left" vertical="top" indent="1"/>
    </xf>
    <xf numFmtId="180" fontId="23" fillId="36" borderId="0" xfId="53893" applyNumberFormat="1" applyFont="1" applyFill="1" applyBorder="1" applyAlignment="1">
      <alignment horizontal="left"/>
    </xf>
    <xf numFmtId="0" fontId="23" fillId="36" borderId="0" xfId="53893" applyFont="1" applyFill="1" applyBorder="1" applyAlignment="1">
      <alignment horizontal="left" vertical="top" indent="1"/>
    </xf>
    <xf numFmtId="180" fontId="23" fillId="36" borderId="0" xfId="53893" quotePrefix="1" applyNumberFormat="1" applyFont="1" applyFill="1" applyAlignment="1">
      <alignment horizontal="left"/>
    </xf>
    <xf numFmtId="0" fontId="23" fillId="0" borderId="0" xfId="125" quotePrefix="1" applyFont="1" applyAlignment="1">
      <alignment horizontal="center" wrapText="1"/>
    </xf>
    <xf numFmtId="0" fontId="23" fillId="0" borderId="0" xfId="125" applyFont="1" applyAlignment="1">
      <alignment wrapText="1"/>
    </xf>
    <xf numFmtId="0" fontId="24" fillId="0" borderId="5" xfId="125" applyFont="1" applyBorder="1" applyAlignment="1">
      <alignment horizontal="center" wrapText="1"/>
    </xf>
    <xf numFmtId="3" fontId="23" fillId="36" borderId="0" xfId="125" applyNumberFormat="1" applyFont="1" applyFill="1"/>
    <xf numFmtId="175" fontId="1" fillId="36" borderId="0" xfId="53892" applyNumberFormat="1" applyFill="1" applyAlignment="1">
      <alignment horizontal="center"/>
    </xf>
    <xf numFmtId="10" fontId="23" fillId="0" borderId="0" xfId="125" applyNumberFormat="1" applyFont="1"/>
    <xf numFmtId="3" fontId="23" fillId="0" borderId="0" xfId="125" applyNumberFormat="1" applyFont="1" applyFill="1"/>
    <xf numFmtId="3" fontId="23" fillId="0" borderId="3" xfId="125" applyNumberFormat="1" applyFont="1" applyBorder="1"/>
    <xf numFmtId="10" fontId="57" fillId="0" borderId="3" xfId="133" applyNumberFormat="1" applyFont="1" applyBorder="1"/>
    <xf numFmtId="0" fontId="26" fillId="0" borderId="0" xfId="34" applyFont="1" applyFill="1" applyBorder="1" applyAlignment="1">
      <alignment horizontal="left" indent="2"/>
    </xf>
    <xf numFmtId="164" fontId="26" fillId="0" borderId="0" xfId="0" applyNumberFormat="1" applyFont="1" applyFill="1" applyAlignment="1">
      <alignment horizontal="left" indent="1"/>
    </xf>
    <xf numFmtId="0" fontId="23" fillId="36" borderId="3" xfId="0" quotePrefix="1" applyNumberFormat="1" applyFont="1" applyFill="1" applyBorder="1"/>
    <xf numFmtId="164" fontId="57" fillId="36" borderId="0" xfId="81" applyNumberFormat="1" applyFont="1" applyFill="1" applyAlignment="1">
      <alignment horizontal="right"/>
    </xf>
    <xf numFmtId="164" fontId="62" fillId="36" borderId="0" xfId="81" applyNumberFormat="1" applyFont="1" applyFill="1" applyAlignment="1">
      <alignment horizontal="right"/>
    </xf>
    <xf numFmtId="164" fontId="23" fillId="0" borderId="0" xfId="28" applyNumberFormat="1" applyFont="1" applyBorder="1"/>
    <xf numFmtId="164" fontId="23" fillId="0" borderId="8" xfId="28" quotePrefix="1" applyNumberFormat="1" applyFont="1" applyFill="1" applyBorder="1" applyAlignment="1">
      <alignment horizontal="center"/>
    </xf>
    <xf numFmtId="164" fontId="23" fillId="0" borderId="8" xfId="28" applyNumberFormat="1" applyFont="1" applyFill="1" applyBorder="1"/>
    <xf numFmtId="164" fontId="23" fillId="0" borderId="8" xfId="28" applyNumberFormat="1" applyFont="1" applyBorder="1"/>
    <xf numFmtId="164" fontId="23" fillId="0" borderId="0" xfId="28" applyNumberFormat="1" applyFont="1" applyFill="1" applyBorder="1" applyAlignment="1"/>
    <xf numFmtId="164" fontId="23" fillId="36" borderId="0" xfId="28" quotePrefix="1" applyNumberFormat="1" applyFont="1" applyFill="1" applyBorder="1" applyAlignment="1">
      <alignment horizontal="center"/>
    </xf>
    <xf numFmtId="164" fontId="23" fillId="0" borderId="0" xfId="22" applyNumberFormat="1" applyFont="1" applyFill="1" applyBorder="1" applyAlignment="1">
      <alignment horizontal="center" wrapText="1"/>
    </xf>
    <xf numFmtId="164" fontId="23" fillId="0" borderId="0" xfId="22" applyNumberFormat="1" applyFont="1" applyFill="1" applyBorder="1" applyAlignment="1"/>
    <xf numFmtId="164" fontId="23" fillId="0" borderId="0" xfId="28" applyNumberFormat="1" applyFont="1" applyBorder="1" applyAlignment="1"/>
    <xf numFmtId="164" fontId="24" fillId="0" borderId="0" xfId="28" applyNumberFormat="1" applyFont="1" applyFill="1" applyBorder="1" applyAlignment="1">
      <alignment horizontal="center"/>
    </xf>
    <xf numFmtId="164" fontId="26" fillId="36" borderId="3" xfId="0" applyNumberFormat="1" applyFont="1" applyFill="1" applyBorder="1" applyAlignment="1">
      <alignment horizontal="center"/>
    </xf>
    <xf numFmtId="164" fontId="26" fillId="36" borderId="3" xfId="22" quotePrefix="1" applyNumberFormat="1" applyFont="1" applyFill="1" applyBorder="1" applyAlignment="1">
      <alignment horizontal="center"/>
    </xf>
    <xf numFmtId="164" fontId="26" fillId="36" borderId="4" xfId="22" quotePrefix="1" applyNumberFormat="1" applyFont="1" applyFill="1" applyBorder="1" applyAlignment="1">
      <alignment horizontal="center"/>
    </xf>
    <xf numFmtId="164" fontId="24" fillId="0" borderId="3" xfId="22" quotePrefix="1" applyNumberFormat="1" applyFont="1" applyBorder="1" applyAlignment="1">
      <alignment horizontal="center"/>
    </xf>
    <xf numFmtId="164" fontId="24" fillId="36" borderId="3" xfId="22" quotePrefix="1" applyNumberFormat="1" applyFont="1" applyFill="1" applyBorder="1" applyAlignment="1">
      <alignment horizontal="center"/>
    </xf>
    <xf numFmtId="164" fontId="23" fillId="36" borderId="3" xfId="96" quotePrefix="1" applyNumberFormat="1" applyFont="1" applyFill="1" applyBorder="1" applyAlignment="1">
      <alignment horizontal="center"/>
    </xf>
    <xf numFmtId="164" fontId="24" fillId="0" borderId="3" xfId="22" quotePrefix="1" applyNumberFormat="1" applyFont="1" applyFill="1" applyBorder="1" applyAlignment="1">
      <alignment horizontal="center"/>
    </xf>
    <xf numFmtId="164" fontId="24" fillId="36" borderId="5" xfId="22" quotePrefix="1" applyNumberFormat="1" applyFont="1" applyFill="1" applyBorder="1" applyAlignment="1">
      <alignment horizontal="center"/>
    </xf>
    <xf numFmtId="164" fontId="24" fillId="0" borderId="0" xfId="22" quotePrefix="1" applyNumberFormat="1" applyFont="1" applyBorder="1" applyAlignment="1">
      <alignment horizontal="center"/>
    </xf>
    <xf numFmtId="164" fontId="23" fillId="36" borderId="3" xfId="96" applyNumberFormat="1" applyFont="1" applyFill="1" applyBorder="1" applyAlignment="1">
      <alignment horizontal="center"/>
    </xf>
    <xf numFmtId="164" fontId="26" fillId="36" borderId="3" xfId="22" applyNumberFormat="1" applyFont="1" applyFill="1" applyBorder="1" applyAlignment="1">
      <alignment horizontal="center"/>
    </xf>
    <xf numFmtId="164" fontId="26" fillId="36" borderId="3" xfId="22" applyNumberFormat="1" applyFont="1" applyFill="1" applyBorder="1"/>
    <xf numFmtId="164" fontId="26" fillId="0" borderId="0" xfId="22" applyNumberFormat="1" applyFont="1" applyBorder="1" applyAlignment="1">
      <alignment horizontal="center"/>
    </xf>
    <xf numFmtId="164" fontId="24" fillId="0" borderId="3" xfId="22" applyNumberFormat="1" applyFont="1" applyBorder="1" applyAlignment="1">
      <alignment horizontal="center"/>
    </xf>
    <xf numFmtId="164" fontId="24" fillId="36" borderId="3" xfId="22" applyNumberFormat="1" applyFont="1" applyFill="1" applyBorder="1" applyAlignment="1">
      <alignment horizontal="center"/>
    </xf>
    <xf numFmtId="164" fontId="24" fillId="0" borderId="3" xfId="0" applyNumberFormat="1" applyFont="1" applyBorder="1" applyAlignment="1">
      <alignment horizontal="center"/>
    </xf>
    <xf numFmtId="164" fontId="26" fillId="0" borderId="3" xfId="22" applyNumberFormat="1" applyFont="1" applyFill="1" applyBorder="1" applyAlignment="1">
      <alignment horizontal="center"/>
    </xf>
    <xf numFmtId="164" fontId="24" fillId="0" borderId="3" xfId="22" applyNumberFormat="1" applyFont="1" applyFill="1" applyBorder="1" applyAlignment="1">
      <alignment horizontal="center"/>
    </xf>
    <xf numFmtId="164" fontId="26" fillId="0" borderId="3" xfId="22" quotePrefix="1" applyNumberFormat="1" applyFont="1" applyFill="1" applyBorder="1" applyAlignment="1">
      <alignment horizontal="center"/>
    </xf>
    <xf numFmtId="164" fontId="26" fillId="0" borderId="3" xfId="0" applyNumberFormat="1" applyFont="1" applyFill="1" applyBorder="1" applyAlignment="1">
      <alignment horizontal="center"/>
    </xf>
    <xf numFmtId="164" fontId="26" fillId="0" borderId="3" xfId="0" applyNumberFormat="1" applyFont="1" applyBorder="1" applyAlignment="1">
      <alignment horizontal="center"/>
    </xf>
    <xf numFmtId="164" fontId="24" fillId="0" borderId="3" xfId="0" applyNumberFormat="1" applyFont="1" applyFill="1" applyBorder="1" applyAlignment="1">
      <alignment horizontal="center"/>
    </xf>
    <xf numFmtId="164" fontId="24" fillId="37" borderId="3" xfId="22" quotePrefix="1" applyNumberFormat="1" applyFont="1" applyFill="1" applyBorder="1" applyAlignment="1">
      <alignment horizontal="center"/>
    </xf>
    <xf numFmtId="164" fontId="23" fillId="36" borderId="0" xfId="96" applyNumberFormat="1" applyFont="1" applyFill="1" applyBorder="1" applyAlignment="1">
      <alignment horizontal="center"/>
    </xf>
    <xf numFmtId="164" fontId="23" fillId="0" borderId="3" xfId="0" applyNumberFormat="1" applyFont="1" applyFill="1" applyBorder="1" applyAlignment="1">
      <alignment horizontal="center"/>
    </xf>
    <xf numFmtId="164" fontId="23" fillId="0" borderId="3" xfId="96" quotePrefix="1" applyNumberFormat="1" applyFont="1" applyFill="1" applyBorder="1" applyAlignment="1">
      <alignment horizontal="center"/>
    </xf>
    <xf numFmtId="164" fontId="24" fillId="37" borderId="0" xfId="22" quotePrefix="1" applyNumberFormat="1" applyFont="1" applyFill="1" applyBorder="1" applyAlignment="1">
      <alignment horizontal="center"/>
    </xf>
    <xf numFmtId="164" fontId="24" fillId="0" borderId="0" xfId="22" quotePrefix="1" applyNumberFormat="1" applyFont="1" applyFill="1" applyBorder="1" applyAlignment="1">
      <alignment horizontal="center"/>
    </xf>
    <xf numFmtId="164" fontId="26" fillId="0" borderId="3" xfId="22" quotePrefix="1" applyNumberFormat="1" applyFont="1" applyBorder="1" applyAlignment="1">
      <alignment horizontal="center"/>
    </xf>
    <xf numFmtId="164" fontId="23" fillId="0" borderId="3" xfId="22" applyNumberFormat="1" applyFont="1" applyFill="1" applyBorder="1" applyAlignment="1">
      <alignment horizontal="center"/>
    </xf>
    <xf numFmtId="164" fontId="24" fillId="37" borderId="3" xfId="22" applyNumberFormat="1" applyFont="1" applyFill="1" applyBorder="1" applyAlignment="1">
      <alignment horizontal="center"/>
    </xf>
    <xf numFmtId="164" fontId="24" fillId="37" borderId="3" xfId="0" applyNumberFormat="1" applyFont="1" applyFill="1" applyBorder="1" applyAlignment="1">
      <alignment horizontal="center"/>
    </xf>
    <xf numFmtId="175" fontId="57" fillId="36" borderId="0" xfId="53892" applyNumberFormat="1" applyFont="1" applyFill="1" applyAlignment="1">
      <alignment horizontal="center"/>
    </xf>
    <xf numFmtId="1" fontId="23" fillId="36" borderId="0" xfId="125" applyNumberFormat="1" applyFont="1" applyFill="1"/>
    <xf numFmtId="1" fontId="23" fillId="0" borderId="3" xfId="125" applyNumberFormat="1" applyFill="1" applyBorder="1"/>
    <xf numFmtId="0" fontId="73" fillId="0" borderId="0" xfId="0" applyFont="1" applyAlignment="1">
      <alignment horizontal="center"/>
    </xf>
    <xf numFmtId="0" fontId="53" fillId="0" borderId="0" xfId="0" applyFont="1" applyAlignment="1">
      <alignment horizontal="center"/>
    </xf>
    <xf numFmtId="0" fontId="0" fillId="36" borderId="0" xfId="0" applyFill="1" applyAlignment="1">
      <alignment horizontal="left" wrapText="1"/>
    </xf>
    <xf numFmtId="0" fontId="0" fillId="0" borderId="0" xfId="0" applyAlignment="1">
      <alignment horizontal="left" wrapText="1"/>
    </xf>
    <xf numFmtId="0" fontId="23" fillId="36" borderId="0" xfId="0" applyNumberFormat="1" applyFont="1" applyFill="1" applyAlignment="1">
      <alignment horizontal="center"/>
    </xf>
    <xf numFmtId="0" fontId="24" fillId="0" borderId="6" xfId="28" applyFont="1" applyFill="1" applyBorder="1" applyAlignment="1">
      <alignment horizontal="center"/>
    </xf>
    <xf numFmtId="0" fontId="24" fillId="0" borderId="9" xfId="28" applyFont="1" applyFill="1" applyBorder="1" applyAlignment="1">
      <alignment horizontal="center"/>
    </xf>
    <xf numFmtId="0" fontId="24" fillId="0" borderId="4" xfId="28" applyFont="1" applyFill="1" applyBorder="1" applyAlignment="1">
      <alignment horizontal="center"/>
    </xf>
    <xf numFmtId="0" fontId="24" fillId="0" borderId="7" xfId="28" applyFont="1" applyBorder="1" applyAlignment="1">
      <alignment horizontal="center"/>
    </xf>
    <xf numFmtId="0" fontId="24" fillId="0" borderId="5" xfId="28" applyFont="1" applyBorder="1" applyAlignment="1">
      <alignment horizontal="center"/>
    </xf>
    <xf numFmtId="0" fontId="24" fillId="0" borderId="3" xfId="28" applyFont="1" applyFill="1" applyBorder="1" applyAlignment="1">
      <alignment horizontal="center"/>
    </xf>
    <xf numFmtId="0" fontId="24" fillId="0" borderId="9" xfId="28" applyFont="1" applyBorder="1" applyAlignment="1">
      <alignment horizontal="center"/>
    </xf>
    <xf numFmtId="0" fontId="24" fillId="0" borderId="4" xfId="28" applyFont="1" applyBorder="1" applyAlignment="1">
      <alignment horizontal="center"/>
    </xf>
    <xf numFmtId="0" fontId="24" fillId="0" borderId="3" xfId="28" applyFont="1" applyBorder="1" applyAlignment="1"/>
    <xf numFmtId="0" fontId="24" fillId="0" borderId="6" xfId="28" applyFont="1" applyBorder="1" applyAlignment="1">
      <alignment horizontal="center"/>
    </xf>
    <xf numFmtId="0" fontId="23" fillId="0" borderId="0" xfId="0" applyFont="1" applyFill="1" applyBorder="1" applyAlignment="1">
      <alignment vertical="top" wrapText="1"/>
    </xf>
    <xf numFmtId="0" fontId="0" fillId="0" borderId="0" xfId="0" applyFill="1" applyAlignment="1">
      <alignment vertical="top" wrapText="1"/>
    </xf>
    <xf numFmtId="0" fontId="0" fillId="0" borderId="0" xfId="0" applyFill="1" applyAlignment="1"/>
    <xf numFmtId="39" fontId="26" fillId="0" borderId="6" xfId="22" applyNumberFormat="1" applyFont="1" applyBorder="1" applyAlignment="1">
      <alignment horizontal="center"/>
    </xf>
    <xf numFmtId="0" fontId="0" fillId="0" borderId="9" xfId="0" applyBorder="1"/>
    <xf numFmtId="0" fontId="0" fillId="0" borderId="4" xfId="0" applyBorder="1"/>
    <xf numFmtId="0" fontId="24" fillId="0" borderId="6" xfId="0" applyNumberFormat="1" applyFont="1" applyFill="1" applyBorder="1" applyAlignment="1">
      <alignment wrapText="1"/>
    </xf>
    <xf numFmtId="0" fontId="0" fillId="0" borderId="9" xfId="0" applyBorder="1" applyAlignment="1">
      <alignment wrapText="1"/>
    </xf>
    <xf numFmtId="0" fontId="0" fillId="0" borderId="4" xfId="0" applyBorder="1" applyAlignment="1">
      <alignment wrapText="1"/>
    </xf>
    <xf numFmtId="0" fontId="24" fillId="0" borderId="3" xfId="0" applyNumberFormat="1" applyFont="1" applyFill="1" applyBorder="1" applyAlignment="1">
      <alignment wrapText="1"/>
    </xf>
    <xf numFmtId="0" fontId="0" fillId="0" borderId="3" xfId="0" applyBorder="1" applyAlignment="1">
      <alignment wrapText="1"/>
    </xf>
    <xf numFmtId="0" fontId="24" fillId="0" borderId="6" xfId="0" applyFont="1" applyFill="1" applyBorder="1" applyAlignment="1"/>
    <xf numFmtId="0" fontId="0" fillId="0" borderId="9" xfId="0" applyBorder="1" applyAlignment="1"/>
    <xf numFmtId="0" fontId="0" fillId="0" borderId="4" xfId="0" applyBorder="1" applyAlignment="1"/>
    <xf numFmtId="0" fontId="24" fillId="0" borderId="6" xfId="0" applyNumberFormat="1" applyFont="1" applyFill="1" applyBorder="1" applyAlignment="1"/>
    <xf numFmtId="0" fontId="26" fillId="0" borderId="0" xfId="0" applyFont="1" applyFill="1" applyBorder="1" applyAlignment="1">
      <alignment vertical="top" wrapText="1"/>
    </xf>
    <xf numFmtId="0" fontId="0" fillId="0" borderId="0" xfId="0" applyAlignment="1">
      <alignment vertical="top" wrapText="1"/>
    </xf>
    <xf numFmtId="0" fontId="0" fillId="0" borderId="0" xfId="0" applyAlignment="1"/>
    <xf numFmtId="0" fontId="26" fillId="0" borderId="6" xfId="0" applyFont="1" applyFill="1" applyBorder="1" applyAlignment="1">
      <alignment horizontal="left"/>
    </xf>
    <xf numFmtId="0" fontId="26" fillId="0" borderId="4" xfId="0" applyFont="1" applyFill="1" applyBorder="1" applyAlignment="1">
      <alignment horizontal="left"/>
    </xf>
    <xf numFmtId="0" fontId="24" fillId="0" borderId="3" xfId="0" applyFont="1" applyFill="1" applyBorder="1" applyAlignment="1">
      <alignment wrapText="1"/>
    </xf>
    <xf numFmtId="0" fontId="0" fillId="0" borderId="9" xfId="0" applyFill="1" applyBorder="1" applyAlignment="1"/>
    <xf numFmtId="0" fontId="0" fillId="0" borderId="4" xfId="0" applyFill="1" applyBorder="1" applyAlignment="1"/>
    <xf numFmtId="0" fontId="0" fillId="0" borderId="0" xfId="0" applyFill="1" applyAlignment="1">
      <alignment wrapText="1"/>
    </xf>
    <xf numFmtId="0" fontId="24" fillId="0" borderId="10" xfId="0" applyNumberFormat="1" applyFont="1" applyFill="1" applyBorder="1" applyAlignment="1">
      <alignment wrapText="1"/>
    </xf>
    <xf numFmtId="0" fontId="0" fillId="0" borderId="8" xfId="0" applyBorder="1" applyAlignment="1">
      <alignment wrapText="1"/>
    </xf>
    <xf numFmtId="0" fontId="0" fillId="0" borderId="11" xfId="0" applyBorder="1" applyAlignment="1">
      <alignment wrapText="1"/>
    </xf>
    <xf numFmtId="0" fontId="23" fillId="0" borderId="0" xfId="0" applyFont="1" applyFill="1" applyBorder="1" applyAlignment="1">
      <alignment wrapText="1"/>
    </xf>
    <xf numFmtId="0" fontId="0" fillId="0" borderId="0" xfId="0" applyAlignment="1">
      <alignment wrapText="1"/>
    </xf>
    <xf numFmtId="0" fontId="26" fillId="0" borderId="0" xfId="0" applyFont="1" applyAlignment="1">
      <alignment horizontal="left" wrapText="1"/>
    </xf>
    <xf numFmtId="0" fontId="63" fillId="0" borderId="0" xfId="0" applyFont="1" applyAlignment="1">
      <alignment horizontal="left" wrapText="1"/>
    </xf>
    <xf numFmtId="0" fontId="23" fillId="0" borderId="12" xfId="125" applyFont="1" applyFill="1" applyBorder="1" applyAlignment="1">
      <alignment horizontal="center"/>
    </xf>
    <xf numFmtId="0" fontId="23" fillId="0" borderId="14" xfId="125" applyFont="1" applyFill="1" applyBorder="1" applyAlignment="1">
      <alignment horizontal="center"/>
    </xf>
    <xf numFmtId="0" fontId="1" fillId="0" borderId="14" xfId="53892" applyBorder="1" applyAlignment="1"/>
    <xf numFmtId="0" fontId="1" fillId="0" borderId="13" xfId="53892" applyBorder="1" applyAlignment="1"/>
    <xf numFmtId="0" fontId="23" fillId="0" borderId="13" xfId="125" applyFont="1" applyFill="1" applyBorder="1" applyAlignment="1">
      <alignment horizontal="center"/>
    </xf>
  </cellXfs>
  <cellStyles count="53895">
    <cellStyle name="_x000a__x000a_JournalTemplate=C:\COMFO\CTALK\JOURSTD.TPL_x000a__x000a_LbStateAddress=3 3 0 251 1 89 2 311_x000a__x000a_LbStateJou" xfId="671"/>
    <cellStyle name="_x000a__x000a_JournalTemplate=C:\COMFO\CTALK\JOURSTD.TPL_x000a__x000a_LbStateAddress=3 3 0 251 1 89 2 311_x000a__x000a_LbStateJou 2" xfId="672"/>
    <cellStyle name="_x000a__x000a_JournalTemplate=C:\COMFO\CTALK\JOURSTD.TPL_x000a__x000a_LbStateAddress=3 3 0 251 1 89 2 311_x000a__x000a_LbStateJou 2 2" xfId="673"/>
    <cellStyle name="_x000a__x000a_JournalTemplate=C:\COMFO\CTALK\JOURSTD.TPL_x000a__x000a_LbStateAddress=3 3 0 251 1 89 2 311_x000a__x000a_LbStateJou 3" xfId="674"/>
    <cellStyle name="_x000a__x000a_JournalTemplate=C:\COMFO\CTALK\JOURSTD.TPL_x000a__x000a_LbStateAddress=3 3 0 251 1 89 2 311_x000a__x000a_LbStateJou 3 2" xfId="675"/>
    <cellStyle name="_x000a__x000a_JournalTemplate=C:\COMFO\CTALK\JOURSTD.TPL_x000a__x000a_LbStateAddress=3 3 0 251 1 89 2 311_x000a__x000a_LbStateJou 3 2 2" xfId="676"/>
    <cellStyle name="_x000a__x000a_JournalTemplate=C:\COMFO\CTALK\JOURSTD.TPL_x000a__x000a_LbStateAddress=3 3 0 251 1 89 2 311_x000a__x000a_LbStateJou 3 3" xfId="677"/>
    <cellStyle name="_x000a__x000a_JournalTemplate=C:\COMFO\CTALK\JOURSTD.TPL_x000a__x000a_LbStateAddress=3 3 0 251 1 89 2 311_x000a__x000a_LbStateJou 4" xfId="678"/>
    <cellStyle name="_x000d__x000a_JournalTemplate=C:\COMFO\CTALK\JOURSTD.TPL_x000d__x000a_LbStateAddress=3 3 0 251 1 89 2 311_x000d__x000a_LbStateJou" xfId="679"/>
    <cellStyle name="_x000d__x000a_JournalTemplate=C:\COMFO\CTALK\JOURSTD.TPL_x000d__x000a_LbStateAddress=3 3 0 251 1 89 2 311_x000d__x000a_LbStateJou 2" xfId="680"/>
    <cellStyle name="_x000d__x000a_JournalTemplate=C:\COMFO\CTALK\JOURSTD.TPL_x000d__x000a_LbStateAddress=3 3 0 251 1 89 2 311_x000d__x000a_LbStateJou 2 2" xfId="681"/>
    <cellStyle name="_x000d__x000a_JournalTemplate=C:\COMFO\CTALK\JOURSTD.TPL_x000d__x000a_LbStateAddress=3 3 0 251 1 89 2 311_x000d__x000a_LbStateJou 3" xfId="682"/>
    <cellStyle name="_x000d__x000a_JournalTemplate=C:\COMFO\CTALK\JOURSTD.TPL_x000d__x000a_LbStateAddress=3 3 0 251 1 89 2 311_x000d__x000a_LbStateJou 3 2" xfId="683"/>
    <cellStyle name="_x000d__x000a_JournalTemplate=C:\COMFO\CTALK\JOURSTD.TPL_x000d__x000a_LbStateAddress=3 3 0 251 1 89 2 311_x000d__x000a_LbStateJou 3 2 2" xfId="684"/>
    <cellStyle name="_x000d__x000a_JournalTemplate=C:\COMFO\CTALK\JOURSTD.TPL_x000d__x000a_LbStateAddress=3 3 0 251 1 89 2 311_x000d__x000a_LbStateJou 3 3" xfId="685"/>
    <cellStyle name="_x000d__x000a_JournalTemplate=C:\COMFO\CTALK\JOURSTD.TPL_x000d__x000a_LbStateAddress=3 3 0 251 1 89 2 311_x000d__x000a_LbStateJou 4" xfId="686"/>
    <cellStyle name="*MB Hardwired" xfId="687"/>
    <cellStyle name="*MB Hardwired 2" xfId="688"/>
    <cellStyle name="*MB Input Table Calc" xfId="689"/>
    <cellStyle name="*MB Input Table Calc 2" xfId="690"/>
    <cellStyle name="*MB Normal" xfId="691"/>
    <cellStyle name="*MB Normal 2" xfId="692"/>
    <cellStyle name="*MB Normal 2 2" xfId="693"/>
    <cellStyle name="*MB Normal 3" xfId="694"/>
    <cellStyle name="*MB Placeholder" xfId="695"/>
    <cellStyle name="*MB Placeholder 2" xfId="696"/>
    <cellStyle name="???" xfId="697"/>
    <cellStyle name="??? 2" xfId="698"/>
    <cellStyle name="_Base Case (Rev 3)" xfId="699"/>
    <cellStyle name="_Base Case (Rev 3) 2" xfId="700"/>
    <cellStyle name="_Base Case (Rev 3) 2 2" xfId="701"/>
    <cellStyle name="_Base Case (Rev 3) 2 2 2" xfId="702"/>
    <cellStyle name="_Base Case (Rev 3) 2 3" xfId="703"/>
    <cellStyle name="_Base Case (Rev 3) 3" xfId="704"/>
    <cellStyle name="_Base Case (Rev 3) 3 2" xfId="705"/>
    <cellStyle name="_Base Case (Rev 3) 4" xfId="706"/>
    <cellStyle name="20% - Accent1 2" xfId="707"/>
    <cellStyle name="20% - Accent1 2 10" xfId="708"/>
    <cellStyle name="20% - Accent1 2 10 2" xfId="709"/>
    <cellStyle name="20% - Accent1 2 11" xfId="710"/>
    <cellStyle name="20% - Accent1 2 2" xfId="711"/>
    <cellStyle name="20% - Accent1 2 2 2" xfId="712"/>
    <cellStyle name="20% - Accent1 2 2 2 2" xfId="713"/>
    <cellStyle name="20% - Accent1 2 2 2 2 2" xfId="714"/>
    <cellStyle name="20% - Accent1 2 2 2 3" xfId="715"/>
    <cellStyle name="20% - Accent1 2 2 2 3 2" xfId="716"/>
    <cellStyle name="20% - Accent1 2 2 2 3 2 2" xfId="717"/>
    <cellStyle name="20% - Accent1 2 2 2 3 3" xfId="718"/>
    <cellStyle name="20% - Accent1 2 2 2 4" xfId="719"/>
    <cellStyle name="20% - Accent1 2 2 3" xfId="720"/>
    <cellStyle name="20% - Accent1 2 2 3 2" xfId="721"/>
    <cellStyle name="20% - Accent1 2 2 3 2 2" xfId="722"/>
    <cellStyle name="20% - Accent1 2 2 3 3" xfId="723"/>
    <cellStyle name="20% - Accent1 2 2 4" xfId="724"/>
    <cellStyle name="20% - Accent1 2 2 4 2" xfId="725"/>
    <cellStyle name="20% - Accent1 2 2 4 2 2" xfId="726"/>
    <cellStyle name="20% - Accent1 2 2 4 2 2 2" xfId="727"/>
    <cellStyle name="20% - Accent1 2 2 4 2 3" xfId="728"/>
    <cellStyle name="20% - Accent1 2 2 4 3" xfId="729"/>
    <cellStyle name="20% - Accent1 2 2 4 3 2" xfId="730"/>
    <cellStyle name="20% - Accent1 2 2 4 4" xfId="731"/>
    <cellStyle name="20% - Accent1 2 2 5" xfId="732"/>
    <cellStyle name="20% - Accent1 2 2 5 2" xfId="733"/>
    <cellStyle name="20% - Accent1 2 2 6" xfId="734"/>
    <cellStyle name="20% - Accent1 2 3" xfId="735"/>
    <cellStyle name="20% - Accent1 2 3 2" xfId="736"/>
    <cellStyle name="20% - Accent1 2 3 2 2" xfId="737"/>
    <cellStyle name="20% - Accent1 2 3 2 2 2" xfId="738"/>
    <cellStyle name="20% - Accent1 2 3 2 3" xfId="739"/>
    <cellStyle name="20% - Accent1 2 3 3" xfId="740"/>
    <cellStyle name="20% - Accent1 2 3 3 2" xfId="741"/>
    <cellStyle name="20% - Accent1 2 3 3 2 2" xfId="742"/>
    <cellStyle name="20% - Accent1 2 3 3 2 2 2" xfId="743"/>
    <cellStyle name="20% - Accent1 2 3 3 2 3" xfId="744"/>
    <cellStyle name="20% - Accent1 2 3 3 3" xfId="745"/>
    <cellStyle name="20% - Accent1 2 3 3 3 2" xfId="746"/>
    <cellStyle name="20% - Accent1 2 3 3 4" xfId="747"/>
    <cellStyle name="20% - Accent1 2 3 4" xfId="748"/>
    <cellStyle name="20% - Accent1 2 3 4 2" xfId="749"/>
    <cellStyle name="20% - Accent1 2 3 5" xfId="750"/>
    <cellStyle name="20% - Accent1 2 4" xfId="751"/>
    <cellStyle name="20% - Accent1 2 4 2" xfId="752"/>
    <cellStyle name="20% - Accent1 2 4 2 2" xfId="753"/>
    <cellStyle name="20% - Accent1 2 4 2 2 2" xfId="754"/>
    <cellStyle name="20% - Accent1 2 4 2 3" xfId="755"/>
    <cellStyle name="20% - Accent1 2 4 3" xfId="756"/>
    <cellStyle name="20% - Accent1 2 4 3 2" xfId="757"/>
    <cellStyle name="20% - Accent1 2 4 4" xfId="758"/>
    <cellStyle name="20% - Accent1 2 5" xfId="759"/>
    <cellStyle name="20% - Accent1 2 5 2" xfId="760"/>
    <cellStyle name="20% - Accent1 2 5 2 2" xfId="761"/>
    <cellStyle name="20% - Accent1 2 5 2 2 2" xfId="762"/>
    <cellStyle name="20% - Accent1 2 5 2 3" xfId="763"/>
    <cellStyle name="20% - Accent1 2 5 3" xfId="764"/>
    <cellStyle name="20% - Accent1 2 5 3 2" xfId="765"/>
    <cellStyle name="20% - Accent1 2 5 3 2 2" xfId="766"/>
    <cellStyle name="20% - Accent1 2 5 3 2 2 2" xfId="767"/>
    <cellStyle name="20% - Accent1 2 5 3 2 3" xfId="768"/>
    <cellStyle name="20% - Accent1 2 5 3 3" xfId="769"/>
    <cellStyle name="20% - Accent1 2 5 3 3 2" xfId="770"/>
    <cellStyle name="20% - Accent1 2 5 3 4" xfId="771"/>
    <cellStyle name="20% - Accent1 2 5 4" xfId="772"/>
    <cellStyle name="20% - Accent1 2 5 4 2" xfId="773"/>
    <cellStyle name="20% - Accent1 2 5 5" xfId="774"/>
    <cellStyle name="20% - Accent1 2 6" xfId="775"/>
    <cellStyle name="20% - Accent1 2 6 2" xfId="776"/>
    <cellStyle name="20% - Accent1 2 6 2 2" xfId="777"/>
    <cellStyle name="20% - Accent1 2 6 3" xfId="778"/>
    <cellStyle name="20% - Accent1 2 7" xfId="779"/>
    <cellStyle name="20% - Accent1 2 7 2" xfId="780"/>
    <cellStyle name="20% - Accent1 2 7 2 2" xfId="781"/>
    <cellStyle name="20% - Accent1 2 7 3" xfId="782"/>
    <cellStyle name="20% - Accent1 2 8" xfId="783"/>
    <cellStyle name="20% - Accent1 2 8 2" xfId="784"/>
    <cellStyle name="20% - Accent1 2 8 2 2" xfId="785"/>
    <cellStyle name="20% - Accent1 2 8 2 2 2" xfId="786"/>
    <cellStyle name="20% - Accent1 2 8 2 3" xfId="787"/>
    <cellStyle name="20% - Accent1 2 8 3" xfId="788"/>
    <cellStyle name="20% - Accent1 2 8 3 2" xfId="789"/>
    <cellStyle name="20% - Accent1 2 8 4" xfId="790"/>
    <cellStyle name="20% - Accent1 2 9" xfId="791"/>
    <cellStyle name="20% - Accent1 2 9 2" xfId="792"/>
    <cellStyle name="20% - Accent1 3" xfId="793"/>
    <cellStyle name="20% - Accent1 3 2" xfId="794"/>
    <cellStyle name="20% - Accent1 3 2 2" xfId="795"/>
    <cellStyle name="20% - Accent1 3 2 2 2" xfId="796"/>
    <cellStyle name="20% - Accent1 3 2 3" xfId="797"/>
    <cellStyle name="20% - Accent1 3 3" xfId="798"/>
    <cellStyle name="20% - Accent1 3 3 2" xfId="799"/>
    <cellStyle name="20% - Accent1 3 4" xfId="800"/>
    <cellStyle name="20% - Accent1 3 4 2" xfId="801"/>
    <cellStyle name="20% - Accent1 3 4 2 2" xfId="802"/>
    <cellStyle name="20% - Accent1 3 4 3" xfId="803"/>
    <cellStyle name="20% - Accent1 3 5" xfId="804"/>
    <cellStyle name="20% - Accent1 4" xfId="805"/>
    <cellStyle name="20% - Accent1 4 2" xfId="806"/>
    <cellStyle name="20% - Accent1 4 2 2" xfId="807"/>
    <cellStyle name="20% - Accent1 4 3" xfId="808"/>
    <cellStyle name="20% - Accent1 4 3 2" xfId="809"/>
    <cellStyle name="20% - Accent1 4 3 2 2" xfId="810"/>
    <cellStyle name="20% - Accent1 4 3 3" xfId="811"/>
    <cellStyle name="20% - Accent1 4 4" xfId="812"/>
    <cellStyle name="20% - Accent1 5" xfId="813"/>
    <cellStyle name="20% - Accent1 5 2" xfId="814"/>
    <cellStyle name="20% - Accent1 5 2 2" xfId="815"/>
    <cellStyle name="20% - Accent1 5 2 2 2" xfId="816"/>
    <cellStyle name="20% - Accent1 5 2 3" xfId="817"/>
    <cellStyle name="20% - Accent1 5 3" xfId="818"/>
    <cellStyle name="20% - Accent1 5 3 2" xfId="819"/>
    <cellStyle name="20% - Accent1 5 3 2 2" xfId="820"/>
    <cellStyle name="20% - Accent1 5 3 2 2 2" xfId="821"/>
    <cellStyle name="20% - Accent1 5 3 2 3" xfId="822"/>
    <cellStyle name="20% - Accent1 5 3 3" xfId="823"/>
    <cellStyle name="20% - Accent1 5 3 3 2" xfId="824"/>
    <cellStyle name="20% - Accent1 5 3 4" xfId="825"/>
    <cellStyle name="20% - Accent1 5 4" xfId="826"/>
    <cellStyle name="20% - Accent1 5 4 2" xfId="827"/>
    <cellStyle name="20% - Accent1 5 5" xfId="828"/>
    <cellStyle name="20% - Accent1 6" xfId="829"/>
    <cellStyle name="20% - Accent1 6 2" xfId="830"/>
    <cellStyle name="20% - Accent1 6 2 2" xfId="831"/>
    <cellStyle name="20% - Accent1 6 2 2 2" xfId="832"/>
    <cellStyle name="20% - Accent1 6 2 3" xfId="833"/>
    <cellStyle name="20% - Accent1 6 3" xfId="834"/>
    <cellStyle name="20% - Accent1 6 3 2" xfId="835"/>
    <cellStyle name="20% - Accent1 6 4" xfId="836"/>
    <cellStyle name="20% - Accent1 7" xfId="837"/>
    <cellStyle name="20% - Accent1 8" xfId="838"/>
    <cellStyle name="20% - Accent2 2" xfId="839"/>
    <cellStyle name="20% - Accent2 2 10" xfId="840"/>
    <cellStyle name="20% - Accent2 2 10 2" xfId="841"/>
    <cellStyle name="20% - Accent2 2 11" xfId="842"/>
    <cellStyle name="20% - Accent2 2 2" xfId="843"/>
    <cellStyle name="20% - Accent2 2 2 2" xfId="844"/>
    <cellStyle name="20% - Accent2 2 2 2 2" xfId="845"/>
    <cellStyle name="20% - Accent2 2 2 2 2 2" xfId="846"/>
    <cellStyle name="20% - Accent2 2 2 2 3" xfId="847"/>
    <cellStyle name="20% - Accent2 2 2 2 3 2" xfId="848"/>
    <cellStyle name="20% - Accent2 2 2 2 3 2 2" xfId="849"/>
    <cellStyle name="20% - Accent2 2 2 2 3 3" xfId="850"/>
    <cellStyle name="20% - Accent2 2 2 2 4" xfId="851"/>
    <cellStyle name="20% - Accent2 2 2 3" xfId="852"/>
    <cellStyle name="20% - Accent2 2 2 3 2" xfId="853"/>
    <cellStyle name="20% - Accent2 2 2 3 2 2" xfId="854"/>
    <cellStyle name="20% - Accent2 2 2 3 3" xfId="855"/>
    <cellStyle name="20% - Accent2 2 2 4" xfId="856"/>
    <cellStyle name="20% - Accent2 2 2 4 2" xfId="857"/>
    <cellStyle name="20% - Accent2 2 2 4 2 2" xfId="858"/>
    <cellStyle name="20% - Accent2 2 2 4 2 2 2" xfId="859"/>
    <cellStyle name="20% - Accent2 2 2 4 2 3" xfId="860"/>
    <cellStyle name="20% - Accent2 2 2 4 3" xfId="861"/>
    <cellStyle name="20% - Accent2 2 2 4 3 2" xfId="862"/>
    <cellStyle name="20% - Accent2 2 2 4 4" xfId="863"/>
    <cellStyle name="20% - Accent2 2 2 5" xfId="864"/>
    <cellStyle name="20% - Accent2 2 2 5 2" xfId="865"/>
    <cellStyle name="20% - Accent2 2 2 6" xfId="866"/>
    <cellStyle name="20% - Accent2 2 3" xfId="867"/>
    <cellStyle name="20% - Accent2 2 3 2" xfId="868"/>
    <cellStyle name="20% - Accent2 2 3 2 2" xfId="869"/>
    <cellStyle name="20% - Accent2 2 3 2 2 2" xfId="870"/>
    <cellStyle name="20% - Accent2 2 3 2 3" xfId="871"/>
    <cellStyle name="20% - Accent2 2 3 3" xfId="872"/>
    <cellStyle name="20% - Accent2 2 3 3 2" xfId="873"/>
    <cellStyle name="20% - Accent2 2 3 3 2 2" xfId="874"/>
    <cellStyle name="20% - Accent2 2 3 3 2 2 2" xfId="875"/>
    <cellStyle name="20% - Accent2 2 3 3 2 3" xfId="876"/>
    <cellStyle name="20% - Accent2 2 3 3 3" xfId="877"/>
    <cellStyle name="20% - Accent2 2 3 3 3 2" xfId="878"/>
    <cellStyle name="20% - Accent2 2 3 3 4" xfId="879"/>
    <cellStyle name="20% - Accent2 2 3 4" xfId="880"/>
    <cellStyle name="20% - Accent2 2 3 4 2" xfId="881"/>
    <cellStyle name="20% - Accent2 2 3 5" xfId="882"/>
    <cellStyle name="20% - Accent2 2 4" xfId="883"/>
    <cellStyle name="20% - Accent2 2 4 2" xfId="884"/>
    <cellStyle name="20% - Accent2 2 4 2 2" xfId="885"/>
    <cellStyle name="20% - Accent2 2 4 2 2 2" xfId="886"/>
    <cellStyle name="20% - Accent2 2 4 2 3" xfId="887"/>
    <cellStyle name="20% - Accent2 2 4 3" xfId="888"/>
    <cellStyle name="20% - Accent2 2 4 3 2" xfId="889"/>
    <cellStyle name="20% - Accent2 2 4 4" xfId="890"/>
    <cellStyle name="20% - Accent2 2 5" xfId="891"/>
    <cellStyle name="20% - Accent2 2 5 2" xfId="892"/>
    <cellStyle name="20% - Accent2 2 5 2 2" xfId="893"/>
    <cellStyle name="20% - Accent2 2 5 2 2 2" xfId="894"/>
    <cellStyle name="20% - Accent2 2 5 2 3" xfId="895"/>
    <cellStyle name="20% - Accent2 2 5 3" xfId="896"/>
    <cellStyle name="20% - Accent2 2 5 3 2" xfId="897"/>
    <cellStyle name="20% - Accent2 2 5 3 2 2" xfId="898"/>
    <cellStyle name="20% - Accent2 2 5 3 2 2 2" xfId="899"/>
    <cellStyle name="20% - Accent2 2 5 3 2 3" xfId="900"/>
    <cellStyle name="20% - Accent2 2 5 3 3" xfId="901"/>
    <cellStyle name="20% - Accent2 2 5 3 3 2" xfId="902"/>
    <cellStyle name="20% - Accent2 2 5 3 4" xfId="903"/>
    <cellStyle name="20% - Accent2 2 5 4" xfId="904"/>
    <cellStyle name="20% - Accent2 2 5 4 2" xfId="905"/>
    <cellStyle name="20% - Accent2 2 5 5" xfId="906"/>
    <cellStyle name="20% - Accent2 2 6" xfId="907"/>
    <cellStyle name="20% - Accent2 2 6 2" xfId="908"/>
    <cellStyle name="20% - Accent2 2 6 2 2" xfId="909"/>
    <cellStyle name="20% - Accent2 2 6 3" xfId="910"/>
    <cellStyle name="20% - Accent2 2 7" xfId="911"/>
    <cellStyle name="20% - Accent2 2 7 2" xfId="912"/>
    <cellStyle name="20% - Accent2 2 7 2 2" xfId="913"/>
    <cellStyle name="20% - Accent2 2 7 3" xfId="914"/>
    <cellStyle name="20% - Accent2 2 8" xfId="915"/>
    <cellStyle name="20% - Accent2 2 8 2" xfId="916"/>
    <cellStyle name="20% - Accent2 2 8 2 2" xfId="917"/>
    <cellStyle name="20% - Accent2 2 8 2 2 2" xfId="918"/>
    <cellStyle name="20% - Accent2 2 8 2 3" xfId="919"/>
    <cellStyle name="20% - Accent2 2 8 3" xfId="920"/>
    <cellStyle name="20% - Accent2 2 8 3 2" xfId="921"/>
    <cellStyle name="20% - Accent2 2 8 4" xfId="922"/>
    <cellStyle name="20% - Accent2 2 9" xfId="923"/>
    <cellStyle name="20% - Accent2 2 9 2" xfId="924"/>
    <cellStyle name="20% - Accent2 3" xfId="925"/>
    <cellStyle name="20% - Accent2 3 2" xfId="926"/>
    <cellStyle name="20% - Accent2 3 2 2" xfId="927"/>
    <cellStyle name="20% - Accent2 3 2 2 2" xfId="928"/>
    <cellStyle name="20% - Accent2 3 2 3" xfId="929"/>
    <cellStyle name="20% - Accent2 3 3" xfId="930"/>
    <cellStyle name="20% - Accent2 3 3 2" xfId="931"/>
    <cellStyle name="20% - Accent2 3 4" xfId="932"/>
    <cellStyle name="20% - Accent2 3 4 2" xfId="933"/>
    <cellStyle name="20% - Accent2 3 4 2 2" xfId="934"/>
    <cellStyle name="20% - Accent2 3 4 3" xfId="935"/>
    <cellStyle name="20% - Accent2 3 5" xfId="936"/>
    <cellStyle name="20% - Accent2 4" xfId="937"/>
    <cellStyle name="20% - Accent2 4 2" xfId="938"/>
    <cellStyle name="20% - Accent2 4 2 2" xfId="939"/>
    <cellStyle name="20% - Accent2 4 3" xfId="940"/>
    <cellStyle name="20% - Accent2 4 3 2" xfId="941"/>
    <cellStyle name="20% - Accent2 4 3 2 2" xfId="942"/>
    <cellStyle name="20% - Accent2 4 3 3" xfId="943"/>
    <cellStyle name="20% - Accent2 4 4" xfId="944"/>
    <cellStyle name="20% - Accent2 5" xfId="945"/>
    <cellStyle name="20% - Accent2 5 2" xfId="946"/>
    <cellStyle name="20% - Accent2 5 2 2" xfId="947"/>
    <cellStyle name="20% - Accent2 5 2 2 2" xfId="948"/>
    <cellStyle name="20% - Accent2 5 2 3" xfId="949"/>
    <cellStyle name="20% - Accent2 5 3" xfId="950"/>
    <cellStyle name="20% - Accent2 5 3 2" xfId="951"/>
    <cellStyle name="20% - Accent2 5 3 2 2" xfId="952"/>
    <cellStyle name="20% - Accent2 5 3 2 2 2" xfId="953"/>
    <cellStyle name="20% - Accent2 5 3 2 3" xfId="954"/>
    <cellStyle name="20% - Accent2 5 3 3" xfId="955"/>
    <cellStyle name="20% - Accent2 5 3 3 2" xfId="956"/>
    <cellStyle name="20% - Accent2 5 3 4" xfId="957"/>
    <cellStyle name="20% - Accent2 5 4" xfId="958"/>
    <cellStyle name="20% - Accent2 5 4 2" xfId="959"/>
    <cellStyle name="20% - Accent2 5 5" xfId="960"/>
    <cellStyle name="20% - Accent2 6" xfId="961"/>
    <cellStyle name="20% - Accent2 6 2" xfId="962"/>
    <cellStyle name="20% - Accent2 6 2 2" xfId="963"/>
    <cellStyle name="20% - Accent2 6 2 2 2" xfId="964"/>
    <cellStyle name="20% - Accent2 6 2 3" xfId="965"/>
    <cellStyle name="20% - Accent2 6 3" xfId="966"/>
    <cellStyle name="20% - Accent2 6 3 2" xfId="967"/>
    <cellStyle name="20% - Accent2 6 4" xfId="968"/>
    <cellStyle name="20% - Accent2 7" xfId="969"/>
    <cellStyle name="20% - Accent2 8" xfId="970"/>
    <cellStyle name="20% - Accent3 2" xfId="971"/>
    <cellStyle name="20% - Accent3 2 10" xfId="972"/>
    <cellStyle name="20% - Accent3 2 10 2" xfId="973"/>
    <cellStyle name="20% - Accent3 2 11" xfId="974"/>
    <cellStyle name="20% - Accent3 2 2" xfId="975"/>
    <cellStyle name="20% - Accent3 2 2 2" xfId="976"/>
    <cellStyle name="20% - Accent3 2 2 2 2" xfId="977"/>
    <cellStyle name="20% - Accent3 2 2 2 2 2" xfId="978"/>
    <cellStyle name="20% - Accent3 2 2 2 3" xfId="979"/>
    <cellStyle name="20% - Accent3 2 2 2 3 2" xfId="980"/>
    <cellStyle name="20% - Accent3 2 2 2 3 2 2" xfId="981"/>
    <cellStyle name="20% - Accent3 2 2 2 3 3" xfId="982"/>
    <cellStyle name="20% - Accent3 2 2 2 4" xfId="983"/>
    <cellStyle name="20% - Accent3 2 2 3" xfId="984"/>
    <cellStyle name="20% - Accent3 2 2 3 2" xfId="985"/>
    <cellStyle name="20% - Accent3 2 2 3 2 2" xfId="986"/>
    <cellStyle name="20% - Accent3 2 2 3 3" xfId="987"/>
    <cellStyle name="20% - Accent3 2 2 4" xfId="988"/>
    <cellStyle name="20% - Accent3 2 2 4 2" xfId="989"/>
    <cellStyle name="20% - Accent3 2 2 4 2 2" xfId="990"/>
    <cellStyle name="20% - Accent3 2 2 4 2 2 2" xfId="991"/>
    <cellStyle name="20% - Accent3 2 2 4 2 3" xfId="992"/>
    <cellStyle name="20% - Accent3 2 2 4 3" xfId="993"/>
    <cellStyle name="20% - Accent3 2 2 4 3 2" xfId="994"/>
    <cellStyle name="20% - Accent3 2 2 4 4" xfId="995"/>
    <cellStyle name="20% - Accent3 2 2 5" xfId="996"/>
    <cellStyle name="20% - Accent3 2 2 5 2" xfId="997"/>
    <cellStyle name="20% - Accent3 2 2 6" xfId="998"/>
    <cellStyle name="20% - Accent3 2 3" xfId="999"/>
    <cellStyle name="20% - Accent3 2 3 2" xfId="1000"/>
    <cellStyle name="20% - Accent3 2 3 2 2" xfId="1001"/>
    <cellStyle name="20% - Accent3 2 3 2 2 2" xfId="1002"/>
    <cellStyle name="20% - Accent3 2 3 2 3" xfId="1003"/>
    <cellStyle name="20% - Accent3 2 3 3" xfId="1004"/>
    <cellStyle name="20% - Accent3 2 3 3 2" xfId="1005"/>
    <cellStyle name="20% - Accent3 2 3 3 2 2" xfId="1006"/>
    <cellStyle name="20% - Accent3 2 3 3 2 2 2" xfId="1007"/>
    <cellStyle name="20% - Accent3 2 3 3 2 3" xfId="1008"/>
    <cellStyle name="20% - Accent3 2 3 3 3" xfId="1009"/>
    <cellStyle name="20% - Accent3 2 3 3 3 2" xfId="1010"/>
    <cellStyle name="20% - Accent3 2 3 3 4" xfId="1011"/>
    <cellStyle name="20% - Accent3 2 3 4" xfId="1012"/>
    <cellStyle name="20% - Accent3 2 3 4 2" xfId="1013"/>
    <cellStyle name="20% - Accent3 2 3 5" xfId="1014"/>
    <cellStyle name="20% - Accent3 2 4" xfId="1015"/>
    <cellStyle name="20% - Accent3 2 4 2" xfId="1016"/>
    <cellStyle name="20% - Accent3 2 4 2 2" xfId="1017"/>
    <cellStyle name="20% - Accent3 2 4 2 2 2" xfId="1018"/>
    <cellStyle name="20% - Accent3 2 4 2 3" xfId="1019"/>
    <cellStyle name="20% - Accent3 2 4 3" xfId="1020"/>
    <cellStyle name="20% - Accent3 2 4 3 2" xfId="1021"/>
    <cellStyle name="20% - Accent3 2 4 4" xfId="1022"/>
    <cellStyle name="20% - Accent3 2 5" xfId="1023"/>
    <cellStyle name="20% - Accent3 2 5 2" xfId="1024"/>
    <cellStyle name="20% - Accent3 2 5 2 2" xfId="1025"/>
    <cellStyle name="20% - Accent3 2 5 2 2 2" xfId="1026"/>
    <cellStyle name="20% - Accent3 2 5 2 3" xfId="1027"/>
    <cellStyle name="20% - Accent3 2 5 3" xfId="1028"/>
    <cellStyle name="20% - Accent3 2 5 3 2" xfId="1029"/>
    <cellStyle name="20% - Accent3 2 5 3 2 2" xfId="1030"/>
    <cellStyle name="20% - Accent3 2 5 3 2 2 2" xfId="1031"/>
    <cellStyle name="20% - Accent3 2 5 3 2 3" xfId="1032"/>
    <cellStyle name="20% - Accent3 2 5 3 3" xfId="1033"/>
    <cellStyle name="20% - Accent3 2 5 3 3 2" xfId="1034"/>
    <cellStyle name="20% - Accent3 2 5 3 4" xfId="1035"/>
    <cellStyle name="20% - Accent3 2 5 4" xfId="1036"/>
    <cellStyle name="20% - Accent3 2 5 4 2" xfId="1037"/>
    <cellStyle name="20% - Accent3 2 5 5" xfId="1038"/>
    <cellStyle name="20% - Accent3 2 6" xfId="1039"/>
    <cellStyle name="20% - Accent3 2 6 2" xfId="1040"/>
    <cellStyle name="20% - Accent3 2 6 2 2" xfId="1041"/>
    <cellStyle name="20% - Accent3 2 6 3" xfId="1042"/>
    <cellStyle name="20% - Accent3 2 7" xfId="1043"/>
    <cellStyle name="20% - Accent3 2 7 2" xfId="1044"/>
    <cellStyle name="20% - Accent3 2 7 2 2" xfId="1045"/>
    <cellStyle name="20% - Accent3 2 7 3" xfId="1046"/>
    <cellStyle name="20% - Accent3 2 8" xfId="1047"/>
    <cellStyle name="20% - Accent3 2 8 2" xfId="1048"/>
    <cellStyle name="20% - Accent3 2 8 2 2" xfId="1049"/>
    <cellStyle name="20% - Accent3 2 8 2 2 2" xfId="1050"/>
    <cellStyle name="20% - Accent3 2 8 2 3" xfId="1051"/>
    <cellStyle name="20% - Accent3 2 8 3" xfId="1052"/>
    <cellStyle name="20% - Accent3 2 8 3 2" xfId="1053"/>
    <cellStyle name="20% - Accent3 2 8 4" xfId="1054"/>
    <cellStyle name="20% - Accent3 2 9" xfId="1055"/>
    <cellStyle name="20% - Accent3 2 9 2" xfId="1056"/>
    <cellStyle name="20% - Accent3 3" xfId="1057"/>
    <cellStyle name="20% - Accent3 3 2" xfId="1058"/>
    <cellStyle name="20% - Accent3 3 2 2" xfId="1059"/>
    <cellStyle name="20% - Accent3 3 2 2 2" xfId="1060"/>
    <cellStyle name="20% - Accent3 3 2 3" xfId="1061"/>
    <cellStyle name="20% - Accent3 3 3" xfId="1062"/>
    <cellStyle name="20% - Accent3 3 3 2" xfId="1063"/>
    <cellStyle name="20% - Accent3 3 4" xfId="1064"/>
    <cellStyle name="20% - Accent3 3 4 2" xfId="1065"/>
    <cellStyle name="20% - Accent3 3 4 2 2" xfId="1066"/>
    <cellStyle name="20% - Accent3 3 4 3" xfId="1067"/>
    <cellStyle name="20% - Accent3 3 5" xfId="1068"/>
    <cellStyle name="20% - Accent3 4" xfId="1069"/>
    <cellStyle name="20% - Accent3 4 2" xfId="1070"/>
    <cellStyle name="20% - Accent3 4 2 2" xfId="1071"/>
    <cellStyle name="20% - Accent3 4 3" xfId="1072"/>
    <cellStyle name="20% - Accent3 4 3 2" xfId="1073"/>
    <cellStyle name="20% - Accent3 4 3 2 2" xfId="1074"/>
    <cellStyle name="20% - Accent3 4 3 3" xfId="1075"/>
    <cellStyle name="20% - Accent3 4 4" xfId="1076"/>
    <cellStyle name="20% - Accent3 5" xfId="1077"/>
    <cellStyle name="20% - Accent3 5 2" xfId="1078"/>
    <cellStyle name="20% - Accent3 5 2 2" xfId="1079"/>
    <cellStyle name="20% - Accent3 5 2 2 2" xfId="1080"/>
    <cellStyle name="20% - Accent3 5 2 3" xfId="1081"/>
    <cellStyle name="20% - Accent3 5 3" xfId="1082"/>
    <cellStyle name="20% - Accent3 5 3 2" xfId="1083"/>
    <cellStyle name="20% - Accent3 5 3 2 2" xfId="1084"/>
    <cellStyle name="20% - Accent3 5 3 2 2 2" xfId="1085"/>
    <cellStyle name="20% - Accent3 5 3 2 3" xfId="1086"/>
    <cellStyle name="20% - Accent3 5 3 3" xfId="1087"/>
    <cellStyle name="20% - Accent3 5 3 3 2" xfId="1088"/>
    <cellStyle name="20% - Accent3 5 3 4" xfId="1089"/>
    <cellStyle name="20% - Accent3 5 4" xfId="1090"/>
    <cellStyle name="20% - Accent3 5 4 2" xfId="1091"/>
    <cellStyle name="20% - Accent3 5 5" xfId="1092"/>
    <cellStyle name="20% - Accent3 6" xfId="1093"/>
    <cellStyle name="20% - Accent3 6 2" xfId="1094"/>
    <cellStyle name="20% - Accent3 6 2 2" xfId="1095"/>
    <cellStyle name="20% - Accent3 6 2 2 2" xfId="1096"/>
    <cellStyle name="20% - Accent3 6 2 3" xfId="1097"/>
    <cellStyle name="20% - Accent3 6 3" xfId="1098"/>
    <cellStyle name="20% - Accent3 6 3 2" xfId="1099"/>
    <cellStyle name="20% - Accent3 6 4" xfId="1100"/>
    <cellStyle name="20% - Accent3 7" xfId="1101"/>
    <cellStyle name="20% - Accent3 8" xfId="1102"/>
    <cellStyle name="20% - Accent4 2" xfId="1103"/>
    <cellStyle name="20% - Accent4 2 10" xfId="1104"/>
    <cellStyle name="20% - Accent4 2 10 2" xfId="1105"/>
    <cellStyle name="20% - Accent4 2 11" xfId="1106"/>
    <cellStyle name="20% - Accent4 2 2" xfId="1107"/>
    <cellStyle name="20% - Accent4 2 2 2" xfId="1108"/>
    <cellStyle name="20% - Accent4 2 2 2 2" xfId="1109"/>
    <cellStyle name="20% - Accent4 2 2 2 2 2" xfId="1110"/>
    <cellStyle name="20% - Accent4 2 2 2 3" xfId="1111"/>
    <cellStyle name="20% - Accent4 2 2 2 3 2" xfId="1112"/>
    <cellStyle name="20% - Accent4 2 2 2 3 2 2" xfId="1113"/>
    <cellStyle name="20% - Accent4 2 2 2 3 3" xfId="1114"/>
    <cellStyle name="20% - Accent4 2 2 2 4" xfId="1115"/>
    <cellStyle name="20% - Accent4 2 2 3" xfId="1116"/>
    <cellStyle name="20% - Accent4 2 2 3 2" xfId="1117"/>
    <cellStyle name="20% - Accent4 2 2 3 2 2" xfId="1118"/>
    <cellStyle name="20% - Accent4 2 2 3 3" xfId="1119"/>
    <cellStyle name="20% - Accent4 2 2 4" xfId="1120"/>
    <cellStyle name="20% - Accent4 2 2 4 2" xfId="1121"/>
    <cellStyle name="20% - Accent4 2 2 4 2 2" xfId="1122"/>
    <cellStyle name="20% - Accent4 2 2 4 2 2 2" xfId="1123"/>
    <cellStyle name="20% - Accent4 2 2 4 2 3" xfId="1124"/>
    <cellStyle name="20% - Accent4 2 2 4 3" xfId="1125"/>
    <cellStyle name="20% - Accent4 2 2 4 3 2" xfId="1126"/>
    <cellStyle name="20% - Accent4 2 2 4 4" xfId="1127"/>
    <cellStyle name="20% - Accent4 2 2 5" xfId="1128"/>
    <cellStyle name="20% - Accent4 2 2 5 2" xfId="1129"/>
    <cellStyle name="20% - Accent4 2 2 6" xfId="1130"/>
    <cellStyle name="20% - Accent4 2 3" xfId="1131"/>
    <cellStyle name="20% - Accent4 2 3 2" xfId="1132"/>
    <cellStyle name="20% - Accent4 2 3 2 2" xfId="1133"/>
    <cellStyle name="20% - Accent4 2 3 2 2 2" xfId="1134"/>
    <cellStyle name="20% - Accent4 2 3 2 3" xfId="1135"/>
    <cellStyle name="20% - Accent4 2 3 3" xfId="1136"/>
    <cellStyle name="20% - Accent4 2 3 3 2" xfId="1137"/>
    <cellStyle name="20% - Accent4 2 3 3 2 2" xfId="1138"/>
    <cellStyle name="20% - Accent4 2 3 3 2 2 2" xfId="1139"/>
    <cellStyle name="20% - Accent4 2 3 3 2 3" xfId="1140"/>
    <cellStyle name="20% - Accent4 2 3 3 3" xfId="1141"/>
    <cellStyle name="20% - Accent4 2 3 3 3 2" xfId="1142"/>
    <cellStyle name="20% - Accent4 2 3 3 4" xfId="1143"/>
    <cellStyle name="20% - Accent4 2 3 4" xfId="1144"/>
    <cellStyle name="20% - Accent4 2 3 4 2" xfId="1145"/>
    <cellStyle name="20% - Accent4 2 3 5" xfId="1146"/>
    <cellStyle name="20% - Accent4 2 4" xfId="1147"/>
    <cellStyle name="20% - Accent4 2 4 2" xfId="1148"/>
    <cellStyle name="20% - Accent4 2 4 2 2" xfId="1149"/>
    <cellStyle name="20% - Accent4 2 4 2 2 2" xfId="1150"/>
    <cellStyle name="20% - Accent4 2 4 2 3" xfId="1151"/>
    <cellStyle name="20% - Accent4 2 4 3" xfId="1152"/>
    <cellStyle name="20% - Accent4 2 4 3 2" xfId="1153"/>
    <cellStyle name="20% - Accent4 2 4 4" xfId="1154"/>
    <cellStyle name="20% - Accent4 2 5" xfId="1155"/>
    <cellStyle name="20% - Accent4 2 5 2" xfId="1156"/>
    <cellStyle name="20% - Accent4 2 5 2 2" xfId="1157"/>
    <cellStyle name="20% - Accent4 2 5 2 2 2" xfId="1158"/>
    <cellStyle name="20% - Accent4 2 5 2 3" xfId="1159"/>
    <cellStyle name="20% - Accent4 2 5 3" xfId="1160"/>
    <cellStyle name="20% - Accent4 2 5 3 2" xfId="1161"/>
    <cellStyle name="20% - Accent4 2 5 3 2 2" xfId="1162"/>
    <cellStyle name="20% - Accent4 2 5 3 2 2 2" xfId="1163"/>
    <cellStyle name="20% - Accent4 2 5 3 2 3" xfId="1164"/>
    <cellStyle name="20% - Accent4 2 5 3 3" xfId="1165"/>
    <cellStyle name="20% - Accent4 2 5 3 3 2" xfId="1166"/>
    <cellStyle name="20% - Accent4 2 5 3 4" xfId="1167"/>
    <cellStyle name="20% - Accent4 2 5 4" xfId="1168"/>
    <cellStyle name="20% - Accent4 2 5 4 2" xfId="1169"/>
    <cellStyle name="20% - Accent4 2 5 5" xfId="1170"/>
    <cellStyle name="20% - Accent4 2 6" xfId="1171"/>
    <cellStyle name="20% - Accent4 2 6 2" xfId="1172"/>
    <cellStyle name="20% - Accent4 2 6 2 2" xfId="1173"/>
    <cellStyle name="20% - Accent4 2 6 3" xfId="1174"/>
    <cellStyle name="20% - Accent4 2 7" xfId="1175"/>
    <cellStyle name="20% - Accent4 2 7 2" xfId="1176"/>
    <cellStyle name="20% - Accent4 2 7 2 2" xfId="1177"/>
    <cellStyle name="20% - Accent4 2 7 3" xfId="1178"/>
    <cellStyle name="20% - Accent4 2 8" xfId="1179"/>
    <cellStyle name="20% - Accent4 2 8 2" xfId="1180"/>
    <cellStyle name="20% - Accent4 2 8 2 2" xfId="1181"/>
    <cellStyle name="20% - Accent4 2 8 2 2 2" xfId="1182"/>
    <cellStyle name="20% - Accent4 2 8 2 3" xfId="1183"/>
    <cellStyle name="20% - Accent4 2 8 3" xfId="1184"/>
    <cellStyle name="20% - Accent4 2 8 3 2" xfId="1185"/>
    <cellStyle name="20% - Accent4 2 8 4" xfId="1186"/>
    <cellStyle name="20% - Accent4 2 9" xfId="1187"/>
    <cellStyle name="20% - Accent4 2 9 2" xfId="1188"/>
    <cellStyle name="20% - Accent4 3" xfId="1189"/>
    <cellStyle name="20% - Accent4 3 2" xfId="1190"/>
    <cellStyle name="20% - Accent4 3 2 2" xfId="1191"/>
    <cellStyle name="20% - Accent4 3 2 2 2" xfId="1192"/>
    <cellStyle name="20% - Accent4 3 2 3" xfId="1193"/>
    <cellStyle name="20% - Accent4 3 3" xfId="1194"/>
    <cellStyle name="20% - Accent4 3 3 2" xfId="1195"/>
    <cellStyle name="20% - Accent4 3 4" xfId="1196"/>
    <cellStyle name="20% - Accent4 3 4 2" xfId="1197"/>
    <cellStyle name="20% - Accent4 3 4 2 2" xfId="1198"/>
    <cellStyle name="20% - Accent4 3 4 3" xfId="1199"/>
    <cellStyle name="20% - Accent4 3 5" xfId="1200"/>
    <cellStyle name="20% - Accent4 4" xfId="1201"/>
    <cellStyle name="20% - Accent4 4 2" xfId="1202"/>
    <cellStyle name="20% - Accent4 4 2 2" xfId="1203"/>
    <cellStyle name="20% - Accent4 4 3" xfId="1204"/>
    <cellStyle name="20% - Accent4 4 3 2" xfId="1205"/>
    <cellStyle name="20% - Accent4 4 3 2 2" xfId="1206"/>
    <cellStyle name="20% - Accent4 4 3 3" xfId="1207"/>
    <cellStyle name="20% - Accent4 4 4" xfId="1208"/>
    <cellStyle name="20% - Accent4 5" xfId="1209"/>
    <cellStyle name="20% - Accent4 5 2" xfId="1210"/>
    <cellStyle name="20% - Accent4 5 2 2" xfId="1211"/>
    <cellStyle name="20% - Accent4 5 2 2 2" xfId="1212"/>
    <cellStyle name="20% - Accent4 5 2 3" xfId="1213"/>
    <cellStyle name="20% - Accent4 5 3" xfId="1214"/>
    <cellStyle name="20% - Accent4 5 3 2" xfId="1215"/>
    <cellStyle name="20% - Accent4 5 3 2 2" xfId="1216"/>
    <cellStyle name="20% - Accent4 5 3 2 2 2" xfId="1217"/>
    <cellStyle name="20% - Accent4 5 3 2 3" xfId="1218"/>
    <cellStyle name="20% - Accent4 5 3 3" xfId="1219"/>
    <cellStyle name="20% - Accent4 5 3 3 2" xfId="1220"/>
    <cellStyle name="20% - Accent4 5 3 4" xfId="1221"/>
    <cellStyle name="20% - Accent4 5 4" xfId="1222"/>
    <cellStyle name="20% - Accent4 5 4 2" xfId="1223"/>
    <cellStyle name="20% - Accent4 5 5" xfId="1224"/>
    <cellStyle name="20% - Accent4 6" xfId="1225"/>
    <cellStyle name="20% - Accent4 6 2" xfId="1226"/>
    <cellStyle name="20% - Accent4 6 2 2" xfId="1227"/>
    <cellStyle name="20% - Accent4 6 2 2 2" xfId="1228"/>
    <cellStyle name="20% - Accent4 6 2 3" xfId="1229"/>
    <cellStyle name="20% - Accent4 6 3" xfId="1230"/>
    <cellStyle name="20% - Accent4 6 3 2" xfId="1231"/>
    <cellStyle name="20% - Accent4 6 4" xfId="1232"/>
    <cellStyle name="20% - Accent4 7" xfId="1233"/>
    <cellStyle name="20% - Accent4 8" xfId="1234"/>
    <cellStyle name="20% - Accent5 2" xfId="1235"/>
    <cellStyle name="20% - Accent5 2 10" xfId="1236"/>
    <cellStyle name="20% - Accent5 2 10 2" xfId="1237"/>
    <cellStyle name="20% - Accent5 2 11" xfId="1238"/>
    <cellStyle name="20% - Accent5 2 2" xfId="1239"/>
    <cellStyle name="20% - Accent5 2 2 2" xfId="1240"/>
    <cellStyle name="20% - Accent5 2 2 2 2" xfId="1241"/>
    <cellStyle name="20% - Accent5 2 2 2 2 2" xfId="1242"/>
    <cellStyle name="20% - Accent5 2 2 2 3" xfId="1243"/>
    <cellStyle name="20% - Accent5 2 2 2 3 2" xfId="1244"/>
    <cellStyle name="20% - Accent5 2 2 2 3 2 2" xfId="1245"/>
    <cellStyle name="20% - Accent5 2 2 2 3 3" xfId="1246"/>
    <cellStyle name="20% - Accent5 2 2 2 4" xfId="1247"/>
    <cellStyle name="20% - Accent5 2 2 3" xfId="1248"/>
    <cellStyle name="20% - Accent5 2 2 3 2" xfId="1249"/>
    <cellStyle name="20% - Accent5 2 2 3 2 2" xfId="1250"/>
    <cellStyle name="20% - Accent5 2 2 3 3" xfId="1251"/>
    <cellStyle name="20% - Accent5 2 2 4" xfId="1252"/>
    <cellStyle name="20% - Accent5 2 2 4 2" xfId="1253"/>
    <cellStyle name="20% - Accent5 2 2 4 2 2" xfId="1254"/>
    <cellStyle name="20% - Accent5 2 2 4 2 2 2" xfId="1255"/>
    <cellStyle name="20% - Accent5 2 2 4 2 3" xfId="1256"/>
    <cellStyle name="20% - Accent5 2 2 4 3" xfId="1257"/>
    <cellStyle name="20% - Accent5 2 2 4 3 2" xfId="1258"/>
    <cellStyle name="20% - Accent5 2 2 4 4" xfId="1259"/>
    <cellStyle name="20% - Accent5 2 2 5" xfId="1260"/>
    <cellStyle name="20% - Accent5 2 2 5 2" xfId="1261"/>
    <cellStyle name="20% - Accent5 2 2 6" xfId="1262"/>
    <cellStyle name="20% - Accent5 2 3" xfId="1263"/>
    <cellStyle name="20% - Accent5 2 3 2" xfId="1264"/>
    <cellStyle name="20% - Accent5 2 3 2 2" xfId="1265"/>
    <cellStyle name="20% - Accent5 2 3 2 2 2" xfId="1266"/>
    <cellStyle name="20% - Accent5 2 3 2 3" xfId="1267"/>
    <cellStyle name="20% - Accent5 2 3 3" xfId="1268"/>
    <cellStyle name="20% - Accent5 2 3 3 2" xfId="1269"/>
    <cellStyle name="20% - Accent5 2 3 3 2 2" xfId="1270"/>
    <cellStyle name="20% - Accent5 2 3 3 2 2 2" xfId="1271"/>
    <cellStyle name="20% - Accent5 2 3 3 2 3" xfId="1272"/>
    <cellStyle name="20% - Accent5 2 3 3 3" xfId="1273"/>
    <cellStyle name="20% - Accent5 2 3 3 3 2" xfId="1274"/>
    <cellStyle name="20% - Accent5 2 3 3 4" xfId="1275"/>
    <cellStyle name="20% - Accent5 2 3 4" xfId="1276"/>
    <cellStyle name="20% - Accent5 2 3 4 2" xfId="1277"/>
    <cellStyle name="20% - Accent5 2 3 5" xfId="1278"/>
    <cellStyle name="20% - Accent5 2 4" xfId="1279"/>
    <cellStyle name="20% - Accent5 2 4 2" xfId="1280"/>
    <cellStyle name="20% - Accent5 2 4 2 2" xfId="1281"/>
    <cellStyle name="20% - Accent5 2 4 2 2 2" xfId="1282"/>
    <cellStyle name="20% - Accent5 2 4 2 3" xfId="1283"/>
    <cellStyle name="20% - Accent5 2 4 3" xfId="1284"/>
    <cellStyle name="20% - Accent5 2 4 3 2" xfId="1285"/>
    <cellStyle name="20% - Accent5 2 4 4" xfId="1286"/>
    <cellStyle name="20% - Accent5 2 5" xfId="1287"/>
    <cellStyle name="20% - Accent5 2 5 2" xfId="1288"/>
    <cellStyle name="20% - Accent5 2 5 2 2" xfId="1289"/>
    <cellStyle name="20% - Accent5 2 5 2 2 2" xfId="1290"/>
    <cellStyle name="20% - Accent5 2 5 2 3" xfId="1291"/>
    <cellStyle name="20% - Accent5 2 5 3" xfId="1292"/>
    <cellStyle name="20% - Accent5 2 5 3 2" xfId="1293"/>
    <cellStyle name="20% - Accent5 2 5 3 2 2" xfId="1294"/>
    <cellStyle name="20% - Accent5 2 5 3 2 2 2" xfId="1295"/>
    <cellStyle name="20% - Accent5 2 5 3 2 3" xfId="1296"/>
    <cellStyle name="20% - Accent5 2 5 3 3" xfId="1297"/>
    <cellStyle name="20% - Accent5 2 5 3 3 2" xfId="1298"/>
    <cellStyle name="20% - Accent5 2 5 3 4" xfId="1299"/>
    <cellStyle name="20% - Accent5 2 5 4" xfId="1300"/>
    <cellStyle name="20% - Accent5 2 5 4 2" xfId="1301"/>
    <cellStyle name="20% - Accent5 2 5 5" xfId="1302"/>
    <cellStyle name="20% - Accent5 2 6" xfId="1303"/>
    <cellStyle name="20% - Accent5 2 6 2" xfId="1304"/>
    <cellStyle name="20% - Accent5 2 6 2 2" xfId="1305"/>
    <cellStyle name="20% - Accent5 2 6 3" xfId="1306"/>
    <cellStyle name="20% - Accent5 2 7" xfId="1307"/>
    <cellStyle name="20% - Accent5 2 7 2" xfId="1308"/>
    <cellStyle name="20% - Accent5 2 7 2 2" xfId="1309"/>
    <cellStyle name="20% - Accent5 2 7 3" xfId="1310"/>
    <cellStyle name="20% - Accent5 2 8" xfId="1311"/>
    <cellStyle name="20% - Accent5 2 8 2" xfId="1312"/>
    <cellStyle name="20% - Accent5 2 8 2 2" xfId="1313"/>
    <cellStyle name="20% - Accent5 2 8 2 2 2" xfId="1314"/>
    <cellStyle name="20% - Accent5 2 8 2 3" xfId="1315"/>
    <cellStyle name="20% - Accent5 2 8 3" xfId="1316"/>
    <cellStyle name="20% - Accent5 2 8 3 2" xfId="1317"/>
    <cellStyle name="20% - Accent5 2 8 4" xfId="1318"/>
    <cellStyle name="20% - Accent5 2 9" xfId="1319"/>
    <cellStyle name="20% - Accent5 2 9 2" xfId="1320"/>
    <cellStyle name="20% - Accent5 3" xfId="1321"/>
    <cellStyle name="20% - Accent5 3 2" xfId="1322"/>
    <cellStyle name="20% - Accent5 3 2 2" xfId="1323"/>
    <cellStyle name="20% - Accent5 3 2 2 2" xfId="1324"/>
    <cellStyle name="20% - Accent5 3 2 3" xfId="1325"/>
    <cellStyle name="20% - Accent5 3 3" xfId="1326"/>
    <cellStyle name="20% - Accent5 3 3 2" xfId="1327"/>
    <cellStyle name="20% - Accent5 3 4" xfId="1328"/>
    <cellStyle name="20% - Accent5 3 4 2" xfId="1329"/>
    <cellStyle name="20% - Accent5 3 4 2 2" xfId="1330"/>
    <cellStyle name="20% - Accent5 3 4 3" xfId="1331"/>
    <cellStyle name="20% - Accent5 3 5" xfId="1332"/>
    <cellStyle name="20% - Accent5 4" xfId="1333"/>
    <cellStyle name="20% - Accent5 4 2" xfId="1334"/>
    <cellStyle name="20% - Accent5 4 2 2" xfId="1335"/>
    <cellStyle name="20% - Accent5 4 3" xfId="1336"/>
    <cellStyle name="20% - Accent5 4 3 2" xfId="1337"/>
    <cellStyle name="20% - Accent5 4 3 2 2" xfId="1338"/>
    <cellStyle name="20% - Accent5 4 3 3" xfId="1339"/>
    <cellStyle name="20% - Accent5 4 4" xfId="1340"/>
    <cellStyle name="20% - Accent5 5" xfId="1341"/>
    <cellStyle name="20% - Accent5 5 2" xfId="1342"/>
    <cellStyle name="20% - Accent5 5 2 2" xfId="1343"/>
    <cellStyle name="20% - Accent5 5 2 2 2" xfId="1344"/>
    <cellStyle name="20% - Accent5 5 2 3" xfId="1345"/>
    <cellStyle name="20% - Accent5 5 3" xfId="1346"/>
    <cellStyle name="20% - Accent5 5 3 2" xfId="1347"/>
    <cellStyle name="20% - Accent5 5 3 2 2" xfId="1348"/>
    <cellStyle name="20% - Accent5 5 3 2 2 2" xfId="1349"/>
    <cellStyle name="20% - Accent5 5 3 2 3" xfId="1350"/>
    <cellStyle name="20% - Accent5 5 3 3" xfId="1351"/>
    <cellStyle name="20% - Accent5 5 3 3 2" xfId="1352"/>
    <cellStyle name="20% - Accent5 5 3 4" xfId="1353"/>
    <cellStyle name="20% - Accent5 5 4" xfId="1354"/>
    <cellStyle name="20% - Accent5 5 4 2" xfId="1355"/>
    <cellStyle name="20% - Accent5 5 5" xfId="1356"/>
    <cellStyle name="20% - Accent5 6" xfId="1357"/>
    <cellStyle name="20% - Accent5 6 2" xfId="1358"/>
    <cellStyle name="20% - Accent5 6 2 2" xfId="1359"/>
    <cellStyle name="20% - Accent5 6 2 2 2" xfId="1360"/>
    <cellStyle name="20% - Accent5 6 2 3" xfId="1361"/>
    <cellStyle name="20% - Accent5 6 3" xfId="1362"/>
    <cellStyle name="20% - Accent5 6 3 2" xfId="1363"/>
    <cellStyle name="20% - Accent5 6 4" xfId="1364"/>
    <cellStyle name="20% - Accent5 7" xfId="1365"/>
    <cellStyle name="20% - Accent5 8" xfId="1366"/>
    <cellStyle name="20% - Accent6 2" xfId="1367"/>
    <cellStyle name="20% - Accent6 2 10" xfId="1368"/>
    <cellStyle name="20% - Accent6 2 10 2" xfId="1369"/>
    <cellStyle name="20% - Accent6 2 11" xfId="1370"/>
    <cellStyle name="20% - Accent6 2 2" xfId="1371"/>
    <cellStyle name="20% - Accent6 2 2 2" xfId="1372"/>
    <cellStyle name="20% - Accent6 2 2 2 2" xfId="1373"/>
    <cellStyle name="20% - Accent6 2 2 2 2 2" xfId="1374"/>
    <cellStyle name="20% - Accent6 2 2 2 3" xfId="1375"/>
    <cellStyle name="20% - Accent6 2 2 2 3 2" xfId="1376"/>
    <cellStyle name="20% - Accent6 2 2 2 3 2 2" xfId="1377"/>
    <cellStyle name="20% - Accent6 2 2 2 3 3" xfId="1378"/>
    <cellStyle name="20% - Accent6 2 2 2 4" xfId="1379"/>
    <cellStyle name="20% - Accent6 2 2 3" xfId="1380"/>
    <cellStyle name="20% - Accent6 2 2 3 2" xfId="1381"/>
    <cellStyle name="20% - Accent6 2 2 3 2 2" xfId="1382"/>
    <cellStyle name="20% - Accent6 2 2 3 3" xfId="1383"/>
    <cellStyle name="20% - Accent6 2 2 4" xfId="1384"/>
    <cellStyle name="20% - Accent6 2 2 4 2" xfId="1385"/>
    <cellStyle name="20% - Accent6 2 2 4 2 2" xfId="1386"/>
    <cellStyle name="20% - Accent6 2 2 4 2 2 2" xfId="1387"/>
    <cellStyle name="20% - Accent6 2 2 4 2 3" xfId="1388"/>
    <cellStyle name="20% - Accent6 2 2 4 3" xfId="1389"/>
    <cellStyle name="20% - Accent6 2 2 4 3 2" xfId="1390"/>
    <cellStyle name="20% - Accent6 2 2 4 4" xfId="1391"/>
    <cellStyle name="20% - Accent6 2 2 5" xfId="1392"/>
    <cellStyle name="20% - Accent6 2 2 5 2" xfId="1393"/>
    <cellStyle name="20% - Accent6 2 2 6" xfId="1394"/>
    <cellStyle name="20% - Accent6 2 3" xfId="1395"/>
    <cellStyle name="20% - Accent6 2 3 2" xfId="1396"/>
    <cellStyle name="20% - Accent6 2 3 2 2" xfId="1397"/>
    <cellStyle name="20% - Accent6 2 3 2 2 2" xfId="1398"/>
    <cellStyle name="20% - Accent6 2 3 2 3" xfId="1399"/>
    <cellStyle name="20% - Accent6 2 3 3" xfId="1400"/>
    <cellStyle name="20% - Accent6 2 3 3 2" xfId="1401"/>
    <cellStyle name="20% - Accent6 2 3 3 2 2" xfId="1402"/>
    <cellStyle name="20% - Accent6 2 3 3 2 2 2" xfId="1403"/>
    <cellStyle name="20% - Accent6 2 3 3 2 3" xfId="1404"/>
    <cellStyle name="20% - Accent6 2 3 3 3" xfId="1405"/>
    <cellStyle name="20% - Accent6 2 3 3 3 2" xfId="1406"/>
    <cellStyle name="20% - Accent6 2 3 3 4" xfId="1407"/>
    <cellStyle name="20% - Accent6 2 3 4" xfId="1408"/>
    <cellStyle name="20% - Accent6 2 3 4 2" xfId="1409"/>
    <cellStyle name="20% - Accent6 2 3 5" xfId="1410"/>
    <cellStyle name="20% - Accent6 2 4" xfId="1411"/>
    <cellStyle name="20% - Accent6 2 4 2" xfId="1412"/>
    <cellStyle name="20% - Accent6 2 4 2 2" xfId="1413"/>
    <cellStyle name="20% - Accent6 2 4 2 2 2" xfId="1414"/>
    <cellStyle name="20% - Accent6 2 4 2 3" xfId="1415"/>
    <cellStyle name="20% - Accent6 2 4 3" xfId="1416"/>
    <cellStyle name="20% - Accent6 2 4 3 2" xfId="1417"/>
    <cellStyle name="20% - Accent6 2 4 4" xfId="1418"/>
    <cellStyle name="20% - Accent6 2 5" xfId="1419"/>
    <cellStyle name="20% - Accent6 2 5 2" xfId="1420"/>
    <cellStyle name="20% - Accent6 2 5 2 2" xfId="1421"/>
    <cellStyle name="20% - Accent6 2 5 2 2 2" xfId="1422"/>
    <cellStyle name="20% - Accent6 2 5 2 3" xfId="1423"/>
    <cellStyle name="20% - Accent6 2 5 3" xfId="1424"/>
    <cellStyle name="20% - Accent6 2 5 3 2" xfId="1425"/>
    <cellStyle name="20% - Accent6 2 5 3 2 2" xfId="1426"/>
    <cellStyle name="20% - Accent6 2 5 3 2 2 2" xfId="1427"/>
    <cellStyle name="20% - Accent6 2 5 3 2 3" xfId="1428"/>
    <cellStyle name="20% - Accent6 2 5 3 3" xfId="1429"/>
    <cellStyle name="20% - Accent6 2 5 3 3 2" xfId="1430"/>
    <cellStyle name="20% - Accent6 2 5 3 4" xfId="1431"/>
    <cellStyle name="20% - Accent6 2 5 4" xfId="1432"/>
    <cellStyle name="20% - Accent6 2 5 4 2" xfId="1433"/>
    <cellStyle name="20% - Accent6 2 5 5" xfId="1434"/>
    <cellStyle name="20% - Accent6 2 6" xfId="1435"/>
    <cellStyle name="20% - Accent6 2 6 2" xfId="1436"/>
    <cellStyle name="20% - Accent6 2 6 2 2" xfId="1437"/>
    <cellStyle name="20% - Accent6 2 6 3" xfId="1438"/>
    <cellStyle name="20% - Accent6 2 7" xfId="1439"/>
    <cellStyle name="20% - Accent6 2 7 2" xfId="1440"/>
    <cellStyle name="20% - Accent6 2 7 2 2" xfId="1441"/>
    <cellStyle name="20% - Accent6 2 7 3" xfId="1442"/>
    <cellStyle name="20% - Accent6 2 8" xfId="1443"/>
    <cellStyle name="20% - Accent6 2 8 2" xfId="1444"/>
    <cellStyle name="20% - Accent6 2 8 2 2" xfId="1445"/>
    <cellStyle name="20% - Accent6 2 8 2 2 2" xfId="1446"/>
    <cellStyle name="20% - Accent6 2 8 2 3" xfId="1447"/>
    <cellStyle name="20% - Accent6 2 8 3" xfId="1448"/>
    <cellStyle name="20% - Accent6 2 8 3 2" xfId="1449"/>
    <cellStyle name="20% - Accent6 2 8 4" xfId="1450"/>
    <cellStyle name="20% - Accent6 2 9" xfId="1451"/>
    <cellStyle name="20% - Accent6 2 9 2" xfId="1452"/>
    <cellStyle name="20% - Accent6 3" xfId="1453"/>
    <cellStyle name="20% - Accent6 3 2" xfId="1454"/>
    <cellStyle name="20% - Accent6 3 2 2" xfId="1455"/>
    <cellStyle name="20% - Accent6 3 2 2 2" xfId="1456"/>
    <cellStyle name="20% - Accent6 3 2 3" xfId="1457"/>
    <cellStyle name="20% - Accent6 3 3" xfId="1458"/>
    <cellStyle name="20% - Accent6 3 3 2" xfId="1459"/>
    <cellStyle name="20% - Accent6 3 4" xfId="1460"/>
    <cellStyle name="20% - Accent6 3 4 2" xfId="1461"/>
    <cellStyle name="20% - Accent6 3 4 2 2" xfId="1462"/>
    <cellStyle name="20% - Accent6 3 4 3" xfId="1463"/>
    <cellStyle name="20% - Accent6 3 5" xfId="1464"/>
    <cellStyle name="20% - Accent6 4" xfId="1465"/>
    <cellStyle name="20% - Accent6 4 2" xfId="1466"/>
    <cellStyle name="20% - Accent6 4 2 2" xfId="1467"/>
    <cellStyle name="20% - Accent6 4 3" xfId="1468"/>
    <cellStyle name="20% - Accent6 4 3 2" xfId="1469"/>
    <cellStyle name="20% - Accent6 4 3 2 2" xfId="1470"/>
    <cellStyle name="20% - Accent6 4 3 3" xfId="1471"/>
    <cellStyle name="20% - Accent6 4 4" xfId="1472"/>
    <cellStyle name="20% - Accent6 5" xfId="1473"/>
    <cellStyle name="20% - Accent6 5 2" xfId="1474"/>
    <cellStyle name="20% - Accent6 5 2 2" xfId="1475"/>
    <cellStyle name="20% - Accent6 5 2 2 2" xfId="1476"/>
    <cellStyle name="20% - Accent6 5 2 3" xfId="1477"/>
    <cellStyle name="20% - Accent6 5 3" xfId="1478"/>
    <cellStyle name="20% - Accent6 5 3 2" xfId="1479"/>
    <cellStyle name="20% - Accent6 5 3 2 2" xfId="1480"/>
    <cellStyle name="20% - Accent6 5 3 2 2 2" xfId="1481"/>
    <cellStyle name="20% - Accent6 5 3 2 3" xfId="1482"/>
    <cellStyle name="20% - Accent6 5 3 3" xfId="1483"/>
    <cellStyle name="20% - Accent6 5 3 3 2" xfId="1484"/>
    <cellStyle name="20% - Accent6 5 3 4" xfId="1485"/>
    <cellStyle name="20% - Accent6 5 4" xfId="1486"/>
    <cellStyle name="20% - Accent6 5 4 2" xfId="1487"/>
    <cellStyle name="20% - Accent6 5 5" xfId="1488"/>
    <cellStyle name="20% - Accent6 6" xfId="1489"/>
    <cellStyle name="20% - Accent6 6 2" xfId="1490"/>
    <cellStyle name="20% - Accent6 6 2 2" xfId="1491"/>
    <cellStyle name="20% - Accent6 6 2 2 2" xfId="1492"/>
    <cellStyle name="20% - Accent6 6 2 3" xfId="1493"/>
    <cellStyle name="20% - Accent6 6 3" xfId="1494"/>
    <cellStyle name="20% - Accent6 6 3 2" xfId="1495"/>
    <cellStyle name="20% - Accent6 6 4" xfId="1496"/>
    <cellStyle name="20% - Accent6 7" xfId="1497"/>
    <cellStyle name="20% - Accent6 8" xfId="1498"/>
    <cellStyle name="40% - Accent1 2" xfId="1499"/>
    <cellStyle name="40% - Accent1 2 10" xfId="1500"/>
    <cellStyle name="40% - Accent1 2 10 2" xfId="1501"/>
    <cellStyle name="40% - Accent1 2 11" xfId="1502"/>
    <cellStyle name="40% - Accent1 2 2" xfId="1503"/>
    <cellStyle name="40% - Accent1 2 2 2" xfId="1504"/>
    <cellStyle name="40% - Accent1 2 2 2 2" xfId="1505"/>
    <cellStyle name="40% - Accent1 2 2 2 2 2" xfId="1506"/>
    <cellStyle name="40% - Accent1 2 2 2 3" xfId="1507"/>
    <cellStyle name="40% - Accent1 2 2 2 3 2" xfId="1508"/>
    <cellStyle name="40% - Accent1 2 2 2 3 2 2" xfId="1509"/>
    <cellStyle name="40% - Accent1 2 2 2 3 3" xfId="1510"/>
    <cellStyle name="40% - Accent1 2 2 2 4" xfId="1511"/>
    <cellStyle name="40% - Accent1 2 2 3" xfId="1512"/>
    <cellStyle name="40% - Accent1 2 2 3 2" xfId="1513"/>
    <cellStyle name="40% - Accent1 2 2 3 2 2" xfId="1514"/>
    <cellStyle name="40% - Accent1 2 2 3 3" xfId="1515"/>
    <cellStyle name="40% - Accent1 2 2 4" xfId="1516"/>
    <cellStyle name="40% - Accent1 2 2 4 2" xfId="1517"/>
    <cellStyle name="40% - Accent1 2 2 4 2 2" xfId="1518"/>
    <cellStyle name="40% - Accent1 2 2 4 2 2 2" xfId="1519"/>
    <cellStyle name="40% - Accent1 2 2 4 2 3" xfId="1520"/>
    <cellStyle name="40% - Accent1 2 2 4 3" xfId="1521"/>
    <cellStyle name="40% - Accent1 2 2 4 3 2" xfId="1522"/>
    <cellStyle name="40% - Accent1 2 2 4 4" xfId="1523"/>
    <cellStyle name="40% - Accent1 2 2 5" xfId="1524"/>
    <cellStyle name="40% - Accent1 2 2 5 2" xfId="1525"/>
    <cellStyle name="40% - Accent1 2 2 6" xfId="1526"/>
    <cellStyle name="40% - Accent1 2 3" xfId="1527"/>
    <cellStyle name="40% - Accent1 2 3 2" xfId="1528"/>
    <cellStyle name="40% - Accent1 2 3 2 2" xfId="1529"/>
    <cellStyle name="40% - Accent1 2 3 2 2 2" xfId="1530"/>
    <cellStyle name="40% - Accent1 2 3 2 3" xfId="1531"/>
    <cellStyle name="40% - Accent1 2 3 3" xfId="1532"/>
    <cellStyle name="40% - Accent1 2 3 3 2" xfId="1533"/>
    <cellStyle name="40% - Accent1 2 3 3 2 2" xfId="1534"/>
    <cellStyle name="40% - Accent1 2 3 3 2 2 2" xfId="1535"/>
    <cellStyle name="40% - Accent1 2 3 3 2 3" xfId="1536"/>
    <cellStyle name="40% - Accent1 2 3 3 3" xfId="1537"/>
    <cellStyle name="40% - Accent1 2 3 3 3 2" xfId="1538"/>
    <cellStyle name="40% - Accent1 2 3 3 4" xfId="1539"/>
    <cellStyle name="40% - Accent1 2 3 4" xfId="1540"/>
    <cellStyle name="40% - Accent1 2 3 4 2" xfId="1541"/>
    <cellStyle name="40% - Accent1 2 3 5" xfId="1542"/>
    <cellStyle name="40% - Accent1 2 4" xfId="1543"/>
    <cellStyle name="40% - Accent1 2 4 2" xfId="1544"/>
    <cellStyle name="40% - Accent1 2 4 2 2" xfId="1545"/>
    <cellStyle name="40% - Accent1 2 4 2 2 2" xfId="1546"/>
    <cellStyle name="40% - Accent1 2 4 2 3" xfId="1547"/>
    <cellStyle name="40% - Accent1 2 4 3" xfId="1548"/>
    <cellStyle name="40% - Accent1 2 4 3 2" xfId="1549"/>
    <cellStyle name="40% - Accent1 2 4 4" xfId="1550"/>
    <cellStyle name="40% - Accent1 2 5" xfId="1551"/>
    <cellStyle name="40% - Accent1 2 5 2" xfId="1552"/>
    <cellStyle name="40% - Accent1 2 5 2 2" xfId="1553"/>
    <cellStyle name="40% - Accent1 2 5 2 2 2" xfId="1554"/>
    <cellStyle name="40% - Accent1 2 5 2 3" xfId="1555"/>
    <cellStyle name="40% - Accent1 2 5 3" xfId="1556"/>
    <cellStyle name="40% - Accent1 2 5 3 2" xfId="1557"/>
    <cellStyle name="40% - Accent1 2 5 3 2 2" xfId="1558"/>
    <cellStyle name="40% - Accent1 2 5 3 2 2 2" xfId="1559"/>
    <cellStyle name="40% - Accent1 2 5 3 2 3" xfId="1560"/>
    <cellStyle name="40% - Accent1 2 5 3 3" xfId="1561"/>
    <cellStyle name="40% - Accent1 2 5 3 3 2" xfId="1562"/>
    <cellStyle name="40% - Accent1 2 5 3 4" xfId="1563"/>
    <cellStyle name="40% - Accent1 2 5 4" xfId="1564"/>
    <cellStyle name="40% - Accent1 2 5 4 2" xfId="1565"/>
    <cellStyle name="40% - Accent1 2 5 5" xfId="1566"/>
    <cellStyle name="40% - Accent1 2 6" xfId="1567"/>
    <cellStyle name="40% - Accent1 2 6 2" xfId="1568"/>
    <cellStyle name="40% - Accent1 2 6 2 2" xfId="1569"/>
    <cellStyle name="40% - Accent1 2 6 3" xfId="1570"/>
    <cellStyle name="40% - Accent1 2 7" xfId="1571"/>
    <cellStyle name="40% - Accent1 2 7 2" xfId="1572"/>
    <cellStyle name="40% - Accent1 2 7 2 2" xfId="1573"/>
    <cellStyle name="40% - Accent1 2 7 3" xfId="1574"/>
    <cellStyle name="40% - Accent1 2 8" xfId="1575"/>
    <cellStyle name="40% - Accent1 2 8 2" xfId="1576"/>
    <cellStyle name="40% - Accent1 2 8 2 2" xfId="1577"/>
    <cellStyle name="40% - Accent1 2 8 2 2 2" xfId="1578"/>
    <cellStyle name="40% - Accent1 2 8 2 3" xfId="1579"/>
    <cellStyle name="40% - Accent1 2 8 3" xfId="1580"/>
    <cellStyle name="40% - Accent1 2 8 3 2" xfId="1581"/>
    <cellStyle name="40% - Accent1 2 8 4" xfId="1582"/>
    <cellStyle name="40% - Accent1 2 9" xfId="1583"/>
    <cellStyle name="40% - Accent1 2 9 2" xfId="1584"/>
    <cellStyle name="40% - Accent1 3" xfId="1585"/>
    <cellStyle name="40% - Accent1 3 2" xfId="1586"/>
    <cellStyle name="40% - Accent1 3 2 2" xfId="1587"/>
    <cellStyle name="40% - Accent1 3 2 2 2" xfId="1588"/>
    <cellStyle name="40% - Accent1 3 2 3" xfId="1589"/>
    <cellStyle name="40% - Accent1 3 3" xfId="1590"/>
    <cellStyle name="40% - Accent1 3 3 2" xfId="1591"/>
    <cellStyle name="40% - Accent1 3 4" xfId="1592"/>
    <cellStyle name="40% - Accent1 3 4 2" xfId="1593"/>
    <cellStyle name="40% - Accent1 3 4 2 2" xfId="1594"/>
    <cellStyle name="40% - Accent1 3 4 3" xfId="1595"/>
    <cellStyle name="40% - Accent1 3 5" xfId="1596"/>
    <cellStyle name="40% - Accent1 4" xfId="1597"/>
    <cellStyle name="40% - Accent1 4 2" xfId="1598"/>
    <cellStyle name="40% - Accent1 4 2 2" xfId="1599"/>
    <cellStyle name="40% - Accent1 4 3" xfId="1600"/>
    <cellStyle name="40% - Accent1 4 3 2" xfId="1601"/>
    <cellStyle name="40% - Accent1 4 3 2 2" xfId="1602"/>
    <cellStyle name="40% - Accent1 4 3 3" xfId="1603"/>
    <cellStyle name="40% - Accent1 4 4" xfId="1604"/>
    <cellStyle name="40% - Accent1 5" xfId="1605"/>
    <cellStyle name="40% - Accent1 5 2" xfId="1606"/>
    <cellStyle name="40% - Accent1 5 2 2" xfId="1607"/>
    <cellStyle name="40% - Accent1 5 2 2 2" xfId="1608"/>
    <cellStyle name="40% - Accent1 5 2 3" xfId="1609"/>
    <cellStyle name="40% - Accent1 5 3" xfId="1610"/>
    <cellStyle name="40% - Accent1 5 3 2" xfId="1611"/>
    <cellStyle name="40% - Accent1 5 3 2 2" xfId="1612"/>
    <cellStyle name="40% - Accent1 5 3 2 2 2" xfId="1613"/>
    <cellStyle name="40% - Accent1 5 3 2 3" xfId="1614"/>
    <cellStyle name="40% - Accent1 5 3 3" xfId="1615"/>
    <cellStyle name="40% - Accent1 5 3 3 2" xfId="1616"/>
    <cellStyle name="40% - Accent1 5 3 4" xfId="1617"/>
    <cellStyle name="40% - Accent1 5 4" xfId="1618"/>
    <cellStyle name="40% - Accent1 5 4 2" xfId="1619"/>
    <cellStyle name="40% - Accent1 5 5" xfId="1620"/>
    <cellStyle name="40% - Accent1 6" xfId="1621"/>
    <cellStyle name="40% - Accent1 6 2" xfId="1622"/>
    <cellStyle name="40% - Accent1 6 2 2" xfId="1623"/>
    <cellStyle name="40% - Accent1 6 2 2 2" xfId="1624"/>
    <cellStyle name="40% - Accent1 6 2 3" xfId="1625"/>
    <cellStyle name="40% - Accent1 6 3" xfId="1626"/>
    <cellStyle name="40% - Accent1 6 3 2" xfId="1627"/>
    <cellStyle name="40% - Accent1 6 4" xfId="1628"/>
    <cellStyle name="40% - Accent1 7" xfId="1629"/>
    <cellStyle name="40% - Accent1 8" xfId="1630"/>
    <cellStyle name="40% - Accent2 2" xfId="1631"/>
    <cellStyle name="40% - Accent2 2 10" xfId="1632"/>
    <cellStyle name="40% - Accent2 2 10 2" xfId="1633"/>
    <cellStyle name="40% - Accent2 2 11" xfId="1634"/>
    <cellStyle name="40% - Accent2 2 2" xfId="1635"/>
    <cellStyle name="40% - Accent2 2 2 2" xfId="1636"/>
    <cellStyle name="40% - Accent2 2 2 2 2" xfId="1637"/>
    <cellStyle name="40% - Accent2 2 2 2 2 2" xfId="1638"/>
    <cellStyle name="40% - Accent2 2 2 2 3" xfId="1639"/>
    <cellStyle name="40% - Accent2 2 2 2 3 2" xfId="1640"/>
    <cellStyle name="40% - Accent2 2 2 2 3 2 2" xfId="1641"/>
    <cellStyle name="40% - Accent2 2 2 2 3 3" xfId="1642"/>
    <cellStyle name="40% - Accent2 2 2 2 4" xfId="1643"/>
    <cellStyle name="40% - Accent2 2 2 3" xfId="1644"/>
    <cellStyle name="40% - Accent2 2 2 3 2" xfId="1645"/>
    <cellStyle name="40% - Accent2 2 2 3 2 2" xfId="1646"/>
    <cellStyle name="40% - Accent2 2 2 3 3" xfId="1647"/>
    <cellStyle name="40% - Accent2 2 2 4" xfId="1648"/>
    <cellStyle name="40% - Accent2 2 2 4 2" xfId="1649"/>
    <cellStyle name="40% - Accent2 2 2 4 2 2" xfId="1650"/>
    <cellStyle name="40% - Accent2 2 2 4 2 2 2" xfId="1651"/>
    <cellStyle name="40% - Accent2 2 2 4 2 3" xfId="1652"/>
    <cellStyle name="40% - Accent2 2 2 4 3" xfId="1653"/>
    <cellStyle name="40% - Accent2 2 2 4 3 2" xfId="1654"/>
    <cellStyle name="40% - Accent2 2 2 4 4" xfId="1655"/>
    <cellStyle name="40% - Accent2 2 2 5" xfId="1656"/>
    <cellStyle name="40% - Accent2 2 2 5 2" xfId="1657"/>
    <cellStyle name="40% - Accent2 2 2 6" xfId="1658"/>
    <cellStyle name="40% - Accent2 2 3" xfId="1659"/>
    <cellStyle name="40% - Accent2 2 3 2" xfId="1660"/>
    <cellStyle name="40% - Accent2 2 3 2 2" xfId="1661"/>
    <cellStyle name="40% - Accent2 2 3 2 2 2" xfId="1662"/>
    <cellStyle name="40% - Accent2 2 3 2 3" xfId="1663"/>
    <cellStyle name="40% - Accent2 2 3 3" xfId="1664"/>
    <cellStyle name="40% - Accent2 2 3 3 2" xfId="1665"/>
    <cellStyle name="40% - Accent2 2 3 3 2 2" xfId="1666"/>
    <cellStyle name="40% - Accent2 2 3 3 2 2 2" xfId="1667"/>
    <cellStyle name="40% - Accent2 2 3 3 2 3" xfId="1668"/>
    <cellStyle name="40% - Accent2 2 3 3 3" xfId="1669"/>
    <cellStyle name="40% - Accent2 2 3 3 3 2" xfId="1670"/>
    <cellStyle name="40% - Accent2 2 3 3 4" xfId="1671"/>
    <cellStyle name="40% - Accent2 2 3 4" xfId="1672"/>
    <cellStyle name="40% - Accent2 2 3 4 2" xfId="1673"/>
    <cellStyle name="40% - Accent2 2 3 5" xfId="1674"/>
    <cellStyle name="40% - Accent2 2 4" xfId="1675"/>
    <cellStyle name="40% - Accent2 2 4 2" xfId="1676"/>
    <cellStyle name="40% - Accent2 2 4 2 2" xfId="1677"/>
    <cellStyle name="40% - Accent2 2 4 2 2 2" xfId="1678"/>
    <cellStyle name="40% - Accent2 2 4 2 3" xfId="1679"/>
    <cellStyle name="40% - Accent2 2 4 3" xfId="1680"/>
    <cellStyle name="40% - Accent2 2 4 3 2" xfId="1681"/>
    <cellStyle name="40% - Accent2 2 4 4" xfId="1682"/>
    <cellStyle name="40% - Accent2 2 5" xfId="1683"/>
    <cellStyle name="40% - Accent2 2 5 2" xfId="1684"/>
    <cellStyle name="40% - Accent2 2 5 2 2" xfId="1685"/>
    <cellStyle name="40% - Accent2 2 5 2 2 2" xfId="1686"/>
    <cellStyle name="40% - Accent2 2 5 2 3" xfId="1687"/>
    <cellStyle name="40% - Accent2 2 5 3" xfId="1688"/>
    <cellStyle name="40% - Accent2 2 5 3 2" xfId="1689"/>
    <cellStyle name="40% - Accent2 2 5 3 2 2" xfId="1690"/>
    <cellStyle name="40% - Accent2 2 5 3 2 2 2" xfId="1691"/>
    <cellStyle name="40% - Accent2 2 5 3 2 3" xfId="1692"/>
    <cellStyle name="40% - Accent2 2 5 3 3" xfId="1693"/>
    <cellStyle name="40% - Accent2 2 5 3 3 2" xfId="1694"/>
    <cellStyle name="40% - Accent2 2 5 3 4" xfId="1695"/>
    <cellStyle name="40% - Accent2 2 5 4" xfId="1696"/>
    <cellStyle name="40% - Accent2 2 5 4 2" xfId="1697"/>
    <cellStyle name="40% - Accent2 2 5 5" xfId="1698"/>
    <cellStyle name="40% - Accent2 2 6" xfId="1699"/>
    <cellStyle name="40% - Accent2 2 6 2" xfId="1700"/>
    <cellStyle name="40% - Accent2 2 6 2 2" xfId="1701"/>
    <cellStyle name="40% - Accent2 2 6 3" xfId="1702"/>
    <cellStyle name="40% - Accent2 2 7" xfId="1703"/>
    <cellStyle name="40% - Accent2 2 7 2" xfId="1704"/>
    <cellStyle name="40% - Accent2 2 7 2 2" xfId="1705"/>
    <cellStyle name="40% - Accent2 2 7 3" xfId="1706"/>
    <cellStyle name="40% - Accent2 2 8" xfId="1707"/>
    <cellStyle name="40% - Accent2 2 8 2" xfId="1708"/>
    <cellStyle name="40% - Accent2 2 8 2 2" xfId="1709"/>
    <cellStyle name="40% - Accent2 2 8 2 2 2" xfId="1710"/>
    <cellStyle name="40% - Accent2 2 8 2 3" xfId="1711"/>
    <cellStyle name="40% - Accent2 2 8 3" xfId="1712"/>
    <cellStyle name="40% - Accent2 2 8 3 2" xfId="1713"/>
    <cellStyle name="40% - Accent2 2 8 4" xfId="1714"/>
    <cellStyle name="40% - Accent2 2 9" xfId="1715"/>
    <cellStyle name="40% - Accent2 2 9 2" xfId="1716"/>
    <cellStyle name="40% - Accent2 3" xfId="1717"/>
    <cellStyle name="40% - Accent2 3 2" xfId="1718"/>
    <cellStyle name="40% - Accent2 3 2 2" xfId="1719"/>
    <cellStyle name="40% - Accent2 3 2 2 2" xfId="1720"/>
    <cellStyle name="40% - Accent2 3 2 3" xfId="1721"/>
    <cellStyle name="40% - Accent2 3 3" xfId="1722"/>
    <cellStyle name="40% - Accent2 3 3 2" xfId="1723"/>
    <cellStyle name="40% - Accent2 3 4" xfId="1724"/>
    <cellStyle name="40% - Accent2 3 4 2" xfId="1725"/>
    <cellStyle name="40% - Accent2 3 4 2 2" xfId="1726"/>
    <cellStyle name="40% - Accent2 3 4 3" xfId="1727"/>
    <cellStyle name="40% - Accent2 3 5" xfId="1728"/>
    <cellStyle name="40% - Accent2 4" xfId="1729"/>
    <cellStyle name="40% - Accent2 4 2" xfId="1730"/>
    <cellStyle name="40% - Accent2 4 2 2" xfId="1731"/>
    <cellStyle name="40% - Accent2 4 3" xfId="1732"/>
    <cellStyle name="40% - Accent2 4 3 2" xfId="1733"/>
    <cellStyle name="40% - Accent2 4 3 2 2" xfId="1734"/>
    <cellStyle name="40% - Accent2 4 3 3" xfId="1735"/>
    <cellStyle name="40% - Accent2 4 4" xfId="1736"/>
    <cellStyle name="40% - Accent2 5" xfId="1737"/>
    <cellStyle name="40% - Accent2 5 2" xfId="1738"/>
    <cellStyle name="40% - Accent2 5 2 2" xfId="1739"/>
    <cellStyle name="40% - Accent2 5 2 2 2" xfId="1740"/>
    <cellStyle name="40% - Accent2 5 2 3" xfId="1741"/>
    <cellStyle name="40% - Accent2 5 3" xfId="1742"/>
    <cellStyle name="40% - Accent2 5 3 2" xfId="1743"/>
    <cellStyle name="40% - Accent2 5 3 2 2" xfId="1744"/>
    <cellStyle name="40% - Accent2 5 3 2 2 2" xfId="1745"/>
    <cellStyle name="40% - Accent2 5 3 2 3" xfId="1746"/>
    <cellStyle name="40% - Accent2 5 3 3" xfId="1747"/>
    <cellStyle name="40% - Accent2 5 3 3 2" xfId="1748"/>
    <cellStyle name="40% - Accent2 5 3 4" xfId="1749"/>
    <cellStyle name="40% - Accent2 5 4" xfId="1750"/>
    <cellStyle name="40% - Accent2 5 4 2" xfId="1751"/>
    <cellStyle name="40% - Accent2 5 5" xfId="1752"/>
    <cellStyle name="40% - Accent2 6" xfId="1753"/>
    <cellStyle name="40% - Accent2 6 2" xfId="1754"/>
    <cellStyle name="40% - Accent2 6 2 2" xfId="1755"/>
    <cellStyle name="40% - Accent2 6 2 2 2" xfId="1756"/>
    <cellStyle name="40% - Accent2 6 2 3" xfId="1757"/>
    <cellStyle name="40% - Accent2 6 3" xfId="1758"/>
    <cellStyle name="40% - Accent2 6 3 2" xfId="1759"/>
    <cellStyle name="40% - Accent2 6 4" xfId="1760"/>
    <cellStyle name="40% - Accent2 7" xfId="1761"/>
    <cellStyle name="40% - Accent2 8" xfId="1762"/>
    <cellStyle name="40% - Accent3 2" xfId="1763"/>
    <cellStyle name="40% - Accent3 2 10" xfId="1764"/>
    <cellStyle name="40% - Accent3 2 10 2" xfId="1765"/>
    <cellStyle name="40% - Accent3 2 11" xfId="1766"/>
    <cellStyle name="40% - Accent3 2 2" xfId="1767"/>
    <cellStyle name="40% - Accent3 2 2 2" xfId="1768"/>
    <cellStyle name="40% - Accent3 2 2 2 2" xfId="1769"/>
    <cellStyle name="40% - Accent3 2 2 2 2 2" xfId="1770"/>
    <cellStyle name="40% - Accent3 2 2 2 3" xfId="1771"/>
    <cellStyle name="40% - Accent3 2 2 2 3 2" xfId="1772"/>
    <cellStyle name="40% - Accent3 2 2 2 3 2 2" xfId="1773"/>
    <cellStyle name="40% - Accent3 2 2 2 3 3" xfId="1774"/>
    <cellStyle name="40% - Accent3 2 2 2 4" xfId="1775"/>
    <cellStyle name="40% - Accent3 2 2 3" xfId="1776"/>
    <cellStyle name="40% - Accent3 2 2 3 2" xfId="1777"/>
    <cellStyle name="40% - Accent3 2 2 3 2 2" xfId="1778"/>
    <cellStyle name="40% - Accent3 2 2 3 3" xfId="1779"/>
    <cellStyle name="40% - Accent3 2 2 4" xfId="1780"/>
    <cellStyle name="40% - Accent3 2 2 4 2" xfId="1781"/>
    <cellStyle name="40% - Accent3 2 2 4 2 2" xfId="1782"/>
    <cellStyle name="40% - Accent3 2 2 4 2 2 2" xfId="1783"/>
    <cellStyle name="40% - Accent3 2 2 4 2 3" xfId="1784"/>
    <cellStyle name="40% - Accent3 2 2 4 3" xfId="1785"/>
    <cellStyle name="40% - Accent3 2 2 4 3 2" xfId="1786"/>
    <cellStyle name="40% - Accent3 2 2 4 4" xfId="1787"/>
    <cellStyle name="40% - Accent3 2 2 5" xfId="1788"/>
    <cellStyle name="40% - Accent3 2 2 5 2" xfId="1789"/>
    <cellStyle name="40% - Accent3 2 2 6" xfId="1790"/>
    <cellStyle name="40% - Accent3 2 3" xfId="1791"/>
    <cellStyle name="40% - Accent3 2 3 2" xfId="1792"/>
    <cellStyle name="40% - Accent3 2 3 2 2" xfId="1793"/>
    <cellStyle name="40% - Accent3 2 3 2 2 2" xfId="1794"/>
    <cellStyle name="40% - Accent3 2 3 2 3" xfId="1795"/>
    <cellStyle name="40% - Accent3 2 3 3" xfId="1796"/>
    <cellStyle name="40% - Accent3 2 3 3 2" xfId="1797"/>
    <cellStyle name="40% - Accent3 2 3 3 2 2" xfId="1798"/>
    <cellStyle name="40% - Accent3 2 3 3 2 2 2" xfId="1799"/>
    <cellStyle name="40% - Accent3 2 3 3 2 3" xfId="1800"/>
    <cellStyle name="40% - Accent3 2 3 3 3" xfId="1801"/>
    <cellStyle name="40% - Accent3 2 3 3 3 2" xfId="1802"/>
    <cellStyle name="40% - Accent3 2 3 3 4" xfId="1803"/>
    <cellStyle name="40% - Accent3 2 3 4" xfId="1804"/>
    <cellStyle name="40% - Accent3 2 3 4 2" xfId="1805"/>
    <cellStyle name="40% - Accent3 2 3 5" xfId="1806"/>
    <cellStyle name="40% - Accent3 2 4" xfId="1807"/>
    <cellStyle name="40% - Accent3 2 4 2" xfId="1808"/>
    <cellStyle name="40% - Accent3 2 4 2 2" xfId="1809"/>
    <cellStyle name="40% - Accent3 2 4 2 2 2" xfId="1810"/>
    <cellStyle name="40% - Accent3 2 4 2 3" xfId="1811"/>
    <cellStyle name="40% - Accent3 2 4 3" xfId="1812"/>
    <cellStyle name="40% - Accent3 2 4 3 2" xfId="1813"/>
    <cellStyle name="40% - Accent3 2 4 4" xfId="1814"/>
    <cellStyle name="40% - Accent3 2 5" xfId="1815"/>
    <cellStyle name="40% - Accent3 2 5 2" xfId="1816"/>
    <cellStyle name="40% - Accent3 2 5 2 2" xfId="1817"/>
    <cellStyle name="40% - Accent3 2 5 2 2 2" xfId="1818"/>
    <cellStyle name="40% - Accent3 2 5 2 3" xfId="1819"/>
    <cellStyle name="40% - Accent3 2 5 3" xfId="1820"/>
    <cellStyle name="40% - Accent3 2 5 3 2" xfId="1821"/>
    <cellStyle name="40% - Accent3 2 5 3 2 2" xfId="1822"/>
    <cellStyle name="40% - Accent3 2 5 3 2 2 2" xfId="1823"/>
    <cellStyle name="40% - Accent3 2 5 3 2 3" xfId="1824"/>
    <cellStyle name="40% - Accent3 2 5 3 3" xfId="1825"/>
    <cellStyle name="40% - Accent3 2 5 3 3 2" xfId="1826"/>
    <cellStyle name="40% - Accent3 2 5 3 4" xfId="1827"/>
    <cellStyle name="40% - Accent3 2 5 4" xfId="1828"/>
    <cellStyle name="40% - Accent3 2 5 4 2" xfId="1829"/>
    <cellStyle name="40% - Accent3 2 5 5" xfId="1830"/>
    <cellStyle name="40% - Accent3 2 6" xfId="1831"/>
    <cellStyle name="40% - Accent3 2 6 2" xfId="1832"/>
    <cellStyle name="40% - Accent3 2 6 2 2" xfId="1833"/>
    <cellStyle name="40% - Accent3 2 6 3" xfId="1834"/>
    <cellStyle name="40% - Accent3 2 7" xfId="1835"/>
    <cellStyle name="40% - Accent3 2 7 2" xfId="1836"/>
    <cellStyle name="40% - Accent3 2 7 2 2" xfId="1837"/>
    <cellStyle name="40% - Accent3 2 7 3" xfId="1838"/>
    <cellStyle name="40% - Accent3 2 8" xfId="1839"/>
    <cellStyle name="40% - Accent3 2 8 2" xfId="1840"/>
    <cellStyle name="40% - Accent3 2 8 2 2" xfId="1841"/>
    <cellStyle name="40% - Accent3 2 8 2 2 2" xfId="1842"/>
    <cellStyle name="40% - Accent3 2 8 2 3" xfId="1843"/>
    <cellStyle name="40% - Accent3 2 8 3" xfId="1844"/>
    <cellStyle name="40% - Accent3 2 8 3 2" xfId="1845"/>
    <cellStyle name="40% - Accent3 2 8 4" xfId="1846"/>
    <cellStyle name="40% - Accent3 2 9" xfId="1847"/>
    <cellStyle name="40% - Accent3 2 9 2" xfId="1848"/>
    <cellStyle name="40% - Accent3 3" xfId="1849"/>
    <cellStyle name="40% - Accent3 3 2" xfId="1850"/>
    <cellStyle name="40% - Accent3 3 2 2" xfId="1851"/>
    <cellStyle name="40% - Accent3 3 2 2 2" xfId="1852"/>
    <cellStyle name="40% - Accent3 3 2 3" xfId="1853"/>
    <cellStyle name="40% - Accent3 3 3" xfId="1854"/>
    <cellStyle name="40% - Accent3 3 3 2" xfId="1855"/>
    <cellStyle name="40% - Accent3 3 4" xfId="1856"/>
    <cellStyle name="40% - Accent3 3 4 2" xfId="1857"/>
    <cellStyle name="40% - Accent3 3 4 2 2" xfId="1858"/>
    <cellStyle name="40% - Accent3 3 4 3" xfId="1859"/>
    <cellStyle name="40% - Accent3 3 5" xfId="1860"/>
    <cellStyle name="40% - Accent3 4" xfId="1861"/>
    <cellStyle name="40% - Accent3 4 2" xfId="1862"/>
    <cellStyle name="40% - Accent3 4 2 2" xfId="1863"/>
    <cellStyle name="40% - Accent3 4 3" xfId="1864"/>
    <cellStyle name="40% - Accent3 4 3 2" xfId="1865"/>
    <cellStyle name="40% - Accent3 4 3 2 2" xfId="1866"/>
    <cellStyle name="40% - Accent3 4 3 3" xfId="1867"/>
    <cellStyle name="40% - Accent3 4 4" xfId="1868"/>
    <cellStyle name="40% - Accent3 5" xfId="1869"/>
    <cellStyle name="40% - Accent3 5 2" xfId="1870"/>
    <cellStyle name="40% - Accent3 5 2 2" xfId="1871"/>
    <cellStyle name="40% - Accent3 5 2 2 2" xfId="1872"/>
    <cellStyle name="40% - Accent3 5 2 3" xfId="1873"/>
    <cellStyle name="40% - Accent3 5 3" xfId="1874"/>
    <cellStyle name="40% - Accent3 5 3 2" xfId="1875"/>
    <cellStyle name="40% - Accent3 5 3 2 2" xfId="1876"/>
    <cellStyle name="40% - Accent3 5 3 2 2 2" xfId="1877"/>
    <cellStyle name="40% - Accent3 5 3 2 3" xfId="1878"/>
    <cellStyle name="40% - Accent3 5 3 3" xfId="1879"/>
    <cellStyle name="40% - Accent3 5 3 3 2" xfId="1880"/>
    <cellStyle name="40% - Accent3 5 3 4" xfId="1881"/>
    <cellStyle name="40% - Accent3 5 4" xfId="1882"/>
    <cellStyle name="40% - Accent3 5 4 2" xfId="1883"/>
    <cellStyle name="40% - Accent3 5 5" xfId="1884"/>
    <cellStyle name="40% - Accent3 6" xfId="1885"/>
    <cellStyle name="40% - Accent3 6 2" xfId="1886"/>
    <cellStyle name="40% - Accent3 6 2 2" xfId="1887"/>
    <cellStyle name="40% - Accent3 6 2 2 2" xfId="1888"/>
    <cellStyle name="40% - Accent3 6 2 3" xfId="1889"/>
    <cellStyle name="40% - Accent3 6 3" xfId="1890"/>
    <cellStyle name="40% - Accent3 6 3 2" xfId="1891"/>
    <cellStyle name="40% - Accent3 6 4" xfId="1892"/>
    <cellStyle name="40% - Accent3 7" xfId="1893"/>
    <cellStyle name="40% - Accent3 8" xfId="1894"/>
    <cellStyle name="40% - Accent4 2" xfId="1895"/>
    <cellStyle name="40% - Accent4 2 10" xfId="1896"/>
    <cellStyle name="40% - Accent4 2 10 2" xfId="1897"/>
    <cellStyle name="40% - Accent4 2 11" xfId="1898"/>
    <cellStyle name="40% - Accent4 2 2" xfId="1899"/>
    <cellStyle name="40% - Accent4 2 2 2" xfId="1900"/>
    <cellStyle name="40% - Accent4 2 2 2 2" xfId="1901"/>
    <cellStyle name="40% - Accent4 2 2 2 2 2" xfId="1902"/>
    <cellStyle name="40% - Accent4 2 2 2 3" xfId="1903"/>
    <cellStyle name="40% - Accent4 2 2 2 3 2" xfId="1904"/>
    <cellStyle name="40% - Accent4 2 2 2 3 2 2" xfId="1905"/>
    <cellStyle name="40% - Accent4 2 2 2 3 3" xfId="1906"/>
    <cellStyle name="40% - Accent4 2 2 2 4" xfId="1907"/>
    <cellStyle name="40% - Accent4 2 2 3" xfId="1908"/>
    <cellStyle name="40% - Accent4 2 2 3 2" xfId="1909"/>
    <cellStyle name="40% - Accent4 2 2 3 2 2" xfId="1910"/>
    <cellStyle name="40% - Accent4 2 2 3 3" xfId="1911"/>
    <cellStyle name="40% - Accent4 2 2 4" xfId="1912"/>
    <cellStyle name="40% - Accent4 2 2 4 2" xfId="1913"/>
    <cellStyle name="40% - Accent4 2 2 4 2 2" xfId="1914"/>
    <cellStyle name="40% - Accent4 2 2 4 2 2 2" xfId="1915"/>
    <cellStyle name="40% - Accent4 2 2 4 2 3" xfId="1916"/>
    <cellStyle name="40% - Accent4 2 2 4 3" xfId="1917"/>
    <cellStyle name="40% - Accent4 2 2 4 3 2" xfId="1918"/>
    <cellStyle name="40% - Accent4 2 2 4 4" xfId="1919"/>
    <cellStyle name="40% - Accent4 2 2 5" xfId="1920"/>
    <cellStyle name="40% - Accent4 2 2 5 2" xfId="1921"/>
    <cellStyle name="40% - Accent4 2 2 6" xfId="1922"/>
    <cellStyle name="40% - Accent4 2 3" xfId="1923"/>
    <cellStyle name="40% - Accent4 2 3 2" xfId="1924"/>
    <cellStyle name="40% - Accent4 2 3 2 2" xfId="1925"/>
    <cellStyle name="40% - Accent4 2 3 2 2 2" xfId="1926"/>
    <cellStyle name="40% - Accent4 2 3 2 3" xfId="1927"/>
    <cellStyle name="40% - Accent4 2 3 3" xfId="1928"/>
    <cellStyle name="40% - Accent4 2 3 3 2" xfId="1929"/>
    <cellStyle name="40% - Accent4 2 3 3 2 2" xfId="1930"/>
    <cellStyle name="40% - Accent4 2 3 3 2 2 2" xfId="1931"/>
    <cellStyle name="40% - Accent4 2 3 3 2 3" xfId="1932"/>
    <cellStyle name="40% - Accent4 2 3 3 3" xfId="1933"/>
    <cellStyle name="40% - Accent4 2 3 3 3 2" xfId="1934"/>
    <cellStyle name="40% - Accent4 2 3 3 4" xfId="1935"/>
    <cellStyle name="40% - Accent4 2 3 4" xfId="1936"/>
    <cellStyle name="40% - Accent4 2 3 4 2" xfId="1937"/>
    <cellStyle name="40% - Accent4 2 3 5" xfId="1938"/>
    <cellStyle name="40% - Accent4 2 4" xfId="1939"/>
    <cellStyle name="40% - Accent4 2 4 2" xfId="1940"/>
    <cellStyle name="40% - Accent4 2 4 2 2" xfId="1941"/>
    <cellStyle name="40% - Accent4 2 4 2 2 2" xfId="1942"/>
    <cellStyle name="40% - Accent4 2 4 2 3" xfId="1943"/>
    <cellStyle name="40% - Accent4 2 4 3" xfId="1944"/>
    <cellStyle name="40% - Accent4 2 4 3 2" xfId="1945"/>
    <cellStyle name="40% - Accent4 2 4 4" xfId="1946"/>
    <cellStyle name="40% - Accent4 2 5" xfId="1947"/>
    <cellStyle name="40% - Accent4 2 5 2" xfId="1948"/>
    <cellStyle name="40% - Accent4 2 5 2 2" xfId="1949"/>
    <cellStyle name="40% - Accent4 2 5 2 2 2" xfId="1950"/>
    <cellStyle name="40% - Accent4 2 5 2 3" xfId="1951"/>
    <cellStyle name="40% - Accent4 2 5 3" xfId="1952"/>
    <cellStyle name="40% - Accent4 2 5 3 2" xfId="1953"/>
    <cellStyle name="40% - Accent4 2 5 3 2 2" xfId="1954"/>
    <cellStyle name="40% - Accent4 2 5 3 2 2 2" xfId="1955"/>
    <cellStyle name="40% - Accent4 2 5 3 2 3" xfId="1956"/>
    <cellStyle name="40% - Accent4 2 5 3 3" xfId="1957"/>
    <cellStyle name="40% - Accent4 2 5 3 3 2" xfId="1958"/>
    <cellStyle name="40% - Accent4 2 5 3 4" xfId="1959"/>
    <cellStyle name="40% - Accent4 2 5 4" xfId="1960"/>
    <cellStyle name="40% - Accent4 2 5 4 2" xfId="1961"/>
    <cellStyle name="40% - Accent4 2 5 5" xfId="1962"/>
    <cellStyle name="40% - Accent4 2 6" xfId="1963"/>
    <cellStyle name="40% - Accent4 2 6 2" xfId="1964"/>
    <cellStyle name="40% - Accent4 2 6 2 2" xfId="1965"/>
    <cellStyle name="40% - Accent4 2 6 3" xfId="1966"/>
    <cellStyle name="40% - Accent4 2 7" xfId="1967"/>
    <cellStyle name="40% - Accent4 2 7 2" xfId="1968"/>
    <cellStyle name="40% - Accent4 2 7 2 2" xfId="1969"/>
    <cellStyle name="40% - Accent4 2 7 3" xfId="1970"/>
    <cellStyle name="40% - Accent4 2 8" xfId="1971"/>
    <cellStyle name="40% - Accent4 2 8 2" xfId="1972"/>
    <cellStyle name="40% - Accent4 2 8 2 2" xfId="1973"/>
    <cellStyle name="40% - Accent4 2 8 2 2 2" xfId="1974"/>
    <cellStyle name="40% - Accent4 2 8 2 3" xfId="1975"/>
    <cellStyle name="40% - Accent4 2 8 3" xfId="1976"/>
    <cellStyle name="40% - Accent4 2 8 3 2" xfId="1977"/>
    <cellStyle name="40% - Accent4 2 8 4" xfId="1978"/>
    <cellStyle name="40% - Accent4 2 9" xfId="1979"/>
    <cellStyle name="40% - Accent4 2 9 2" xfId="1980"/>
    <cellStyle name="40% - Accent4 3" xfId="1981"/>
    <cellStyle name="40% - Accent4 3 2" xfId="1982"/>
    <cellStyle name="40% - Accent4 3 2 2" xfId="1983"/>
    <cellStyle name="40% - Accent4 3 2 2 2" xfId="1984"/>
    <cellStyle name="40% - Accent4 3 2 3" xfId="1985"/>
    <cellStyle name="40% - Accent4 3 3" xfId="1986"/>
    <cellStyle name="40% - Accent4 3 3 2" xfId="1987"/>
    <cellStyle name="40% - Accent4 3 4" xfId="1988"/>
    <cellStyle name="40% - Accent4 3 4 2" xfId="1989"/>
    <cellStyle name="40% - Accent4 3 4 2 2" xfId="1990"/>
    <cellStyle name="40% - Accent4 3 4 3" xfId="1991"/>
    <cellStyle name="40% - Accent4 3 5" xfId="1992"/>
    <cellStyle name="40% - Accent4 4" xfId="1993"/>
    <cellStyle name="40% - Accent4 4 2" xfId="1994"/>
    <cellStyle name="40% - Accent4 4 2 2" xfId="1995"/>
    <cellStyle name="40% - Accent4 4 3" xfId="1996"/>
    <cellStyle name="40% - Accent4 4 3 2" xfId="1997"/>
    <cellStyle name="40% - Accent4 4 3 2 2" xfId="1998"/>
    <cellStyle name="40% - Accent4 4 3 3" xfId="1999"/>
    <cellStyle name="40% - Accent4 4 4" xfId="2000"/>
    <cellStyle name="40% - Accent4 5" xfId="2001"/>
    <cellStyle name="40% - Accent4 5 2" xfId="2002"/>
    <cellStyle name="40% - Accent4 5 2 2" xfId="2003"/>
    <cellStyle name="40% - Accent4 5 2 2 2" xfId="2004"/>
    <cellStyle name="40% - Accent4 5 2 3" xfId="2005"/>
    <cellStyle name="40% - Accent4 5 3" xfId="2006"/>
    <cellStyle name="40% - Accent4 5 3 2" xfId="2007"/>
    <cellStyle name="40% - Accent4 5 3 2 2" xfId="2008"/>
    <cellStyle name="40% - Accent4 5 3 2 2 2" xfId="2009"/>
    <cellStyle name="40% - Accent4 5 3 2 3" xfId="2010"/>
    <cellStyle name="40% - Accent4 5 3 3" xfId="2011"/>
    <cellStyle name="40% - Accent4 5 3 3 2" xfId="2012"/>
    <cellStyle name="40% - Accent4 5 3 4" xfId="2013"/>
    <cellStyle name="40% - Accent4 5 4" xfId="2014"/>
    <cellStyle name="40% - Accent4 5 4 2" xfId="2015"/>
    <cellStyle name="40% - Accent4 5 5" xfId="2016"/>
    <cellStyle name="40% - Accent4 6" xfId="2017"/>
    <cellStyle name="40% - Accent4 6 2" xfId="2018"/>
    <cellStyle name="40% - Accent4 6 2 2" xfId="2019"/>
    <cellStyle name="40% - Accent4 6 2 2 2" xfId="2020"/>
    <cellStyle name="40% - Accent4 6 2 3" xfId="2021"/>
    <cellStyle name="40% - Accent4 6 3" xfId="2022"/>
    <cellStyle name="40% - Accent4 6 3 2" xfId="2023"/>
    <cellStyle name="40% - Accent4 6 4" xfId="2024"/>
    <cellStyle name="40% - Accent4 7" xfId="2025"/>
    <cellStyle name="40% - Accent4 8" xfId="2026"/>
    <cellStyle name="40% - Accent5 2" xfId="2027"/>
    <cellStyle name="40% - Accent5 2 10" xfId="2028"/>
    <cellStyle name="40% - Accent5 2 10 2" xfId="2029"/>
    <cellStyle name="40% - Accent5 2 11" xfId="2030"/>
    <cellStyle name="40% - Accent5 2 2" xfId="2031"/>
    <cellStyle name="40% - Accent5 2 2 2" xfId="2032"/>
    <cellStyle name="40% - Accent5 2 2 2 2" xfId="2033"/>
    <cellStyle name="40% - Accent5 2 2 2 2 2" xfId="2034"/>
    <cellStyle name="40% - Accent5 2 2 2 3" xfId="2035"/>
    <cellStyle name="40% - Accent5 2 2 2 3 2" xfId="2036"/>
    <cellStyle name="40% - Accent5 2 2 2 3 2 2" xfId="2037"/>
    <cellStyle name="40% - Accent5 2 2 2 3 3" xfId="2038"/>
    <cellStyle name="40% - Accent5 2 2 2 4" xfId="2039"/>
    <cellStyle name="40% - Accent5 2 2 3" xfId="2040"/>
    <cellStyle name="40% - Accent5 2 2 3 2" xfId="2041"/>
    <cellStyle name="40% - Accent5 2 2 3 2 2" xfId="2042"/>
    <cellStyle name="40% - Accent5 2 2 3 3" xfId="2043"/>
    <cellStyle name="40% - Accent5 2 2 4" xfId="2044"/>
    <cellStyle name="40% - Accent5 2 2 4 2" xfId="2045"/>
    <cellStyle name="40% - Accent5 2 2 4 2 2" xfId="2046"/>
    <cellStyle name="40% - Accent5 2 2 4 2 2 2" xfId="2047"/>
    <cellStyle name="40% - Accent5 2 2 4 2 3" xfId="2048"/>
    <cellStyle name="40% - Accent5 2 2 4 3" xfId="2049"/>
    <cellStyle name="40% - Accent5 2 2 4 3 2" xfId="2050"/>
    <cellStyle name="40% - Accent5 2 2 4 4" xfId="2051"/>
    <cellStyle name="40% - Accent5 2 2 5" xfId="2052"/>
    <cellStyle name="40% - Accent5 2 2 5 2" xfId="2053"/>
    <cellStyle name="40% - Accent5 2 2 6" xfId="2054"/>
    <cellStyle name="40% - Accent5 2 3" xfId="2055"/>
    <cellStyle name="40% - Accent5 2 3 2" xfId="2056"/>
    <cellStyle name="40% - Accent5 2 3 2 2" xfId="2057"/>
    <cellStyle name="40% - Accent5 2 3 2 2 2" xfId="2058"/>
    <cellStyle name="40% - Accent5 2 3 2 3" xfId="2059"/>
    <cellStyle name="40% - Accent5 2 3 3" xfId="2060"/>
    <cellStyle name="40% - Accent5 2 3 3 2" xfId="2061"/>
    <cellStyle name="40% - Accent5 2 3 3 2 2" xfId="2062"/>
    <cellStyle name="40% - Accent5 2 3 3 2 2 2" xfId="2063"/>
    <cellStyle name="40% - Accent5 2 3 3 2 3" xfId="2064"/>
    <cellStyle name="40% - Accent5 2 3 3 3" xfId="2065"/>
    <cellStyle name="40% - Accent5 2 3 3 3 2" xfId="2066"/>
    <cellStyle name="40% - Accent5 2 3 3 4" xfId="2067"/>
    <cellStyle name="40% - Accent5 2 3 4" xfId="2068"/>
    <cellStyle name="40% - Accent5 2 3 4 2" xfId="2069"/>
    <cellStyle name="40% - Accent5 2 3 5" xfId="2070"/>
    <cellStyle name="40% - Accent5 2 4" xfId="2071"/>
    <cellStyle name="40% - Accent5 2 4 2" xfId="2072"/>
    <cellStyle name="40% - Accent5 2 4 2 2" xfId="2073"/>
    <cellStyle name="40% - Accent5 2 4 2 2 2" xfId="2074"/>
    <cellStyle name="40% - Accent5 2 4 2 3" xfId="2075"/>
    <cellStyle name="40% - Accent5 2 4 3" xfId="2076"/>
    <cellStyle name="40% - Accent5 2 4 3 2" xfId="2077"/>
    <cellStyle name="40% - Accent5 2 4 4" xfId="2078"/>
    <cellStyle name="40% - Accent5 2 5" xfId="2079"/>
    <cellStyle name="40% - Accent5 2 5 2" xfId="2080"/>
    <cellStyle name="40% - Accent5 2 5 2 2" xfId="2081"/>
    <cellStyle name="40% - Accent5 2 5 2 2 2" xfId="2082"/>
    <cellStyle name="40% - Accent5 2 5 2 3" xfId="2083"/>
    <cellStyle name="40% - Accent5 2 5 3" xfId="2084"/>
    <cellStyle name="40% - Accent5 2 5 3 2" xfId="2085"/>
    <cellStyle name="40% - Accent5 2 5 3 2 2" xfId="2086"/>
    <cellStyle name="40% - Accent5 2 5 3 2 2 2" xfId="2087"/>
    <cellStyle name="40% - Accent5 2 5 3 2 3" xfId="2088"/>
    <cellStyle name="40% - Accent5 2 5 3 3" xfId="2089"/>
    <cellStyle name="40% - Accent5 2 5 3 3 2" xfId="2090"/>
    <cellStyle name="40% - Accent5 2 5 3 4" xfId="2091"/>
    <cellStyle name="40% - Accent5 2 5 4" xfId="2092"/>
    <cellStyle name="40% - Accent5 2 5 4 2" xfId="2093"/>
    <cellStyle name="40% - Accent5 2 5 5" xfId="2094"/>
    <cellStyle name="40% - Accent5 2 6" xfId="2095"/>
    <cellStyle name="40% - Accent5 2 6 2" xfId="2096"/>
    <cellStyle name="40% - Accent5 2 6 2 2" xfId="2097"/>
    <cellStyle name="40% - Accent5 2 6 3" xfId="2098"/>
    <cellStyle name="40% - Accent5 2 7" xfId="2099"/>
    <cellStyle name="40% - Accent5 2 7 2" xfId="2100"/>
    <cellStyle name="40% - Accent5 2 7 2 2" xfId="2101"/>
    <cellStyle name="40% - Accent5 2 7 3" xfId="2102"/>
    <cellStyle name="40% - Accent5 2 8" xfId="2103"/>
    <cellStyle name="40% - Accent5 2 8 2" xfId="2104"/>
    <cellStyle name="40% - Accent5 2 8 2 2" xfId="2105"/>
    <cellStyle name="40% - Accent5 2 8 2 2 2" xfId="2106"/>
    <cellStyle name="40% - Accent5 2 8 2 3" xfId="2107"/>
    <cellStyle name="40% - Accent5 2 8 3" xfId="2108"/>
    <cellStyle name="40% - Accent5 2 8 3 2" xfId="2109"/>
    <cellStyle name="40% - Accent5 2 8 4" xfId="2110"/>
    <cellStyle name="40% - Accent5 2 9" xfId="2111"/>
    <cellStyle name="40% - Accent5 2 9 2" xfId="2112"/>
    <cellStyle name="40% - Accent5 3" xfId="2113"/>
    <cellStyle name="40% - Accent5 3 2" xfId="2114"/>
    <cellStyle name="40% - Accent5 3 2 2" xfId="2115"/>
    <cellStyle name="40% - Accent5 3 2 2 2" xfId="2116"/>
    <cellStyle name="40% - Accent5 3 2 3" xfId="2117"/>
    <cellStyle name="40% - Accent5 3 3" xfId="2118"/>
    <cellStyle name="40% - Accent5 3 3 2" xfId="2119"/>
    <cellStyle name="40% - Accent5 3 4" xfId="2120"/>
    <cellStyle name="40% - Accent5 3 4 2" xfId="2121"/>
    <cellStyle name="40% - Accent5 3 4 2 2" xfId="2122"/>
    <cellStyle name="40% - Accent5 3 4 3" xfId="2123"/>
    <cellStyle name="40% - Accent5 3 5" xfId="2124"/>
    <cellStyle name="40% - Accent5 4" xfId="2125"/>
    <cellStyle name="40% - Accent5 4 2" xfId="2126"/>
    <cellStyle name="40% - Accent5 4 2 2" xfId="2127"/>
    <cellStyle name="40% - Accent5 4 3" xfId="2128"/>
    <cellStyle name="40% - Accent5 4 3 2" xfId="2129"/>
    <cellStyle name="40% - Accent5 4 3 2 2" xfId="2130"/>
    <cellStyle name="40% - Accent5 4 3 3" xfId="2131"/>
    <cellStyle name="40% - Accent5 4 4" xfId="2132"/>
    <cellStyle name="40% - Accent5 5" xfId="2133"/>
    <cellStyle name="40% - Accent5 5 2" xfId="2134"/>
    <cellStyle name="40% - Accent5 5 2 2" xfId="2135"/>
    <cellStyle name="40% - Accent5 5 2 2 2" xfId="2136"/>
    <cellStyle name="40% - Accent5 5 2 3" xfId="2137"/>
    <cellStyle name="40% - Accent5 5 3" xfId="2138"/>
    <cellStyle name="40% - Accent5 5 3 2" xfId="2139"/>
    <cellStyle name="40% - Accent5 5 3 2 2" xfId="2140"/>
    <cellStyle name="40% - Accent5 5 3 2 2 2" xfId="2141"/>
    <cellStyle name="40% - Accent5 5 3 2 3" xfId="2142"/>
    <cellStyle name="40% - Accent5 5 3 3" xfId="2143"/>
    <cellStyle name="40% - Accent5 5 3 3 2" xfId="2144"/>
    <cellStyle name="40% - Accent5 5 3 4" xfId="2145"/>
    <cellStyle name="40% - Accent5 5 4" xfId="2146"/>
    <cellStyle name="40% - Accent5 5 4 2" xfId="2147"/>
    <cellStyle name="40% - Accent5 5 5" xfId="2148"/>
    <cellStyle name="40% - Accent5 6" xfId="2149"/>
    <cellStyle name="40% - Accent5 6 2" xfId="2150"/>
    <cellStyle name="40% - Accent5 6 2 2" xfId="2151"/>
    <cellStyle name="40% - Accent5 6 2 2 2" xfId="2152"/>
    <cellStyle name="40% - Accent5 6 2 3" xfId="2153"/>
    <cellStyle name="40% - Accent5 6 3" xfId="2154"/>
    <cellStyle name="40% - Accent5 6 3 2" xfId="2155"/>
    <cellStyle name="40% - Accent5 6 4" xfId="2156"/>
    <cellStyle name="40% - Accent5 7" xfId="2157"/>
    <cellStyle name="40% - Accent5 8" xfId="2158"/>
    <cellStyle name="40% - Accent6 2" xfId="2159"/>
    <cellStyle name="40% - Accent6 2 10" xfId="2160"/>
    <cellStyle name="40% - Accent6 2 10 2" xfId="2161"/>
    <cellStyle name="40% - Accent6 2 11" xfId="2162"/>
    <cellStyle name="40% - Accent6 2 2" xfId="2163"/>
    <cellStyle name="40% - Accent6 2 2 2" xfId="2164"/>
    <cellStyle name="40% - Accent6 2 2 2 2" xfId="2165"/>
    <cellStyle name="40% - Accent6 2 2 2 2 2" xfId="2166"/>
    <cellStyle name="40% - Accent6 2 2 2 3" xfId="2167"/>
    <cellStyle name="40% - Accent6 2 2 2 3 2" xfId="2168"/>
    <cellStyle name="40% - Accent6 2 2 2 3 2 2" xfId="2169"/>
    <cellStyle name="40% - Accent6 2 2 2 3 3" xfId="2170"/>
    <cellStyle name="40% - Accent6 2 2 2 4" xfId="2171"/>
    <cellStyle name="40% - Accent6 2 2 3" xfId="2172"/>
    <cellStyle name="40% - Accent6 2 2 3 2" xfId="2173"/>
    <cellStyle name="40% - Accent6 2 2 3 2 2" xfId="2174"/>
    <cellStyle name="40% - Accent6 2 2 3 3" xfId="2175"/>
    <cellStyle name="40% - Accent6 2 2 4" xfId="2176"/>
    <cellStyle name="40% - Accent6 2 2 4 2" xfId="2177"/>
    <cellStyle name="40% - Accent6 2 2 4 2 2" xfId="2178"/>
    <cellStyle name="40% - Accent6 2 2 4 2 2 2" xfId="2179"/>
    <cellStyle name="40% - Accent6 2 2 4 2 3" xfId="2180"/>
    <cellStyle name="40% - Accent6 2 2 4 3" xfId="2181"/>
    <cellStyle name="40% - Accent6 2 2 4 3 2" xfId="2182"/>
    <cellStyle name="40% - Accent6 2 2 4 4" xfId="2183"/>
    <cellStyle name="40% - Accent6 2 2 5" xfId="2184"/>
    <cellStyle name="40% - Accent6 2 2 5 2" xfId="2185"/>
    <cellStyle name="40% - Accent6 2 2 6" xfId="2186"/>
    <cellStyle name="40% - Accent6 2 3" xfId="2187"/>
    <cellStyle name="40% - Accent6 2 3 2" xfId="2188"/>
    <cellStyle name="40% - Accent6 2 3 2 2" xfId="2189"/>
    <cellStyle name="40% - Accent6 2 3 2 2 2" xfId="2190"/>
    <cellStyle name="40% - Accent6 2 3 2 3" xfId="2191"/>
    <cellStyle name="40% - Accent6 2 3 3" xfId="2192"/>
    <cellStyle name="40% - Accent6 2 3 3 2" xfId="2193"/>
    <cellStyle name="40% - Accent6 2 3 3 2 2" xfId="2194"/>
    <cellStyle name="40% - Accent6 2 3 3 2 2 2" xfId="2195"/>
    <cellStyle name="40% - Accent6 2 3 3 2 3" xfId="2196"/>
    <cellStyle name="40% - Accent6 2 3 3 3" xfId="2197"/>
    <cellStyle name="40% - Accent6 2 3 3 3 2" xfId="2198"/>
    <cellStyle name="40% - Accent6 2 3 3 4" xfId="2199"/>
    <cellStyle name="40% - Accent6 2 3 4" xfId="2200"/>
    <cellStyle name="40% - Accent6 2 3 4 2" xfId="2201"/>
    <cellStyle name="40% - Accent6 2 3 5" xfId="2202"/>
    <cellStyle name="40% - Accent6 2 4" xfId="2203"/>
    <cellStyle name="40% - Accent6 2 4 2" xfId="2204"/>
    <cellStyle name="40% - Accent6 2 4 2 2" xfId="2205"/>
    <cellStyle name="40% - Accent6 2 4 2 2 2" xfId="2206"/>
    <cellStyle name="40% - Accent6 2 4 2 3" xfId="2207"/>
    <cellStyle name="40% - Accent6 2 4 3" xfId="2208"/>
    <cellStyle name="40% - Accent6 2 4 3 2" xfId="2209"/>
    <cellStyle name="40% - Accent6 2 4 4" xfId="2210"/>
    <cellStyle name="40% - Accent6 2 5" xfId="2211"/>
    <cellStyle name="40% - Accent6 2 5 2" xfId="2212"/>
    <cellStyle name="40% - Accent6 2 5 2 2" xfId="2213"/>
    <cellStyle name="40% - Accent6 2 5 2 2 2" xfId="2214"/>
    <cellStyle name="40% - Accent6 2 5 2 3" xfId="2215"/>
    <cellStyle name="40% - Accent6 2 5 3" xfId="2216"/>
    <cellStyle name="40% - Accent6 2 5 3 2" xfId="2217"/>
    <cellStyle name="40% - Accent6 2 5 3 2 2" xfId="2218"/>
    <cellStyle name="40% - Accent6 2 5 3 2 2 2" xfId="2219"/>
    <cellStyle name="40% - Accent6 2 5 3 2 3" xfId="2220"/>
    <cellStyle name="40% - Accent6 2 5 3 3" xfId="2221"/>
    <cellStyle name="40% - Accent6 2 5 3 3 2" xfId="2222"/>
    <cellStyle name="40% - Accent6 2 5 3 4" xfId="2223"/>
    <cellStyle name="40% - Accent6 2 5 4" xfId="2224"/>
    <cellStyle name="40% - Accent6 2 5 4 2" xfId="2225"/>
    <cellStyle name="40% - Accent6 2 5 5" xfId="2226"/>
    <cellStyle name="40% - Accent6 2 6" xfId="2227"/>
    <cellStyle name="40% - Accent6 2 6 2" xfId="2228"/>
    <cellStyle name="40% - Accent6 2 6 2 2" xfId="2229"/>
    <cellStyle name="40% - Accent6 2 6 3" xfId="2230"/>
    <cellStyle name="40% - Accent6 2 7" xfId="2231"/>
    <cellStyle name="40% - Accent6 2 7 2" xfId="2232"/>
    <cellStyle name="40% - Accent6 2 7 2 2" xfId="2233"/>
    <cellStyle name="40% - Accent6 2 7 3" xfId="2234"/>
    <cellStyle name="40% - Accent6 2 8" xfId="2235"/>
    <cellStyle name="40% - Accent6 2 8 2" xfId="2236"/>
    <cellStyle name="40% - Accent6 2 8 2 2" xfId="2237"/>
    <cellStyle name="40% - Accent6 2 8 2 2 2" xfId="2238"/>
    <cellStyle name="40% - Accent6 2 8 2 3" xfId="2239"/>
    <cellStyle name="40% - Accent6 2 8 3" xfId="2240"/>
    <cellStyle name="40% - Accent6 2 8 3 2" xfId="2241"/>
    <cellStyle name="40% - Accent6 2 8 4" xfId="2242"/>
    <cellStyle name="40% - Accent6 2 9" xfId="2243"/>
    <cellStyle name="40% - Accent6 2 9 2" xfId="2244"/>
    <cellStyle name="40% - Accent6 3" xfId="2245"/>
    <cellStyle name="40% - Accent6 3 2" xfId="2246"/>
    <cellStyle name="40% - Accent6 3 2 2" xfId="2247"/>
    <cellStyle name="40% - Accent6 3 2 2 2" xfId="2248"/>
    <cellStyle name="40% - Accent6 3 2 3" xfId="2249"/>
    <cellStyle name="40% - Accent6 3 3" xfId="2250"/>
    <cellStyle name="40% - Accent6 3 3 2" xfId="2251"/>
    <cellStyle name="40% - Accent6 3 4" xfId="2252"/>
    <cellStyle name="40% - Accent6 3 4 2" xfId="2253"/>
    <cellStyle name="40% - Accent6 3 4 2 2" xfId="2254"/>
    <cellStyle name="40% - Accent6 3 4 3" xfId="2255"/>
    <cellStyle name="40% - Accent6 3 5" xfId="2256"/>
    <cellStyle name="40% - Accent6 4" xfId="2257"/>
    <cellStyle name="40% - Accent6 4 2" xfId="2258"/>
    <cellStyle name="40% - Accent6 4 2 2" xfId="2259"/>
    <cellStyle name="40% - Accent6 4 3" xfId="2260"/>
    <cellStyle name="40% - Accent6 4 3 2" xfId="2261"/>
    <cellStyle name="40% - Accent6 4 3 2 2" xfId="2262"/>
    <cellStyle name="40% - Accent6 4 3 3" xfId="2263"/>
    <cellStyle name="40% - Accent6 4 4" xfId="2264"/>
    <cellStyle name="40% - Accent6 5" xfId="2265"/>
    <cellStyle name="40% - Accent6 5 2" xfId="2266"/>
    <cellStyle name="40% - Accent6 5 2 2" xfId="2267"/>
    <cellStyle name="40% - Accent6 5 2 2 2" xfId="2268"/>
    <cellStyle name="40% - Accent6 5 2 3" xfId="2269"/>
    <cellStyle name="40% - Accent6 5 3" xfId="2270"/>
    <cellStyle name="40% - Accent6 5 3 2" xfId="2271"/>
    <cellStyle name="40% - Accent6 5 3 2 2" xfId="2272"/>
    <cellStyle name="40% - Accent6 5 3 2 2 2" xfId="2273"/>
    <cellStyle name="40% - Accent6 5 3 2 3" xfId="2274"/>
    <cellStyle name="40% - Accent6 5 3 3" xfId="2275"/>
    <cellStyle name="40% - Accent6 5 3 3 2" xfId="2276"/>
    <cellStyle name="40% - Accent6 5 3 4" xfId="2277"/>
    <cellStyle name="40% - Accent6 5 4" xfId="2278"/>
    <cellStyle name="40% - Accent6 5 4 2" xfId="2279"/>
    <cellStyle name="40% - Accent6 5 5" xfId="2280"/>
    <cellStyle name="40% - Accent6 6" xfId="2281"/>
    <cellStyle name="40% - Accent6 6 2" xfId="2282"/>
    <cellStyle name="40% - Accent6 6 2 2" xfId="2283"/>
    <cellStyle name="40% - Accent6 6 2 2 2" xfId="2284"/>
    <cellStyle name="40% - Accent6 6 2 3" xfId="2285"/>
    <cellStyle name="40% - Accent6 6 3" xfId="2286"/>
    <cellStyle name="40% - Accent6 6 3 2" xfId="2287"/>
    <cellStyle name="40% - Accent6 6 4" xfId="2288"/>
    <cellStyle name="40% - Accent6 7" xfId="2289"/>
    <cellStyle name="40% - Accent6 8" xfId="2290"/>
    <cellStyle name="60% - Accent1 2" xfId="2291"/>
    <cellStyle name="60% - Accent1 2 10" xfId="2292"/>
    <cellStyle name="60% - Accent1 2 2" xfId="2293"/>
    <cellStyle name="60% - Accent1 2 2 2" xfId="2294"/>
    <cellStyle name="60% - Accent1 2 2 2 2" xfId="2295"/>
    <cellStyle name="60% - Accent1 2 2 3" xfId="2296"/>
    <cellStyle name="60% - Accent1 2 2 3 2" xfId="2297"/>
    <cellStyle name="60% - Accent1 2 2 3 2 2" xfId="2298"/>
    <cellStyle name="60% - Accent1 2 2 3 3" xfId="2299"/>
    <cellStyle name="60% - Accent1 2 2 4" xfId="2300"/>
    <cellStyle name="60% - Accent1 2 3" xfId="2301"/>
    <cellStyle name="60% - Accent1 2 3 2" xfId="2302"/>
    <cellStyle name="60% - Accent1 2 3 2 2" xfId="2303"/>
    <cellStyle name="60% - Accent1 2 3 3" xfId="2304"/>
    <cellStyle name="60% - Accent1 2 3 3 2" xfId="2305"/>
    <cellStyle name="60% - Accent1 2 3 3 2 2" xfId="2306"/>
    <cellStyle name="60% - Accent1 2 3 3 3" xfId="2307"/>
    <cellStyle name="60% - Accent1 2 3 4" xfId="2308"/>
    <cellStyle name="60% - Accent1 2 4" xfId="2309"/>
    <cellStyle name="60% - Accent1 2 4 2" xfId="2310"/>
    <cellStyle name="60% - Accent1 2 4 2 2" xfId="2311"/>
    <cellStyle name="60% - Accent1 2 4 3" xfId="2312"/>
    <cellStyle name="60% - Accent1 2 5" xfId="2313"/>
    <cellStyle name="60% - Accent1 2 5 2" xfId="2314"/>
    <cellStyle name="60% - Accent1 2 5 2 2" xfId="2315"/>
    <cellStyle name="60% - Accent1 2 5 3" xfId="2316"/>
    <cellStyle name="60% - Accent1 2 5 3 2" xfId="2317"/>
    <cellStyle name="60% - Accent1 2 5 3 2 2" xfId="2318"/>
    <cellStyle name="60% - Accent1 2 5 3 3" xfId="2319"/>
    <cellStyle name="60% - Accent1 2 5 4" xfId="2320"/>
    <cellStyle name="60% - Accent1 2 6" xfId="2321"/>
    <cellStyle name="60% - Accent1 2 6 2" xfId="2322"/>
    <cellStyle name="60% - Accent1 2 7" xfId="2323"/>
    <cellStyle name="60% - Accent1 2 7 2" xfId="2324"/>
    <cellStyle name="60% - Accent1 2 8" xfId="2325"/>
    <cellStyle name="60% - Accent1 2 8 2" xfId="2326"/>
    <cellStyle name="60% - Accent1 2 8 2 2" xfId="2327"/>
    <cellStyle name="60% - Accent1 2 8 3" xfId="2328"/>
    <cellStyle name="60% - Accent1 2 9" xfId="2329"/>
    <cellStyle name="60% - Accent1 2 9 2" xfId="2330"/>
    <cellStyle name="60% - Accent1 2 9 2 2" xfId="2331"/>
    <cellStyle name="60% - Accent1 2 9 3" xfId="2332"/>
    <cellStyle name="60% - Accent1 3" xfId="2333"/>
    <cellStyle name="60% - Accent1 3 2" xfId="2334"/>
    <cellStyle name="60% - Accent1 3 2 2" xfId="2335"/>
    <cellStyle name="60% - Accent1 3 3" xfId="2336"/>
    <cellStyle name="60% - Accent1 3 3 2" xfId="2337"/>
    <cellStyle name="60% - Accent1 3 4" xfId="2338"/>
    <cellStyle name="60% - Accent1 3 4 2" xfId="2339"/>
    <cellStyle name="60% - Accent1 3 4 2 2" xfId="2340"/>
    <cellStyle name="60% - Accent1 3 4 3" xfId="2341"/>
    <cellStyle name="60% - Accent1 3 5" xfId="2342"/>
    <cellStyle name="60% - Accent1 4" xfId="2343"/>
    <cellStyle name="60% - Accent1 4 2" xfId="2344"/>
    <cellStyle name="60% - Accent1 4 2 2" xfId="2345"/>
    <cellStyle name="60% - Accent1 4 3" xfId="2346"/>
    <cellStyle name="60% - Accent1 4 3 2" xfId="2347"/>
    <cellStyle name="60% - Accent1 4 3 2 2" xfId="2348"/>
    <cellStyle name="60% - Accent1 4 3 3" xfId="2349"/>
    <cellStyle name="60% - Accent1 4 4" xfId="2350"/>
    <cellStyle name="60% - Accent1 5" xfId="2351"/>
    <cellStyle name="60% - Accent1 5 2" xfId="2352"/>
    <cellStyle name="60% - Accent1 5 2 2" xfId="2353"/>
    <cellStyle name="60% - Accent1 5 3" xfId="2354"/>
    <cellStyle name="60% - Accent1 5 3 2" xfId="2355"/>
    <cellStyle name="60% - Accent1 5 3 2 2" xfId="2356"/>
    <cellStyle name="60% - Accent1 5 3 3" xfId="2357"/>
    <cellStyle name="60% - Accent1 5 4" xfId="2358"/>
    <cellStyle name="60% - Accent1 6" xfId="2359"/>
    <cellStyle name="60% - Accent1 6 2" xfId="2360"/>
    <cellStyle name="60% - Accent1 6 2 2" xfId="2361"/>
    <cellStyle name="60% - Accent1 6 3" xfId="2362"/>
    <cellStyle name="60% - Accent1 7" xfId="2363"/>
    <cellStyle name="60% - Accent1 8" xfId="2364"/>
    <cellStyle name="60% - Accent2 2" xfId="2365"/>
    <cellStyle name="60% - Accent2 2 10" xfId="2366"/>
    <cellStyle name="60% - Accent2 2 2" xfId="2367"/>
    <cellStyle name="60% - Accent2 2 2 2" xfId="2368"/>
    <cellStyle name="60% - Accent2 2 2 2 2" xfId="2369"/>
    <cellStyle name="60% - Accent2 2 2 3" xfId="2370"/>
    <cellStyle name="60% - Accent2 2 2 3 2" xfId="2371"/>
    <cellStyle name="60% - Accent2 2 2 3 2 2" xfId="2372"/>
    <cellStyle name="60% - Accent2 2 2 3 3" xfId="2373"/>
    <cellStyle name="60% - Accent2 2 2 4" xfId="2374"/>
    <cellStyle name="60% - Accent2 2 3" xfId="2375"/>
    <cellStyle name="60% - Accent2 2 3 2" xfId="2376"/>
    <cellStyle name="60% - Accent2 2 3 2 2" xfId="2377"/>
    <cellStyle name="60% - Accent2 2 3 3" xfId="2378"/>
    <cellStyle name="60% - Accent2 2 3 3 2" xfId="2379"/>
    <cellStyle name="60% - Accent2 2 3 3 2 2" xfId="2380"/>
    <cellStyle name="60% - Accent2 2 3 3 3" xfId="2381"/>
    <cellStyle name="60% - Accent2 2 3 4" xfId="2382"/>
    <cellStyle name="60% - Accent2 2 4" xfId="2383"/>
    <cellStyle name="60% - Accent2 2 4 2" xfId="2384"/>
    <cellStyle name="60% - Accent2 2 4 2 2" xfId="2385"/>
    <cellStyle name="60% - Accent2 2 4 3" xfId="2386"/>
    <cellStyle name="60% - Accent2 2 5" xfId="2387"/>
    <cellStyle name="60% - Accent2 2 5 2" xfId="2388"/>
    <cellStyle name="60% - Accent2 2 5 2 2" xfId="2389"/>
    <cellStyle name="60% - Accent2 2 5 3" xfId="2390"/>
    <cellStyle name="60% - Accent2 2 5 3 2" xfId="2391"/>
    <cellStyle name="60% - Accent2 2 5 3 2 2" xfId="2392"/>
    <cellStyle name="60% - Accent2 2 5 3 3" xfId="2393"/>
    <cellStyle name="60% - Accent2 2 5 4" xfId="2394"/>
    <cellStyle name="60% - Accent2 2 6" xfId="2395"/>
    <cellStyle name="60% - Accent2 2 6 2" xfId="2396"/>
    <cellStyle name="60% - Accent2 2 7" xfId="2397"/>
    <cellStyle name="60% - Accent2 2 7 2" xfId="2398"/>
    <cellStyle name="60% - Accent2 2 8" xfId="2399"/>
    <cellStyle name="60% - Accent2 2 8 2" xfId="2400"/>
    <cellStyle name="60% - Accent2 2 8 2 2" xfId="2401"/>
    <cellStyle name="60% - Accent2 2 8 3" xfId="2402"/>
    <cellStyle name="60% - Accent2 2 9" xfId="2403"/>
    <cellStyle name="60% - Accent2 2 9 2" xfId="2404"/>
    <cellStyle name="60% - Accent2 2 9 2 2" xfId="2405"/>
    <cellStyle name="60% - Accent2 2 9 3" xfId="2406"/>
    <cellStyle name="60% - Accent2 3" xfId="2407"/>
    <cellStyle name="60% - Accent2 3 2" xfId="2408"/>
    <cellStyle name="60% - Accent2 3 2 2" xfId="2409"/>
    <cellStyle name="60% - Accent2 3 3" xfId="2410"/>
    <cellStyle name="60% - Accent2 3 3 2" xfId="2411"/>
    <cellStyle name="60% - Accent2 3 4" xfId="2412"/>
    <cellStyle name="60% - Accent2 3 4 2" xfId="2413"/>
    <cellStyle name="60% - Accent2 3 4 2 2" xfId="2414"/>
    <cellStyle name="60% - Accent2 3 4 3" xfId="2415"/>
    <cellStyle name="60% - Accent2 3 5" xfId="2416"/>
    <cellStyle name="60% - Accent2 4" xfId="2417"/>
    <cellStyle name="60% - Accent2 4 2" xfId="2418"/>
    <cellStyle name="60% - Accent2 4 2 2" xfId="2419"/>
    <cellStyle name="60% - Accent2 4 3" xfId="2420"/>
    <cellStyle name="60% - Accent2 4 3 2" xfId="2421"/>
    <cellStyle name="60% - Accent2 4 3 2 2" xfId="2422"/>
    <cellStyle name="60% - Accent2 4 3 3" xfId="2423"/>
    <cellStyle name="60% - Accent2 4 4" xfId="2424"/>
    <cellStyle name="60% - Accent2 5" xfId="2425"/>
    <cellStyle name="60% - Accent2 5 2" xfId="2426"/>
    <cellStyle name="60% - Accent2 5 2 2" xfId="2427"/>
    <cellStyle name="60% - Accent2 5 3" xfId="2428"/>
    <cellStyle name="60% - Accent2 5 3 2" xfId="2429"/>
    <cellStyle name="60% - Accent2 5 3 2 2" xfId="2430"/>
    <cellStyle name="60% - Accent2 5 3 3" xfId="2431"/>
    <cellStyle name="60% - Accent2 5 4" xfId="2432"/>
    <cellStyle name="60% - Accent2 6" xfId="2433"/>
    <cellStyle name="60% - Accent2 6 2" xfId="2434"/>
    <cellStyle name="60% - Accent2 6 2 2" xfId="2435"/>
    <cellStyle name="60% - Accent2 6 3" xfId="2436"/>
    <cellStyle name="60% - Accent2 7" xfId="2437"/>
    <cellStyle name="60% - Accent2 8" xfId="2438"/>
    <cellStyle name="60% - Accent3 2" xfId="2439"/>
    <cellStyle name="60% - Accent3 2 10" xfId="2440"/>
    <cellStyle name="60% - Accent3 2 2" xfId="2441"/>
    <cellStyle name="60% - Accent3 2 2 2" xfId="2442"/>
    <cellStyle name="60% - Accent3 2 2 2 2" xfId="2443"/>
    <cellStyle name="60% - Accent3 2 2 3" xfId="2444"/>
    <cellStyle name="60% - Accent3 2 2 3 2" xfId="2445"/>
    <cellStyle name="60% - Accent3 2 2 3 2 2" xfId="2446"/>
    <cellStyle name="60% - Accent3 2 2 3 3" xfId="2447"/>
    <cellStyle name="60% - Accent3 2 2 4" xfId="2448"/>
    <cellStyle name="60% - Accent3 2 3" xfId="2449"/>
    <cellStyle name="60% - Accent3 2 3 2" xfId="2450"/>
    <cellStyle name="60% - Accent3 2 3 2 2" xfId="2451"/>
    <cellStyle name="60% - Accent3 2 3 3" xfId="2452"/>
    <cellStyle name="60% - Accent3 2 3 3 2" xfId="2453"/>
    <cellStyle name="60% - Accent3 2 3 3 2 2" xfId="2454"/>
    <cellStyle name="60% - Accent3 2 3 3 3" xfId="2455"/>
    <cellStyle name="60% - Accent3 2 3 4" xfId="2456"/>
    <cellStyle name="60% - Accent3 2 4" xfId="2457"/>
    <cellStyle name="60% - Accent3 2 4 2" xfId="2458"/>
    <cellStyle name="60% - Accent3 2 4 2 2" xfId="2459"/>
    <cellStyle name="60% - Accent3 2 4 3" xfId="2460"/>
    <cellStyle name="60% - Accent3 2 5" xfId="2461"/>
    <cellStyle name="60% - Accent3 2 5 2" xfId="2462"/>
    <cellStyle name="60% - Accent3 2 5 2 2" xfId="2463"/>
    <cellStyle name="60% - Accent3 2 5 3" xfId="2464"/>
    <cellStyle name="60% - Accent3 2 5 3 2" xfId="2465"/>
    <cellStyle name="60% - Accent3 2 5 3 2 2" xfId="2466"/>
    <cellStyle name="60% - Accent3 2 5 3 3" xfId="2467"/>
    <cellStyle name="60% - Accent3 2 5 4" xfId="2468"/>
    <cellStyle name="60% - Accent3 2 6" xfId="2469"/>
    <cellStyle name="60% - Accent3 2 6 2" xfId="2470"/>
    <cellStyle name="60% - Accent3 2 7" xfId="2471"/>
    <cellStyle name="60% - Accent3 2 7 2" xfId="2472"/>
    <cellStyle name="60% - Accent3 2 8" xfId="2473"/>
    <cellStyle name="60% - Accent3 2 8 2" xfId="2474"/>
    <cellStyle name="60% - Accent3 2 8 2 2" xfId="2475"/>
    <cellStyle name="60% - Accent3 2 8 3" xfId="2476"/>
    <cellStyle name="60% - Accent3 2 9" xfId="2477"/>
    <cellStyle name="60% - Accent3 2 9 2" xfId="2478"/>
    <cellStyle name="60% - Accent3 2 9 2 2" xfId="2479"/>
    <cellStyle name="60% - Accent3 2 9 3" xfId="2480"/>
    <cellStyle name="60% - Accent3 3" xfId="2481"/>
    <cellStyle name="60% - Accent3 3 2" xfId="2482"/>
    <cellStyle name="60% - Accent3 3 2 2" xfId="2483"/>
    <cellStyle name="60% - Accent3 3 3" xfId="2484"/>
    <cellStyle name="60% - Accent3 3 3 2" xfId="2485"/>
    <cellStyle name="60% - Accent3 3 4" xfId="2486"/>
    <cellStyle name="60% - Accent3 3 4 2" xfId="2487"/>
    <cellStyle name="60% - Accent3 3 4 2 2" xfId="2488"/>
    <cellStyle name="60% - Accent3 3 4 3" xfId="2489"/>
    <cellStyle name="60% - Accent3 3 5" xfId="2490"/>
    <cellStyle name="60% - Accent3 4" xfId="2491"/>
    <cellStyle name="60% - Accent3 4 2" xfId="2492"/>
    <cellStyle name="60% - Accent3 4 2 2" xfId="2493"/>
    <cellStyle name="60% - Accent3 4 3" xfId="2494"/>
    <cellStyle name="60% - Accent3 4 3 2" xfId="2495"/>
    <cellStyle name="60% - Accent3 4 3 2 2" xfId="2496"/>
    <cellStyle name="60% - Accent3 4 3 3" xfId="2497"/>
    <cellStyle name="60% - Accent3 4 4" xfId="2498"/>
    <cellStyle name="60% - Accent3 5" xfId="2499"/>
    <cellStyle name="60% - Accent3 5 2" xfId="2500"/>
    <cellStyle name="60% - Accent3 5 2 2" xfId="2501"/>
    <cellStyle name="60% - Accent3 5 3" xfId="2502"/>
    <cellStyle name="60% - Accent3 5 3 2" xfId="2503"/>
    <cellStyle name="60% - Accent3 5 3 2 2" xfId="2504"/>
    <cellStyle name="60% - Accent3 5 3 3" xfId="2505"/>
    <cellStyle name="60% - Accent3 5 4" xfId="2506"/>
    <cellStyle name="60% - Accent3 6" xfId="2507"/>
    <cellStyle name="60% - Accent3 6 2" xfId="2508"/>
    <cellStyle name="60% - Accent3 6 2 2" xfId="2509"/>
    <cellStyle name="60% - Accent3 6 3" xfId="2510"/>
    <cellStyle name="60% - Accent3 7" xfId="2511"/>
    <cellStyle name="60% - Accent3 8" xfId="2512"/>
    <cellStyle name="60% - Accent4 2" xfId="2513"/>
    <cellStyle name="60% - Accent4 2 10" xfId="2514"/>
    <cellStyle name="60% - Accent4 2 2" xfId="2515"/>
    <cellStyle name="60% - Accent4 2 2 2" xfId="2516"/>
    <cellStyle name="60% - Accent4 2 2 2 2" xfId="2517"/>
    <cellStyle name="60% - Accent4 2 2 3" xfId="2518"/>
    <cellStyle name="60% - Accent4 2 2 3 2" xfId="2519"/>
    <cellStyle name="60% - Accent4 2 2 3 2 2" xfId="2520"/>
    <cellStyle name="60% - Accent4 2 2 3 3" xfId="2521"/>
    <cellStyle name="60% - Accent4 2 2 4" xfId="2522"/>
    <cellStyle name="60% - Accent4 2 3" xfId="2523"/>
    <cellStyle name="60% - Accent4 2 3 2" xfId="2524"/>
    <cellStyle name="60% - Accent4 2 3 2 2" xfId="2525"/>
    <cellStyle name="60% - Accent4 2 3 3" xfId="2526"/>
    <cellStyle name="60% - Accent4 2 3 3 2" xfId="2527"/>
    <cellStyle name="60% - Accent4 2 3 3 2 2" xfId="2528"/>
    <cellStyle name="60% - Accent4 2 3 3 3" xfId="2529"/>
    <cellStyle name="60% - Accent4 2 3 4" xfId="2530"/>
    <cellStyle name="60% - Accent4 2 4" xfId="2531"/>
    <cellStyle name="60% - Accent4 2 4 2" xfId="2532"/>
    <cellStyle name="60% - Accent4 2 4 2 2" xfId="2533"/>
    <cellStyle name="60% - Accent4 2 4 3" xfId="2534"/>
    <cellStyle name="60% - Accent4 2 5" xfId="2535"/>
    <cellStyle name="60% - Accent4 2 5 2" xfId="2536"/>
    <cellStyle name="60% - Accent4 2 5 2 2" xfId="2537"/>
    <cellStyle name="60% - Accent4 2 5 3" xfId="2538"/>
    <cellStyle name="60% - Accent4 2 5 3 2" xfId="2539"/>
    <cellStyle name="60% - Accent4 2 5 3 2 2" xfId="2540"/>
    <cellStyle name="60% - Accent4 2 5 3 3" xfId="2541"/>
    <cellStyle name="60% - Accent4 2 5 4" xfId="2542"/>
    <cellStyle name="60% - Accent4 2 6" xfId="2543"/>
    <cellStyle name="60% - Accent4 2 6 2" xfId="2544"/>
    <cellStyle name="60% - Accent4 2 7" xfId="2545"/>
    <cellStyle name="60% - Accent4 2 7 2" xfId="2546"/>
    <cellStyle name="60% - Accent4 2 8" xfId="2547"/>
    <cellStyle name="60% - Accent4 2 8 2" xfId="2548"/>
    <cellStyle name="60% - Accent4 2 8 2 2" xfId="2549"/>
    <cellStyle name="60% - Accent4 2 8 3" xfId="2550"/>
    <cellStyle name="60% - Accent4 2 9" xfId="2551"/>
    <cellStyle name="60% - Accent4 2 9 2" xfId="2552"/>
    <cellStyle name="60% - Accent4 2 9 2 2" xfId="2553"/>
    <cellStyle name="60% - Accent4 2 9 3" xfId="2554"/>
    <cellStyle name="60% - Accent4 3" xfId="2555"/>
    <cellStyle name="60% - Accent4 3 2" xfId="2556"/>
    <cellStyle name="60% - Accent4 3 2 2" xfId="2557"/>
    <cellStyle name="60% - Accent4 3 3" xfId="2558"/>
    <cellStyle name="60% - Accent4 3 3 2" xfId="2559"/>
    <cellStyle name="60% - Accent4 3 4" xfId="2560"/>
    <cellStyle name="60% - Accent4 3 4 2" xfId="2561"/>
    <cellStyle name="60% - Accent4 3 4 2 2" xfId="2562"/>
    <cellStyle name="60% - Accent4 3 4 3" xfId="2563"/>
    <cellStyle name="60% - Accent4 3 5" xfId="2564"/>
    <cellStyle name="60% - Accent4 4" xfId="2565"/>
    <cellStyle name="60% - Accent4 4 2" xfId="2566"/>
    <cellStyle name="60% - Accent4 4 2 2" xfId="2567"/>
    <cellStyle name="60% - Accent4 4 3" xfId="2568"/>
    <cellStyle name="60% - Accent4 4 3 2" xfId="2569"/>
    <cellStyle name="60% - Accent4 4 3 2 2" xfId="2570"/>
    <cellStyle name="60% - Accent4 4 3 3" xfId="2571"/>
    <cellStyle name="60% - Accent4 4 4" xfId="2572"/>
    <cellStyle name="60% - Accent4 5" xfId="2573"/>
    <cellStyle name="60% - Accent4 5 2" xfId="2574"/>
    <cellStyle name="60% - Accent4 5 2 2" xfId="2575"/>
    <cellStyle name="60% - Accent4 5 3" xfId="2576"/>
    <cellStyle name="60% - Accent4 5 3 2" xfId="2577"/>
    <cellStyle name="60% - Accent4 5 3 2 2" xfId="2578"/>
    <cellStyle name="60% - Accent4 5 3 3" xfId="2579"/>
    <cellStyle name="60% - Accent4 5 4" xfId="2580"/>
    <cellStyle name="60% - Accent4 6" xfId="2581"/>
    <cellStyle name="60% - Accent4 6 2" xfId="2582"/>
    <cellStyle name="60% - Accent4 6 2 2" xfId="2583"/>
    <cellStyle name="60% - Accent4 6 3" xfId="2584"/>
    <cellStyle name="60% - Accent4 7" xfId="2585"/>
    <cellStyle name="60% - Accent4 8" xfId="2586"/>
    <cellStyle name="60% - Accent5 2" xfId="2587"/>
    <cellStyle name="60% - Accent5 2 10" xfId="2588"/>
    <cellStyle name="60% - Accent5 2 2" xfId="2589"/>
    <cellStyle name="60% - Accent5 2 2 2" xfId="2590"/>
    <cellStyle name="60% - Accent5 2 2 2 2" xfId="2591"/>
    <cellStyle name="60% - Accent5 2 2 3" xfId="2592"/>
    <cellStyle name="60% - Accent5 2 2 3 2" xfId="2593"/>
    <cellStyle name="60% - Accent5 2 2 3 2 2" xfId="2594"/>
    <cellStyle name="60% - Accent5 2 2 3 3" xfId="2595"/>
    <cellStyle name="60% - Accent5 2 2 4" xfId="2596"/>
    <cellStyle name="60% - Accent5 2 3" xfId="2597"/>
    <cellStyle name="60% - Accent5 2 3 2" xfId="2598"/>
    <cellStyle name="60% - Accent5 2 3 2 2" xfId="2599"/>
    <cellStyle name="60% - Accent5 2 3 3" xfId="2600"/>
    <cellStyle name="60% - Accent5 2 3 3 2" xfId="2601"/>
    <cellStyle name="60% - Accent5 2 3 3 2 2" xfId="2602"/>
    <cellStyle name="60% - Accent5 2 3 3 3" xfId="2603"/>
    <cellStyle name="60% - Accent5 2 3 4" xfId="2604"/>
    <cellStyle name="60% - Accent5 2 4" xfId="2605"/>
    <cellStyle name="60% - Accent5 2 4 2" xfId="2606"/>
    <cellStyle name="60% - Accent5 2 4 2 2" xfId="2607"/>
    <cellStyle name="60% - Accent5 2 4 3" xfId="2608"/>
    <cellStyle name="60% - Accent5 2 5" xfId="2609"/>
    <cellStyle name="60% - Accent5 2 5 2" xfId="2610"/>
    <cellStyle name="60% - Accent5 2 5 2 2" xfId="2611"/>
    <cellStyle name="60% - Accent5 2 5 3" xfId="2612"/>
    <cellStyle name="60% - Accent5 2 5 3 2" xfId="2613"/>
    <cellStyle name="60% - Accent5 2 5 3 2 2" xfId="2614"/>
    <cellStyle name="60% - Accent5 2 5 3 3" xfId="2615"/>
    <cellStyle name="60% - Accent5 2 5 4" xfId="2616"/>
    <cellStyle name="60% - Accent5 2 6" xfId="2617"/>
    <cellStyle name="60% - Accent5 2 6 2" xfId="2618"/>
    <cellStyle name="60% - Accent5 2 7" xfId="2619"/>
    <cellStyle name="60% - Accent5 2 7 2" xfId="2620"/>
    <cellStyle name="60% - Accent5 2 8" xfId="2621"/>
    <cellStyle name="60% - Accent5 2 8 2" xfId="2622"/>
    <cellStyle name="60% - Accent5 2 8 2 2" xfId="2623"/>
    <cellStyle name="60% - Accent5 2 8 3" xfId="2624"/>
    <cellStyle name="60% - Accent5 2 9" xfId="2625"/>
    <cellStyle name="60% - Accent5 2 9 2" xfId="2626"/>
    <cellStyle name="60% - Accent5 2 9 2 2" xfId="2627"/>
    <cellStyle name="60% - Accent5 2 9 3" xfId="2628"/>
    <cellStyle name="60% - Accent5 3" xfId="2629"/>
    <cellStyle name="60% - Accent5 3 2" xfId="2630"/>
    <cellStyle name="60% - Accent5 3 2 2" xfId="2631"/>
    <cellStyle name="60% - Accent5 3 3" xfId="2632"/>
    <cellStyle name="60% - Accent5 3 3 2" xfId="2633"/>
    <cellStyle name="60% - Accent5 3 4" xfId="2634"/>
    <cellStyle name="60% - Accent5 3 4 2" xfId="2635"/>
    <cellStyle name="60% - Accent5 3 4 2 2" xfId="2636"/>
    <cellStyle name="60% - Accent5 3 4 3" xfId="2637"/>
    <cellStyle name="60% - Accent5 3 5" xfId="2638"/>
    <cellStyle name="60% - Accent5 4" xfId="2639"/>
    <cellStyle name="60% - Accent5 4 2" xfId="2640"/>
    <cellStyle name="60% - Accent5 4 2 2" xfId="2641"/>
    <cellStyle name="60% - Accent5 4 3" xfId="2642"/>
    <cellStyle name="60% - Accent5 4 3 2" xfId="2643"/>
    <cellStyle name="60% - Accent5 4 3 2 2" xfId="2644"/>
    <cellStyle name="60% - Accent5 4 3 3" xfId="2645"/>
    <cellStyle name="60% - Accent5 4 4" xfId="2646"/>
    <cellStyle name="60% - Accent5 5" xfId="2647"/>
    <cellStyle name="60% - Accent5 5 2" xfId="2648"/>
    <cellStyle name="60% - Accent5 5 2 2" xfId="2649"/>
    <cellStyle name="60% - Accent5 5 3" xfId="2650"/>
    <cellStyle name="60% - Accent5 5 3 2" xfId="2651"/>
    <cellStyle name="60% - Accent5 5 3 2 2" xfId="2652"/>
    <cellStyle name="60% - Accent5 5 3 3" xfId="2653"/>
    <cellStyle name="60% - Accent5 5 4" xfId="2654"/>
    <cellStyle name="60% - Accent5 6" xfId="2655"/>
    <cellStyle name="60% - Accent5 6 2" xfId="2656"/>
    <cellStyle name="60% - Accent5 6 2 2" xfId="2657"/>
    <cellStyle name="60% - Accent5 6 3" xfId="2658"/>
    <cellStyle name="60% - Accent5 7" xfId="2659"/>
    <cellStyle name="60% - Accent5 8" xfId="2660"/>
    <cellStyle name="60% - Accent6 2" xfId="2661"/>
    <cellStyle name="60% - Accent6 2 10" xfId="2662"/>
    <cellStyle name="60% - Accent6 2 2" xfId="2663"/>
    <cellStyle name="60% - Accent6 2 2 2" xfId="2664"/>
    <cellStyle name="60% - Accent6 2 2 2 2" xfId="2665"/>
    <cellStyle name="60% - Accent6 2 2 3" xfId="2666"/>
    <cellStyle name="60% - Accent6 2 2 3 2" xfId="2667"/>
    <cellStyle name="60% - Accent6 2 2 3 2 2" xfId="2668"/>
    <cellStyle name="60% - Accent6 2 2 3 3" xfId="2669"/>
    <cellStyle name="60% - Accent6 2 2 4" xfId="2670"/>
    <cellStyle name="60% - Accent6 2 3" xfId="2671"/>
    <cellStyle name="60% - Accent6 2 3 2" xfId="2672"/>
    <cellStyle name="60% - Accent6 2 3 2 2" xfId="2673"/>
    <cellStyle name="60% - Accent6 2 3 3" xfId="2674"/>
    <cellStyle name="60% - Accent6 2 3 3 2" xfId="2675"/>
    <cellStyle name="60% - Accent6 2 3 3 2 2" xfId="2676"/>
    <cellStyle name="60% - Accent6 2 3 3 3" xfId="2677"/>
    <cellStyle name="60% - Accent6 2 3 4" xfId="2678"/>
    <cellStyle name="60% - Accent6 2 4" xfId="2679"/>
    <cellStyle name="60% - Accent6 2 4 2" xfId="2680"/>
    <cellStyle name="60% - Accent6 2 4 2 2" xfId="2681"/>
    <cellStyle name="60% - Accent6 2 4 3" xfId="2682"/>
    <cellStyle name="60% - Accent6 2 5" xfId="2683"/>
    <cellStyle name="60% - Accent6 2 5 2" xfId="2684"/>
    <cellStyle name="60% - Accent6 2 5 2 2" xfId="2685"/>
    <cellStyle name="60% - Accent6 2 5 3" xfId="2686"/>
    <cellStyle name="60% - Accent6 2 5 3 2" xfId="2687"/>
    <cellStyle name="60% - Accent6 2 5 3 2 2" xfId="2688"/>
    <cellStyle name="60% - Accent6 2 5 3 3" xfId="2689"/>
    <cellStyle name="60% - Accent6 2 5 4" xfId="2690"/>
    <cellStyle name="60% - Accent6 2 6" xfId="2691"/>
    <cellStyle name="60% - Accent6 2 6 2" xfId="2692"/>
    <cellStyle name="60% - Accent6 2 7" xfId="2693"/>
    <cellStyle name="60% - Accent6 2 7 2" xfId="2694"/>
    <cellStyle name="60% - Accent6 2 8" xfId="2695"/>
    <cellStyle name="60% - Accent6 2 8 2" xfId="2696"/>
    <cellStyle name="60% - Accent6 2 8 2 2" xfId="2697"/>
    <cellStyle name="60% - Accent6 2 8 3" xfId="2698"/>
    <cellStyle name="60% - Accent6 2 9" xfId="2699"/>
    <cellStyle name="60% - Accent6 2 9 2" xfId="2700"/>
    <cellStyle name="60% - Accent6 2 9 2 2" xfId="2701"/>
    <cellStyle name="60% - Accent6 2 9 3" xfId="2702"/>
    <cellStyle name="60% - Accent6 3" xfId="2703"/>
    <cellStyle name="60% - Accent6 3 2" xfId="2704"/>
    <cellStyle name="60% - Accent6 3 2 2" xfId="2705"/>
    <cellStyle name="60% - Accent6 3 3" xfId="2706"/>
    <cellStyle name="60% - Accent6 3 3 2" xfId="2707"/>
    <cellStyle name="60% - Accent6 3 4" xfId="2708"/>
    <cellStyle name="60% - Accent6 3 4 2" xfId="2709"/>
    <cellStyle name="60% - Accent6 3 4 2 2" xfId="2710"/>
    <cellStyle name="60% - Accent6 3 4 3" xfId="2711"/>
    <cellStyle name="60% - Accent6 3 5" xfId="2712"/>
    <cellStyle name="60% - Accent6 4" xfId="2713"/>
    <cellStyle name="60% - Accent6 4 2" xfId="2714"/>
    <cellStyle name="60% - Accent6 4 2 2" xfId="2715"/>
    <cellStyle name="60% - Accent6 4 3" xfId="2716"/>
    <cellStyle name="60% - Accent6 4 3 2" xfId="2717"/>
    <cellStyle name="60% - Accent6 4 3 2 2" xfId="2718"/>
    <cellStyle name="60% - Accent6 4 3 3" xfId="2719"/>
    <cellStyle name="60% - Accent6 4 4" xfId="2720"/>
    <cellStyle name="60% - Accent6 5" xfId="2721"/>
    <cellStyle name="60% - Accent6 5 2" xfId="2722"/>
    <cellStyle name="60% - Accent6 5 2 2" xfId="2723"/>
    <cellStyle name="60% - Accent6 5 3" xfId="2724"/>
    <cellStyle name="60% - Accent6 5 3 2" xfId="2725"/>
    <cellStyle name="60% - Accent6 5 3 2 2" xfId="2726"/>
    <cellStyle name="60% - Accent6 5 3 3" xfId="2727"/>
    <cellStyle name="60% - Accent6 5 4" xfId="2728"/>
    <cellStyle name="60% - Accent6 6" xfId="2729"/>
    <cellStyle name="60% - Accent6 6 2" xfId="2730"/>
    <cellStyle name="60% - Accent6 6 2 2" xfId="2731"/>
    <cellStyle name="60% - Accent6 6 3" xfId="2732"/>
    <cellStyle name="60% - Accent6 7" xfId="2733"/>
    <cellStyle name="60% - Accent6 8" xfId="2734"/>
    <cellStyle name="Accent1 - 20%" xfId="1"/>
    <cellStyle name="Accent1 - 20% 10" xfId="2735"/>
    <cellStyle name="Accent1 - 20% 11" xfId="2736"/>
    <cellStyle name="Accent1 - 20% 2" xfId="2737"/>
    <cellStyle name="Accent1 - 20% 2 2" xfId="2738"/>
    <cellStyle name="Accent1 - 20% 2 2 2" xfId="2739"/>
    <cellStyle name="Accent1 - 20% 2 2 2 2" xfId="2740"/>
    <cellStyle name="Accent1 - 20% 2 2 3" xfId="2741"/>
    <cellStyle name="Accent1 - 20% 2 3" xfId="2742"/>
    <cellStyle name="Accent1 - 20% 2 3 2" xfId="2743"/>
    <cellStyle name="Accent1 - 20% 2 3 2 2" xfId="2744"/>
    <cellStyle name="Accent1 - 20% 2 3 2 2 2" xfId="2745"/>
    <cellStyle name="Accent1 - 20% 2 3 2 3" xfId="2746"/>
    <cellStyle name="Accent1 - 20% 2 3 3" xfId="2747"/>
    <cellStyle name="Accent1 - 20% 2 3 3 2" xfId="2748"/>
    <cellStyle name="Accent1 - 20% 2 3 4" xfId="2749"/>
    <cellStyle name="Accent1 - 20% 2 4" xfId="2750"/>
    <cellStyle name="Accent1 - 20% 2 4 2" xfId="2751"/>
    <cellStyle name="Accent1 - 20% 2 4 2 2" xfId="2752"/>
    <cellStyle name="Accent1 - 20% 2 4 2 2 2" xfId="2753"/>
    <cellStyle name="Accent1 - 20% 2 4 2 3" xfId="2754"/>
    <cellStyle name="Accent1 - 20% 2 4 3" xfId="2755"/>
    <cellStyle name="Accent1 - 20% 2 4 3 2" xfId="2756"/>
    <cellStyle name="Accent1 - 20% 2 4 4" xfId="2757"/>
    <cellStyle name="Accent1 - 20% 2 5" xfId="2758"/>
    <cellStyle name="Accent1 - 20% 2 5 2" xfId="2759"/>
    <cellStyle name="Accent1 - 20% 2 6" xfId="2760"/>
    <cellStyle name="Accent1 - 20% 2 6 2" xfId="2761"/>
    <cellStyle name="Accent1 - 20% 2 7" xfId="2762"/>
    <cellStyle name="Accent1 - 20% 3" xfId="2763"/>
    <cellStyle name="Accent1 - 20% 3 2" xfId="2764"/>
    <cellStyle name="Accent1 - 20% 3 2 2" xfId="2765"/>
    <cellStyle name="Accent1 - 20% 3 2 2 2" xfId="2766"/>
    <cellStyle name="Accent1 - 20% 3 2 3" xfId="2767"/>
    <cellStyle name="Accent1 - 20% 3 3" xfId="2768"/>
    <cellStyle name="Accent1 - 20% 3 3 2" xfId="2769"/>
    <cellStyle name="Accent1 - 20% 3 4" xfId="2770"/>
    <cellStyle name="Accent1 - 20% 4" xfId="2771"/>
    <cellStyle name="Accent1 - 20% 4 2" xfId="2772"/>
    <cellStyle name="Accent1 - 20% 4 2 2" xfId="2773"/>
    <cellStyle name="Accent1 - 20% 4 3" xfId="2774"/>
    <cellStyle name="Accent1 - 20% 5" xfId="2775"/>
    <cellStyle name="Accent1 - 20% 5 2" xfId="2776"/>
    <cellStyle name="Accent1 - 20% 5 2 2" xfId="2777"/>
    <cellStyle name="Accent1 - 20% 5 3" xfId="2778"/>
    <cellStyle name="Accent1 - 20% 6" xfId="2779"/>
    <cellStyle name="Accent1 - 20% 6 2" xfId="2780"/>
    <cellStyle name="Accent1 - 20% 7" xfId="2781"/>
    <cellStyle name="Accent1 - 20% 7 2" xfId="2782"/>
    <cellStyle name="Accent1 - 20% 8" xfId="2783"/>
    <cellStyle name="Accent1 - 20% 8 2" xfId="2784"/>
    <cellStyle name="Accent1 - 20% 9" xfId="2785"/>
    <cellStyle name="Accent1 - 20% 9 2" xfId="2786"/>
    <cellStyle name="Accent1 - 40%" xfId="2"/>
    <cellStyle name="Accent1 - 40% 10" xfId="2787"/>
    <cellStyle name="Accent1 - 40% 11" xfId="2788"/>
    <cellStyle name="Accent1 - 40% 2" xfId="2789"/>
    <cellStyle name="Accent1 - 40% 2 2" xfId="2790"/>
    <cellStyle name="Accent1 - 40% 2 2 2" xfId="2791"/>
    <cellStyle name="Accent1 - 40% 2 2 2 2" xfId="2792"/>
    <cellStyle name="Accent1 - 40% 2 2 3" xfId="2793"/>
    <cellStyle name="Accent1 - 40% 2 3" xfId="2794"/>
    <cellStyle name="Accent1 - 40% 2 3 2" xfId="2795"/>
    <cellStyle name="Accent1 - 40% 2 3 2 2" xfId="2796"/>
    <cellStyle name="Accent1 - 40% 2 3 2 2 2" xfId="2797"/>
    <cellStyle name="Accent1 - 40% 2 3 2 3" xfId="2798"/>
    <cellStyle name="Accent1 - 40% 2 3 3" xfId="2799"/>
    <cellStyle name="Accent1 - 40% 2 3 3 2" xfId="2800"/>
    <cellStyle name="Accent1 - 40% 2 3 4" xfId="2801"/>
    <cellStyle name="Accent1 - 40% 2 4" xfId="2802"/>
    <cellStyle name="Accent1 - 40% 2 4 2" xfId="2803"/>
    <cellStyle name="Accent1 - 40% 2 4 2 2" xfId="2804"/>
    <cellStyle name="Accent1 - 40% 2 4 2 2 2" xfId="2805"/>
    <cellStyle name="Accent1 - 40% 2 4 2 3" xfId="2806"/>
    <cellStyle name="Accent1 - 40% 2 4 3" xfId="2807"/>
    <cellStyle name="Accent1 - 40% 2 4 3 2" xfId="2808"/>
    <cellStyle name="Accent1 - 40% 2 4 4" xfId="2809"/>
    <cellStyle name="Accent1 - 40% 2 5" xfId="2810"/>
    <cellStyle name="Accent1 - 40% 2 5 2" xfId="2811"/>
    <cellStyle name="Accent1 - 40% 2 6" xfId="2812"/>
    <cellStyle name="Accent1 - 40% 2 6 2" xfId="2813"/>
    <cellStyle name="Accent1 - 40% 2 7" xfId="2814"/>
    <cellStyle name="Accent1 - 40% 3" xfId="2815"/>
    <cellStyle name="Accent1 - 40% 3 2" xfId="2816"/>
    <cellStyle name="Accent1 - 40% 3 2 2" xfId="2817"/>
    <cellStyle name="Accent1 - 40% 3 2 2 2" xfId="2818"/>
    <cellStyle name="Accent1 - 40% 3 2 3" xfId="2819"/>
    <cellStyle name="Accent1 - 40% 3 3" xfId="2820"/>
    <cellStyle name="Accent1 - 40% 3 3 2" xfId="2821"/>
    <cellStyle name="Accent1 - 40% 3 4" xfId="2822"/>
    <cellStyle name="Accent1 - 40% 4" xfId="2823"/>
    <cellStyle name="Accent1 - 40% 4 2" xfId="2824"/>
    <cellStyle name="Accent1 - 40% 4 2 2" xfId="2825"/>
    <cellStyle name="Accent1 - 40% 4 3" xfId="2826"/>
    <cellStyle name="Accent1 - 40% 5" xfId="2827"/>
    <cellStyle name="Accent1 - 40% 5 2" xfId="2828"/>
    <cellStyle name="Accent1 - 40% 5 2 2" xfId="2829"/>
    <cellStyle name="Accent1 - 40% 5 3" xfId="2830"/>
    <cellStyle name="Accent1 - 40% 6" xfId="2831"/>
    <cellStyle name="Accent1 - 40% 6 2" xfId="2832"/>
    <cellStyle name="Accent1 - 40% 7" xfId="2833"/>
    <cellStyle name="Accent1 - 40% 7 2" xfId="2834"/>
    <cellStyle name="Accent1 - 40% 8" xfId="2835"/>
    <cellStyle name="Accent1 - 40% 8 2" xfId="2836"/>
    <cellStyle name="Accent1 - 40% 9" xfId="2837"/>
    <cellStyle name="Accent1 - 40% 9 2" xfId="2838"/>
    <cellStyle name="Accent1 - 60%" xfId="3"/>
    <cellStyle name="Accent1 - 60% 10" xfId="2839"/>
    <cellStyle name="Accent1 - 60% 2" xfId="2840"/>
    <cellStyle name="Accent1 - 60% 2 2" xfId="2841"/>
    <cellStyle name="Accent1 - 60% 2 2 2" xfId="2842"/>
    <cellStyle name="Accent1 - 60% 2 3" xfId="2843"/>
    <cellStyle name="Accent1 - 60% 2 3 2" xfId="2844"/>
    <cellStyle name="Accent1 - 60% 2 3 2 2" xfId="2845"/>
    <cellStyle name="Accent1 - 60% 2 3 3" xfId="2846"/>
    <cellStyle name="Accent1 - 60% 2 4" xfId="2847"/>
    <cellStyle name="Accent1 - 60% 2 4 2" xfId="2848"/>
    <cellStyle name="Accent1 - 60% 2 4 2 2" xfId="2849"/>
    <cellStyle name="Accent1 - 60% 2 4 3" xfId="2850"/>
    <cellStyle name="Accent1 - 60% 2 5" xfId="2851"/>
    <cellStyle name="Accent1 - 60% 3" xfId="2852"/>
    <cellStyle name="Accent1 - 60% 3 2" xfId="2853"/>
    <cellStyle name="Accent1 - 60% 3 2 2" xfId="2854"/>
    <cellStyle name="Accent1 - 60% 3 3" xfId="2855"/>
    <cellStyle name="Accent1 - 60% 4" xfId="2856"/>
    <cellStyle name="Accent1 - 60% 4 2" xfId="2857"/>
    <cellStyle name="Accent1 - 60% 5" xfId="2858"/>
    <cellStyle name="Accent1 - 60% 5 2" xfId="2859"/>
    <cellStyle name="Accent1 - 60% 6" xfId="2860"/>
    <cellStyle name="Accent1 - 60% 6 2" xfId="2861"/>
    <cellStyle name="Accent1 - 60% 6 2 2" xfId="2862"/>
    <cellStyle name="Accent1 - 60% 6 3" xfId="2863"/>
    <cellStyle name="Accent1 - 60% 7" xfId="2864"/>
    <cellStyle name="Accent1 - 60% 7 2" xfId="2865"/>
    <cellStyle name="Accent1 - 60% 8" xfId="2866"/>
    <cellStyle name="Accent1 - 60% 8 2" xfId="2867"/>
    <cellStyle name="Accent1 - 60% 9" xfId="2868"/>
    <cellStyle name="Accent1 10" xfId="2869"/>
    <cellStyle name="Accent1 10 2" xfId="2870"/>
    <cellStyle name="Accent1 10 2 2" xfId="2871"/>
    <cellStyle name="Accent1 10 3" xfId="2872"/>
    <cellStyle name="Accent1 100" xfId="2873"/>
    <cellStyle name="Accent1 100 2" xfId="2874"/>
    <cellStyle name="Accent1 100 2 2" xfId="2875"/>
    <cellStyle name="Accent1 100 3" xfId="2876"/>
    <cellStyle name="Accent1 101" xfId="2877"/>
    <cellStyle name="Accent1 101 2" xfId="2878"/>
    <cellStyle name="Accent1 101 2 2" xfId="2879"/>
    <cellStyle name="Accent1 101 3" xfId="2880"/>
    <cellStyle name="Accent1 102" xfId="2881"/>
    <cellStyle name="Accent1 102 2" xfId="2882"/>
    <cellStyle name="Accent1 103" xfId="2883"/>
    <cellStyle name="Accent1 103 2" xfId="2884"/>
    <cellStyle name="Accent1 104" xfId="2885"/>
    <cellStyle name="Accent1 104 2" xfId="2886"/>
    <cellStyle name="Accent1 104 2 2" xfId="2887"/>
    <cellStyle name="Accent1 104 3" xfId="2888"/>
    <cellStyle name="Accent1 105" xfId="2889"/>
    <cellStyle name="Accent1 105 2" xfId="2890"/>
    <cellStyle name="Accent1 105 2 2" xfId="2891"/>
    <cellStyle name="Accent1 105 3" xfId="2892"/>
    <cellStyle name="Accent1 106" xfId="2893"/>
    <cellStyle name="Accent1 106 2" xfId="2894"/>
    <cellStyle name="Accent1 106 2 2" xfId="2895"/>
    <cellStyle name="Accent1 106 3" xfId="2896"/>
    <cellStyle name="Accent1 107" xfId="2897"/>
    <cellStyle name="Accent1 107 2" xfId="2898"/>
    <cellStyle name="Accent1 107 2 2" xfId="2899"/>
    <cellStyle name="Accent1 107 3" xfId="2900"/>
    <cellStyle name="Accent1 108" xfId="2901"/>
    <cellStyle name="Accent1 108 2" xfId="2902"/>
    <cellStyle name="Accent1 108 2 2" xfId="2903"/>
    <cellStyle name="Accent1 108 3" xfId="2904"/>
    <cellStyle name="Accent1 109" xfId="2905"/>
    <cellStyle name="Accent1 109 2" xfId="2906"/>
    <cellStyle name="Accent1 109 2 2" xfId="2907"/>
    <cellStyle name="Accent1 109 3" xfId="2908"/>
    <cellStyle name="Accent1 11" xfId="2909"/>
    <cellStyle name="Accent1 11 2" xfId="2910"/>
    <cellStyle name="Accent1 11 2 2" xfId="2911"/>
    <cellStyle name="Accent1 11 3" xfId="2912"/>
    <cellStyle name="Accent1 110" xfId="2913"/>
    <cellStyle name="Accent1 110 2" xfId="2914"/>
    <cellStyle name="Accent1 110 2 2" xfId="2915"/>
    <cellStyle name="Accent1 110 3" xfId="2916"/>
    <cellStyle name="Accent1 111" xfId="2917"/>
    <cellStyle name="Accent1 111 2" xfId="2918"/>
    <cellStyle name="Accent1 111 2 2" xfId="2919"/>
    <cellStyle name="Accent1 111 3" xfId="2920"/>
    <cellStyle name="Accent1 112" xfId="2921"/>
    <cellStyle name="Accent1 112 2" xfId="2922"/>
    <cellStyle name="Accent1 112 2 2" xfId="2923"/>
    <cellStyle name="Accent1 112 3" xfId="2924"/>
    <cellStyle name="Accent1 113" xfId="2925"/>
    <cellStyle name="Accent1 113 2" xfId="2926"/>
    <cellStyle name="Accent1 113 2 2" xfId="2927"/>
    <cellStyle name="Accent1 113 3" xfId="2928"/>
    <cellStyle name="Accent1 114" xfId="2929"/>
    <cellStyle name="Accent1 114 2" xfId="2930"/>
    <cellStyle name="Accent1 115" xfId="2931"/>
    <cellStyle name="Accent1 115 2" xfId="2932"/>
    <cellStyle name="Accent1 116" xfId="2933"/>
    <cellStyle name="Accent1 116 2" xfId="2934"/>
    <cellStyle name="Accent1 117" xfId="2935"/>
    <cellStyle name="Accent1 117 2" xfId="2936"/>
    <cellStyle name="Accent1 118" xfId="2937"/>
    <cellStyle name="Accent1 118 2" xfId="2938"/>
    <cellStyle name="Accent1 119" xfId="2939"/>
    <cellStyle name="Accent1 119 2" xfId="2940"/>
    <cellStyle name="Accent1 12" xfId="2941"/>
    <cellStyle name="Accent1 12 2" xfId="2942"/>
    <cellStyle name="Accent1 12 2 2" xfId="2943"/>
    <cellStyle name="Accent1 12 3" xfId="2944"/>
    <cellStyle name="Accent1 120" xfId="2945"/>
    <cellStyle name="Accent1 120 2" xfId="2946"/>
    <cellStyle name="Accent1 121" xfId="2947"/>
    <cellStyle name="Accent1 121 2" xfId="2948"/>
    <cellStyle name="Accent1 122" xfId="2949"/>
    <cellStyle name="Accent1 122 2" xfId="2950"/>
    <cellStyle name="Accent1 123" xfId="2951"/>
    <cellStyle name="Accent1 123 2" xfId="2952"/>
    <cellStyle name="Accent1 124" xfId="2953"/>
    <cellStyle name="Accent1 124 2" xfId="2954"/>
    <cellStyle name="Accent1 125" xfId="2955"/>
    <cellStyle name="Accent1 125 2" xfId="2956"/>
    <cellStyle name="Accent1 126" xfId="2957"/>
    <cellStyle name="Accent1 127" xfId="2958"/>
    <cellStyle name="Accent1 128" xfId="2959"/>
    <cellStyle name="Accent1 129" xfId="2960"/>
    <cellStyle name="Accent1 13" xfId="2961"/>
    <cellStyle name="Accent1 13 2" xfId="2962"/>
    <cellStyle name="Accent1 13 2 2" xfId="2963"/>
    <cellStyle name="Accent1 13 3" xfId="2964"/>
    <cellStyle name="Accent1 130" xfId="2965"/>
    <cellStyle name="Accent1 131" xfId="2966"/>
    <cellStyle name="Accent1 132" xfId="2967"/>
    <cellStyle name="Accent1 133" xfId="2968"/>
    <cellStyle name="Accent1 134" xfId="2969"/>
    <cellStyle name="Accent1 135" xfId="2970"/>
    <cellStyle name="Accent1 136" xfId="2971"/>
    <cellStyle name="Accent1 137" xfId="2972"/>
    <cellStyle name="Accent1 138" xfId="2973"/>
    <cellStyle name="Accent1 139" xfId="2974"/>
    <cellStyle name="Accent1 14" xfId="2975"/>
    <cellStyle name="Accent1 14 2" xfId="2976"/>
    <cellStyle name="Accent1 14 2 2" xfId="2977"/>
    <cellStyle name="Accent1 14 3" xfId="2978"/>
    <cellStyle name="Accent1 140" xfId="2979"/>
    <cellStyle name="Accent1 141" xfId="2980"/>
    <cellStyle name="Accent1 142" xfId="2981"/>
    <cellStyle name="Accent1 143" xfId="2982"/>
    <cellStyle name="Accent1 144" xfId="2983"/>
    <cellStyle name="Accent1 145" xfId="2984"/>
    <cellStyle name="Accent1 146" xfId="2985"/>
    <cellStyle name="Accent1 147" xfId="2986"/>
    <cellStyle name="Accent1 148" xfId="2987"/>
    <cellStyle name="Accent1 149" xfId="2988"/>
    <cellStyle name="Accent1 15" xfId="2989"/>
    <cellStyle name="Accent1 15 2" xfId="2990"/>
    <cellStyle name="Accent1 15 2 2" xfId="2991"/>
    <cellStyle name="Accent1 15 3" xfId="2992"/>
    <cellStyle name="Accent1 150" xfId="2993"/>
    <cellStyle name="Accent1 151" xfId="2994"/>
    <cellStyle name="Accent1 152" xfId="2995"/>
    <cellStyle name="Accent1 153" xfId="2996"/>
    <cellStyle name="Accent1 154" xfId="2997"/>
    <cellStyle name="Accent1 155" xfId="2998"/>
    <cellStyle name="Accent1 156" xfId="2999"/>
    <cellStyle name="Accent1 157" xfId="3000"/>
    <cellStyle name="Accent1 158" xfId="3001"/>
    <cellStyle name="Accent1 159" xfId="3002"/>
    <cellStyle name="Accent1 16" xfId="3003"/>
    <cellStyle name="Accent1 16 2" xfId="3004"/>
    <cellStyle name="Accent1 16 2 2" xfId="3005"/>
    <cellStyle name="Accent1 16 3" xfId="3006"/>
    <cellStyle name="Accent1 160" xfId="3007"/>
    <cellStyle name="Accent1 161" xfId="3008"/>
    <cellStyle name="Accent1 162" xfId="3009"/>
    <cellStyle name="Accent1 163" xfId="3010"/>
    <cellStyle name="Accent1 164" xfId="3011"/>
    <cellStyle name="Accent1 165" xfId="3012"/>
    <cellStyle name="Accent1 166" xfId="3013"/>
    <cellStyle name="Accent1 167" xfId="3014"/>
    <cellStyle name="Accent1 168" xfId="3015"/>
    <cellStyle name="Accent1 169" xfId="3016"/>
    <cellStyle name="Accent1 17" xfId="3017"/>
    <cellStyle name="Accent1 17 2" xfId="3018"/>
    <cellStyle name="Accent1 17 2 2" xfId="3019"/>
    <cellStyle name="Accent1 17 3" xfId="3020"/>
    <cellStyle name="Accent1 170" xfId="3021"/>
    <cellStyle name="Accent1 171" xfId="3022"/>
    <cellStyle name="Accent1 172" xfId="3023"/>
    <cellStyle name="Accent1 173" xfId="3024"/>
    <cellStyle name="Accent1 174" xfId="3025"/>
    <cellStyle name="Accent1 175" xfId="3026"/>
    <cellStyle name="Accent1 176" xfId="3027"/>
    <cellStyle name="Accent1 177" xfId="3028"/>
    <cellStyle name="Accent1 178" xfId="3029"/>
    <cellStyle name="Accent1 179" xfId="3030"/>
    <cellStyle name="Accent1 18" xfId="3031"/>
    <cellStyle name="Accent1 18 2" xfId="3032"/>
    <cellStyle name="Accent1 18 2 2" xfId="3033"/>
    <cellStyle name="Accent1 18 3" xfId="3034"/>
    <cellStyle name="Accent1 19" xfId="3035"/>
    <cellStyle name="Accent1 19 2" xfId="3036"/>
    <cellStyle name="Accent1 19 2 2" xfId="3037"/>
    <cellStyle name="Accent1 19 3" xfId="3038"/>
    <cellStyle name="Accent1 2" xfId="3039"/>
    <cellStyle name="Accent1 2 10" xfId="3040"/>
    <cellStyle name="Accent1 2 10 2" xfId="3041"/>
    <cellStyle name="Accent1 2 11" xfId="3042"/>
    <cellStyle name="Accent1 2 12" xfId="3043"/>
    <cellStyle name="Accent1 2 2" xfId="3044"/>
    <cellStyle name="Accent1 2 2 2" xfId="3045"/>
    <cellStyle name="Accent1 2 2 2 2" xfId="3046"/>
    <cellStyle name="Accent1 2 2 3" xfId="3047"/>
    <cellStyle name="Accent1 2 2 3 2" xfId="3048"/>
    <cellStyle name="Accent1 2 2 3 2 2" xfId="3049"/>
    <cellStyle name="Accent1 2 2 3 3" xfId="3050"/>
    <cellStyle name="Accent1 2 2 4" xfId="3051"/>
    <cellStyle name="Accent1 2 3" xfId="3052"/>
    <cellStyle name="Accent1 2 3 2" xfId="3053"/>
    <cellStyle name="Accent1 2 3 2 2" xfId="3054"/>
    <cellStyle name="Accent1 2 3 3" xfId="3055"/>
    <cellStyle name="Accent1 2 3 3 2" xfId="3056"/>
    <cellStyle name="Accent1 2 3 3 2 2" xfId="3057"/>
    <cellStyle name="Accent1 2 3 3 3" xfId="3058"/>
    <cellStyle name="Accent1 2 3 4" xfId="3059"/>
    <cellStyle name="Accent1 2 4" xfId="3060"/>
    <cellStyle name="Accent1 2 4 2" xfId="3061"/>
    <cellStyle name="Accent1 2 4 2 2" xfId="3062"/>
    <cellStyle name="Accent1 2 4 3" xfId="3063"/>
    <cellStyle name="Accent1 2 5" xfId="3064"/>
    <cellStyle name="Accent1 2 5 2" xfId="3065"/>
    <cellStyle name="Accent1 2 5 2 2" xfId="3066"/>
    <cellStyle name="Accent1 2 5 3" xfId="3067"/>
    <cellStyle name="Accent1 2 5 3 2" xfId="3068"/>
    <cellStyle name="Accent1 2 5 3 2 2" xfId="3069"/>
    <cellStyle name="Accent1 2 5 3 3" xfId="3070"/>
    <cellStyle name="Accent1 2 5 4" xfId="3071"/>
    <cellStyle name="Accent1 2 6" xfId="3072"/>
    <cellStyle name="Accent1 2 6 2" xfId="3073"/>
    <cellStyle name="Accent1 2 7" xfId="3074"/>
    <cellStyle name="Accent1 2 7 2" xfId="3075"/>
    <cellStyle name="Accent1 2 8" xfId="3076"/>
    <cellStyle name="Accent1 2 8 2" xfId="3077"/>
    <cellStyle name="Accent1 2 8 2 2" xfId="3078"/>
    <cellStyle name="Accent1 2 8 3" xfId="3079"/>
    <cellStyle name="Accent1 2 9" xfId="3080"/>
    <cellStyle name="Accent1 2 9 2" xfId="3081"/>
    <cellStyle name="Accent1 2 9 2 2" xfId="3082"/>
    <cellStyle name="Accent1 2 9 3" xfId="3083"/>
    <cellStyle name="Accent1 20" xfId="3084"/>
    <cellStyle name="Accent1 20 2" xfId="3085"/>
    <cellStyle name="Accent1 20 2 2" xfId="3086"/>
    <cellStyle name="Accent1 20 3" xfId="3087"/>
    <cellStyle name="Accent1 21" xfId="3088"/>
    <cellStyle name="Accent1 21 2" xfId="3089"/>
    <cellStyle name="Accent1 21 2 2" xfId="3090"/>
    <cellStyle name="Accent1 21 3" xfId="3091"/>
    <cellStyle name="Accent1 22" xfId="3092"/>
    <cellStyle name="Accent1 22 2" xfId="3093"/>
    <cellStyle name="Accent1 22 2 2" xfId="3094"/>
    <cellStyle name="Accent1 22 3" xfId="3095"/>
    <cellStyle name="Accent1 23" xfId="3096"/>
    <cellStyle name="Accent1 23 2" xfId="3097"/>
    <cellStyle name="Accent1 23 2 2" xfId="3098"/>
    <cellStyle name="Accent1 23 3" xfId="3099"/>
    <cellStyle name="Accent1 24" xfId="3100"/>
    <cellStyle name="Accent1 24 2" xfId="3101"/>
    <cellStyle name="Accent1 24 2 2" xfId="3102"/>
    <cellStyle name="Accent1 24 3" xfId="3103"/>
    <cellStyle name="Accent1 25" xfId="3104"/>
    <cellStyle name="Accent1 25 2" xfId="3105"/>
    <cellStyle name="Accent1 25 2 2" xfId="3106"/>
    <cellStyle name="Accent1 25 3" xfId="3107"/>
    <cellStyle name="Accent1 26" xfId="3108"/>
    <cellStyle name="Accent1 26 2" xfId="3109"/>
    <cellStyle name="Accent1 26 2 2" xfId="3110"/>
    <cellStyle name="Accent1 26 3" xfId="3111"/>
    <cellStyle name="Accent1 27" xfId="3112"/>
    <cellStyle name="Accent1 27 2" xfId="3113"/>
    <cellStyle name="Accent1 27 2 2" xfId="3114"/>
    <cellStyle name="Accent1 27 3" xfId="3115"/>
    <cellStyle name="Accent1 28" xfId="3116"/>
    <cellStyle name="Accent1 28 2" xfId="3117"/>
    <cellStyle name="Accent1 28 2 2" xfId="3118"/>
    <cellStyle name="Accent1 28 3" xfId="3119"/>
    <cellStyle name="Accent1 29" xfId="3120"/>
    <cellStyle name="Accent1 29 2" xfId="3121"/>
    <cellStyle name="Accent1 29 2 2" xfId="3122"/>
    <cellStyle name="Accent1 29 3" xfId="3123"/>
    <cellStyle name="Accent1 3" xfId="3124"/>
    <cellStyle name="Accent1 3 10" xfId="3125"/>
    <cellStyle name="Accent1 3 10 2" xfId="3126"/>
    <cellStyle name="Accent1 3 11" xfId="3127"/>
    <cellStyle name="Accent1 3 2" xfId="3128"/>
    <cellStyle name="Accent1 3 2 2" xfId="3129"/>
    <cellStyle name="Accent1 3 2 2 2" xfId="3130"/>
    <cellStyle name="Accent1 3 2 3" xfId="3131"/>
    <cellStyle name="Accent1 3 2 3 2" xfId="3132"/>
    <cellStyle name="Accent1 3 2 3 2 2" xfId="3133"/>
    <cellStyle name="Accent1 3 2 3 3" xfId="3134"/>
    <cellStyle name="Accent1 3 2 4" xfId="3135"/>
    <cellStyle name="Accent1 3 3" xfId="3136"/>
    <cellStyle name="Accent1 3 3 2" xfId="3137"/>
    <cellStyle name="Accent1 3 3 2 2" xfId="3138"/>
    <cellStyle name="Accent1 3 3 3" xfId="3139"/>
    <cellStyle name="Accent1 3 3 3 2" xfId="3140"/>
    <cellStyle name="Accent1 3 3 3 2 2" xfId="3141"/>
    <cellStyle name="Accent1 3 3 3 3" xfId="3142"/>
    <cellStyle name="Accent1 3 3 4" xfId="3143"/>
    <cellStyle name="Accent1 3 4" xfId="3144"/>
    <cellStyle name="Accent1 3 4 2" xfId="3145"/>
    <cellStyle name="Accent1 3 4 2 2" xfId="3146"/>
    <cellStyle name="Accent1 3 4 3" xfId="3147"/>
    <cellStyle name="Accent1 3 5" xfId="3148"/>
    <cellStyle name="Accent1 3 5 2" xfId="3149"/>
    <cellStyle name="Accent1 3 5 2 2" xfId="3150"/>
    <cellStyle name="Accent1 3 5 3" xfId="3151"/>
    <cellStyle name="Accent1 3 5 3 2" xfId="3152"/>
    <cellStyle name="Accent1 3 5 3 2 2" xfId="3153"/>
    <cellStyle name="Accent1 3 5 3 3" xfId="3154"/>
    <cellStyle name="Accent1 3 5 4" xfId="3155"/>
    <cellStyle name="Accent1 3 6" xfId="3156"/>
    <cellStyle name="Accent1 3 6 2" xfId="3157"/>
    <cellStyle name="Accent1 3 7" xfId="3158"/>
    <cellStyle name="Accent1 3 7 2" xfId="3159"/>
    <cellStyle name="Accent1 3 8" xfId="3160"/>
    <cellStyle name="Accent1 3 8 2" xfId="3161"/>
    <cellStyle name="Accent1 3 8 2 2" xfId="3162"/>
    <cellStyle name="Accent1 3 8 3" xfId="3163"/>
    <cellStyle name="Accent1 3 9" xfId="3164"/>
    <cellStyle name="Accent1 3 9 2" xfId="3165"/>
    <cellStyle name="Accent1 3 9 2 2" xfId="3166"/>
    <cellStyle name="Accent1 3 9 3" xfId="3167"/>
    <cellStyle name="Accent1 30" xfId="3168"/>
    <cellStyle name="Accent1 30 2" xfId="3169"/>
    <cellStyle name="Accent1 30 2 2" xfId="3170"/>
    <cellStyle name="Accent1 30 3" xfId="3171"/>
    <cellStyle name="Accent1 31" xfId="3172"/>
    <cellStyle name="Accent1 31 2" xfId="3173"/>
    <cellStyle name="Accent1 31 2 2" xfId="3174"/>
    <cellStyle name="Accent1 31 3" xfId="3175"/>
    <cellStyle name="Accent1 32" xfId="3176"/>
    <cellStyle name="Accent1 32 2" xfId="3177"/>
    <cellStyle name="Accent1 32 2 2" xfId="3178"/>
    <cellStyle name="Accent1 32 3" xfId="3179"/>
    <cellStyle name="Accent1 33" xfId="3180"/>
    <cellStyle name="Accent1 33 2" xfId="3181"/>
    <cellStyle name="Accent1 33 2 2" xfId="3182"/>
    <cellStyle name="Accent1 33 3" xfId="3183"/>
    <cellStyle name="Accent1 34" xfId="3184"/>
    <cellStyle name="Accent1 34 2" xfId="3185"/>
    <cellStyle name="Accent1 34 2 2" xfId="3186"/>
    <cellStyle name="Accent1 34 3" xfId="3187"/>
    <cellStyle name="Accent1 35" xfId="3188"/>
    <cellStyle name="Accent1 35 2" xfId="3189"/>
    <cellStyle name="Accent1 35 2 2" xfId="3190"/>
    <cellStyle name="Accent1 35 3" xfId="3191"/>
    <cellStyle name="Accent1 36" xfId="3192"/>
    <cellStyle name="Accent1 36 2" xfId="3193"/>
    <cellStyle name="Accent1 36 2 2" xfId="3194"/>
    <cellStyle name="Accent1 36 3" xfId="3195"/>
    <cellStyle name="Accent1 37" xfId="3196"/>
    <cellStyle name="Accent1 37 2" xfId="3197"/>
    <cellStyle name="Accent1 37 2 2" xfId="3198"/>
    <cellStyle name="Accent1 37 3" xfId="3199"/>
    <cellStyle name="Accent1 38" xfId="3200"/>
    <cellStyle name="Accent1 38 2" xfId="3201"/>
    <cellStyle name="Accent1 38 2 2" xfId="3202"/>
    <cellStyle name="Accent1 38 3" xfId="3203"/>
    <cellStyle name="Accent1 39" xfId="3204"/>
    <cellStyle name="Accent1 39 2" xfId="3205"/>
    <cellStyle name="Accent1 39 2 2" xfId="3206"/>
    <cellStyle name="Accent1 39 3" xfId="3207"/>
    <cellStyle name="Accent1 4" xfId="3208"/>
    <cellStyle name="Accent1 4 2" xfId="3209"/>
    <cellStyle name="Accent1 4 2 2" xfId="3210"/>
    <cellStyle name="Accent1 4 2 2 2" xfId="3211"/>
    <cellStyle name="Accent1 4 2 3" xfId="3212"/>
    <cellStyle name="Accent1 4 2 3 2" xfId="3213"/>
    <cellStyle name="Accent1 4 2 3 2 2" xfId="3214"/>
    <cellStyle name="Accent1 4 2 3 3" xfId="3215"/>
    <cellStyle name="Accent1 4 2 4" xfId="3216"/>
    <cellStyle name="Accent1 4 3" xfId="3217"/>
    <cellStyle name="Accent1 4 3 2" xfId="3218"/>
    <cellStyle name="Accent1 4 3 2 2" xfId="3219"/>
    <cellStyle name="Accent1 4 3 3" xfId="3220"/>
    <cellStyle name="Accent1 4 3 3 2" xfId="3221"/>
    <cellStyle name="Accent1 4 3 3 2 2" xfId="3222"/>
    <cellStyle name="Accent1 4 3 3 3" xfId="3223"/>
    <cellStyle name="Accent1 4 3 4" xfId="3224"/>
    <cellStyle name="Accent1 4 4" xfId="3225"/>
    <cellStyle name="Accent1 4 4 2" xfId="3226"/>
    <cellStyle name="Accent1 4 4 2 2" xfId="3227"/>
    <cellStyle name="Accent1 4 4 3" xfId="3228"/>
    <cellStyle name="Accent1 4 5" xfId="3229"/>
    <cellStyle name="Accent1 4 5 2" xfId="3230"/>
    <cellStyle name="Accent1 4 6" xfId="3231"/>
    <cellStyle name="Accent1 4 6 2" xfId="3232"/>
    <cellStyle name="Accent1 4 7" xfId="3233"/>
    <cellStyle name="Accent1 40" xfId="3234"/>
    <cellStyle name="Accent1 40 2" xfId="3235"/>
    <cellStyle name="Accent1 40 2 2" xfId="3236"/>
    <cellStyle name="Accent1 40 3" xfId="3237"/>
    <cellStyle name="Accent1 41" xfId="3238"/>
    <cellStyle name="Accent1 41 2" xfId="3239"/>
    <cellStyle name="Accent1 41 2 2" xfId="3240"/>
    <cellStyle name="Accent1 41 3" xfId="3241"/>
    <cellStyle name="Accent1 42" xfId="3242"/>
    <cellStyle name="Accent1 42 2" xfId="3243"/>
    <cellStyle name="Accent1 42 2 2" xfId="3244"/>
    <cellStyle name="Accent1 42 3" xfId="3245"/>
    <cellStyle name="Accent1 43" xfId="3246"/>
    <cellStyle name="Accent1 43 2" xfId="3247"/>
    <cellStyle name="Accent1 43 2 2" xfId="3248"/>
    <cellStyle name="Accent1 43 3" xfId="3249"/>
    <cellStyle name="Accent1 44" xfId="3250"/>
    <cellStyle name="Accent1 44 2" xfId="3251"/>
    <cellStyle name="Accent1 44 2 2" xfId="3252"/>
    <cellStyle name="Accent1 44 3" xfId="3253"/>
    <cellStyle name="Accent1 45" xfId="3254"/>
    <cellStyle name="Accent1 45 2" xfId="3255"/>
    <cellStyle name="Accent1 45 2 2" xfId="3256"/>
    <cellStyle name="Accent1 45 3" xfId="3257"/>
    <cellStyle name="Accent1 46" xfId="3258"/>
    <cellStyle name="Accent1 46 2" xfId="3259"/>
    <cellStyle name="Accent1 46 2 2" xfId="3260"/>
    <cellStyle name="Accent1 46 3" xfId="3261"/>
    <cellStyle name="Accent1 47" xfId="3262"/>
    <cellStyle name="Accent1 47 2" xfId="3263"/>
    <cellStyle name="Accent1 47 2 2" xfId="3264"/>
    <cellStyle name="Accent1 47 3" xfId="3265"/>
    <cellStyle name="Accent1 48" xfId="3266"/>
    <cellStyle name="Accent1 48 2" xfId="3267"/>
    <cellStyle name="Accent1 48 2 2" xfId="3268"/>
    <cellStyle name="Accent1 48 3" xfId="3269"/>
    <cellStyle name="Accent1 48 3 2" xfId="3270"/>
    <cellStyle name="Accent1 48 3 2 2" xfId="3271"/>
    <cellStyle name="Accent1 48 3 3" xfId="3272"/>
    <cellStyle name="Accent1 48 4" xfId="3273"/>
    <cellStyle name="Accent1 49" xfId="3274"/>
    <cellStyle name="Accent1 49 2" xfId="3275"/>
    <cellStyle name="Accent1 49 2 2" xfId="3276"/>
    <cellStyle name="Accent1 49 3" xfId="3277"/>
    <cellStyle name="Accent1 49 3 2" xfId="3278"/>
    <cellStyle name="Accent1 49 3 2 2" xfId="3279"/>
    <cellStyle name="Accent1 49 3 3" xfId="3280"/>
    <cellStyle name="Accent1 49 4" xfId="3281"/>
    <cellStyle name="Accent1 5" xfId="3282"/>
    <cellStyle name="Accent1 5 2" xfId="3283"/>
    <cellStyle name="Accent1 5 2 2" xfId="3284"/>
    <cellStyle name="Accent1 5 2 2 2" xfId="3285"/>
    <cellStyle name="Accent1 5 2 3" xfId="3286"/>
    <cellStyle name="Accent1 5 2 3 2" xfId="3287"/>
    <cellStyle name="Accent1 5 2 3 2 2" xfId="3288"/>
    <cellStyle name="Accent1 5 2 3 3" xfId="3289"/>
    <cellStyle name="Accent1 5 2 4" xfId="3290"/>
    <cellStyle name="Accent1 5 3" xfId="3291"/>
    <cellStyle name="Accent1 5 3 2" xfId="3292"/>
    <cellStyle name="Accent1 5 3 2 2" xfId="3293"/>
    <cellStyle name="Accent1 5 3 3" xfId="3294"/>
    <cellStyle name="Accent1 5 3 3 2" xfId="3295"/>
    <cellStyle name="Accent1 5 3 3 2 2" xfId="3296"/>
    <cellStyle name="Accent1 5 3 3 3" xfId="3297"/>
    <cellStyle name="Accent1 5 3 4" xfId="3298"/>
    <cellStyle name="Accent1 5 4" xfId="3299"/>
    <cellStyle name="Accent1 5 4 2" xfId="3300"/>
    <cellStyle name="Accent1 5 5" xfId="3301"/>
    <cellStyle name="Accent1 5 5 2" xfId="3302"/>
    <cellStyle name="Accent1 5 6" xfId="3303"/>
    <cellStyle name="Accent1 50" xfId="3304"/>
    <cellStyle name="Accent1 50 2" xfId="3305"/>
    <cellStyle name="Accent1 50 2 2" xfId="3306"/>
    <cellStyle name="Accent1 50 3" xfId="3307"/>
    <cellStyle name="Accent1 50 3 2" xfId="3308"/>
    <cellStyle name="Accent1 50 3 2 2" xfId="3309"/>
    <cellStyle name="Accent1 50 3 3" xfId="3310"/>
    <cellStyle name="Accent1 50 4" xfId="3311"/>
    <cellStyle name="Accent1 51" xfId="3312"/>
    <cellStyle name="Accent1 51 2" xfId="3313"/>
    <cellStyle name="Accent1 51 2 2" xfId="3314"/>
    <cellStyle name="Accent1 51 3" xfId="3315"/>
    <cellStyle name="Accent1 51 3 2" xfId="3316"/>
    <cellStyle name="Accent1 51 3 2 2" xfId="3317"/>
    <cellStyle name="Accent1 51 3 3" xfId="3318"/>
    <cellStyle name="Accent1 51 4" xfId="3319"/>
    <cellStyle name="Accent1 52" xfId="3320"/>
    <cellStyle name="Accent1 52 2" xfId="3321"/>
    <cellStyle name="Accent1 52 2 2" xfId="3322"/>
    <cellStyle name="Accent1 52 3" xfId="3323"/>
    <cellStyle name="Accent1 53" xfId="3324"/>
    <cellStyle name="Accent1 53 2" xfId="3325"/>
    <cellStyle name="Accent1 53 2 2" xfId="3326"/>
    <cellStyle name="Accent1 53 3" xfId="3327"/>
    <cellStyle name="Accent1 54" xfId="3328"/>
    <cellStyle name="Accent1 54 2" xfId="3329"/>
    <cellStyle name="Accent1 54 2 2" xfId="3330"/>
    <cellStyle name="Accent1 54 3" xfId="3331"/>
    <cellStyle name="Accent1 55" xfId="3332"/>
    <cellStyle name="Accent1 55 2" xfId="3333"/>
    <cellStyle name="Accent1 55 2 2" xfId="3334"/>
    <cellStyle name="Accent1 55 3" xfId="3335"/>
    <cellStyle name="Accent1 56" xfId="3336"/>
    <cellStyle name="Accent1 56 2" xfId="3337"/>
    <cellStyle name="Accent1 56 2 2" xfId="3338"/>
    <cellStyle name="Accent1 56 3" xfId="3339"/>
    <cellStyle name="Accent1 57" xfId="3340"/>
    <cellStyle name="Accent1 57 2" xfId="3341"/>
    <cellStyle name="Accent1 57 2 2" xfId="3342"/>
    <cellStyle name="Accent1 57 3" xfId="3343"/>
    <cellStyle name="Accent1 58" xfId="3344"/>
    <cellStyle name="Accent1 58 2" xfId="3345"/>
    <cellStyle name="Accent1 58 2 2" xfId="3346"/>
    <cellStyle name="Accent1 58 3" xfId="3347"/>
    <cellStyle name="Accent1 58 3 2" xfId="3348"/>
    <cellStyle name="Accent1 58 3 2 2" xfId="3349"/>
    <cellStyle name="Accent1 58 3 3" xfId="3350"/>
    <cellStyle name="Accent1 58 4" xfId="3351"/>
    <cellStyle name="Accent1 59" xfId="3352"/>
    <cellStyle name="Accent1 59 2" xfId="3353"/>
    <cellStyle name="Accent1 59 2 2" xfId="3354"/>
    <cellStyle name="Accent1 59 3" xfId="3355"/>
    <cellStyle name="Accent1 59 3 2" xfId="3356"/>
    <cellStyle name="Accent1 59 3 2 2" xfId="3357"/>
    <cellStyle name="Accent1 59 3 3" xfId="3358"/>
    <cellStyle name="Accent1 59 4" xfId="3359"/>
    <cellStyle name="Accent1 6" xfId="3360"/>
    <cellStyle name="Accent1 6 2" xfId="3361"/>
    <cellStyle name="Accent1 6 2 2" xfId="3362"/>
    <cellStyle name="Accent1 6 2 2 2" xfId="3363"/>
    <cellStyle name="Accent1 6 2 3" xfId="3364"/>
    <cellStyle name="Accent1 6 2 3 2" xfId="3365"/>
    <cellStyle name="Accent1 6 2 3 2 2" xfId="3366"/>
    <cellStyle name="Accent1 6 2 3 3" xfId="3367"/>
    <cellStyle name="Accent1 6 2 4" xfId="3368"/>
    <cellStyle name="Accent1 6 3" xfId="3369"/>
    <cellStyle name="Accent1 6 3 2" xfId="3370"/>
    <cellStyle name="Accent1 6 4" xfId="3371"/>
    <cellStyle name="Accent1 60" xfId="3372"/>
    <cellStyle name="Accent1 60 2" xfId="3373"/>
    <cellStyle name="Accent1 60 2 2" xfId="3374"/>
    <cellStyle name="Accent1 60 3" xfId="3375"/>
    <cellStyle name="Accent1 60 3 2" xfId="3376"/>
    <cellStyle name="Accent1 60 3 2 2" xfId="3377"/>
    <cellStyle name="Accent1 60 3 3" xfId="3378"/>
    <cellStyle name="Accent1 60 4" xfId="3379"/>
    <cellStyle name="Accent1 61" xfId="3380"/>
    <cellStyle name="Accent1 61 2" xfId="3381"/>
    <cellStyle name="Accent1 61 2 2" xfId="3382"/>
    <cellStyle name="Accent1 61 3" xfId="3383"/>
    <cellStyle name="Accent1 61 3 2" xfId="3384"/>
    <cellStyle name="Accent1 61 3 2 2" xfId="3385"/>
    <cellStyle name="Accent1 61 3 3" xfId="3386"/>
    <cellStyle name="Accent1 61 4" xfId="3387"/>
    <cellStyle name="Accent1 62" xfId="3388"/>
    <cellStyle name="Accent1 62 2" xfId="3389"/>
    <cellStyle name="Accent1 62 2 2" xfId="3390"/>
    <cellStyle name="Accent1 62 3" xfId="3391"/>
    <cellStyle name="Accent1 62 3 2" xfId="3392"/>
    <cellStyle name="Accent1 62 3 2 2" xfId="3393"/>
    <cellStyle name="Accent1 62 3 3" xfId="3394"/>
    <cellStyle name="Accent1 62 4" xfId="3395"/>
    <cellStyle name="Accent1 63" xfId="3396"/>
    <cellStyle name="Accent1 63 2" xfId="3397"/>
    <cellStyle name="Accent1 63 2 2" xfId="3398"/>
    <cellStyle name="Accent1 63 3" xfId="3399"/>
    <cellStyle name="Accent1 63 3 2" xfId="3400"/>
    <cellStyle name="Accent1 63 3 2 2" xfId="3401"/>
    <cellStyle name="Accent1 63 3 3" xfId="3402"/>
    <cellStyle name="Accent1 63 4" xfId="3403"/>
    <cellStyle name="Accent1 64" xfId="3404"/>
    <cellStyle name="Accent1 64 2" xfId="3405"/>
    <cellStyle name="Accent1 64 2 2" xfId="3406"/>
    <cellStyle name="Accent1 64 3" xfId="3407"/>
    <cellStyle name="Accent1 64 3 2" xfId="3408"/>
    <cellStyle name="Accent1 64 3 2 2" xfId="3409"/>
    <cellStyle name="Accent1 64 3 3" xfId="3410"/>
    <cellStyle name="Accent1 64 4" xfId="3411"/>
    <cellStyle name="Accent1 65" xfId="3412"/>
    <cellStyle name="Accent1 65 2" xfId="3413"/>
    <cellStyle name="Accent1 65 2 2" xfId="3414"/>
    <cellStyle name="Accent1 65 3" xfId="3415"/>
    <cellStyle name="Accent1 65 3 2" xfId="3416"/>
    <cellStyle name="Accent1 65 3 2 2" xfId="3417"/>
    <cellStyle name="Accent1 65 3 3" xfId="3418"/>
    <cellStyle name="Accent1 65 4" xfId="3419"/>
    <cellStyle name="Accent1 66" xfId="3420"/>
    <cellStyle name="Accent1 66 2" xfId="3421"/>
    <cellStyle name="Accent1 66 2 2" xfId="3422"/>
    <cellStyle name="Accent1 66 3" xfId="3423"/>
    <cellStyle name="Accent1 66 3 2" xfId="3424"/>
    <cellStyle name="Accent1 66 3 2 2" xfId="3425"/>
    <cellStyle name="Accent1 66 3 3" xfId="3426"/>
    <cellStyle name="Accent1 66 4" xfId="3427"/>
    <cellStyle name="Accent1 67" xfId="3428"/>
    <cellStyle name="Accent1 67 2" xfId="3429"/>
    <cellStyle name="Accent1 67 2 2" xfId="3430"/>
    <cellStyle name="Accent1 67 3" xfId="3431"/>
    <cellStyle name="Accent1 67 3 2" xfId="3432"/>
    <cellStyle name="Accent1 67 3 2 2" xfId="3433"/>
    <cellStyle name="Accent1 67 3 3" xfId="3434"/>
    <cellStyle name="Accent1 67 4" xfId="3435"/>
    <cellStyle name="Accent1 68" xfId="3436"/>
    <cellStyle name="Accent1 68 2" xfId="3437"/>
    <cellStyle name="Accent1 68 2 2" xfId="3438"/>
    <cellStyle name="Accent1 68 3" xfId="3439"/>
    <cellStyle name="Accent1 68 3 2" xfId="3440"/>
    <cellStyle name="Accent1 68 3 2 2" xfId="3441"/>
    <cellStyle name="Accent1 68 3 3" xfId="3442"/>
    <cellStyle name="Accent1 68 4" xfId="3443"/>
    <cellStyle name="Accent1 69" xfId="3444"/>
    <cellStyle name="Accent1 69 2" xfId="3445"/>
    <cellStyle name="Accent1 69 2 2" xfId="3446"/>
    <cellStyle name="Accent1 69 3" xfId="3447"/>
    <cellStyle name="Accent1 69 3 2" xfId="3448"/>
    <cellStyle name="Accent1 69 3 2 2" xfId="3449"/>
    <cellStyle name="Accent1 69 3 3" xfId="3450"/>
    <cellStyle name="Accent1 69 4" xfId="3451"/>
    <cellStyle name="Accent1 7" xfId="3452"/>
    <cellStyle name="Accent1 7 2" xfId="3453"/>
    <cellStyle name="Accent1 7 2 2" xfId="3454"/>
    <cellStyle name="Accent1 7 2 2 2" xfId="3455"/>
    <cellStyle name="Accent1 7 2 3" xfId="3456"/>
    <cellStyle name="Accent1 7 2 3 2" xfId="3457"/>
    <cellStyle name="Accent1 7 2 3 2 2" xfId="3458"/>
    <cellStyle name="Accent1 7 2 3 3" xfId="3459"/>
    <cellStyle name="Accent1 7 2 4" xfId="3460"/>
    <cellStyle name="Accent1 7 3" xfId="3461"/>
    <cellStyle name="Accent1 7 3 2" xfId="3462"/>
    <cellStyle name="Accent1 7 4" xfId="3463"/>
    <cellStyle name="Accent1 70" xfId="3464"/>
    <cellStyle name="Accent1 70 2" xfId="3465"/>
    <cellStyle name="Accent1 70 2 2" xfId="3466"/>
    <cellStyle name="Accent1 70 3" xfId="3467"/>
    <cellStyle name="Accent1 70 3 2" xfId="3468"/>
    <cellStyle name="Accent1 70 3 2 2" xfId="3469"/>
    <cellStyle name="Accent1 70 3 3" xfId="3470"/>
    <cellStyle name="Accent1 70 4" xfId="3471"/>
    <cellStyle name="Accent1 71" xfId="3472"/>
    <cellStyle name="Accent1 71 2" xfId="3473"/>
    <cellStyle name="Accent1 71 2 2" xfId="3474"/>
    <cellStyle name="Accent1 71 3" xfId="3475"/>
    <cellStyle name="Accent1 71 3 2" xfId="3476"/>
    <cellStyle name="Accent1 71 3 2 2" xfId="3477"/>
    <cellStyle name="Accent1 71 3 3" xfId="3478"/>
    <cellStyle name="Accent1 71 4" xfId="3479"/>
    <cellStyle name="Accent1 72" xfId="3480"/>
    <cellStyle name="Accent1 72 2" xfId="3481"/>
    <cellStyle name="Accent1 72 2 2" xfId="3482"/>
    <cellStyle name="Accent1 72 3" xfId="3483"/>
    <cellStyle name="Accent1 72 3 2" xfId="3484"/>
    <cellStyle name="Accent1 72 3 2 2" xfId="3485"/>
    <cellStyle name="Accent1 72 3 3" xfId="3486"/>
    <cellStyle name="Accent1 72 4" xfId="3487"/>
    <cellStyle name="Accent1 73" xfId="3488"/>
    <cellStyle name="Accent1 73 2" xfId="3489"/>
    <cellStyle name="Accent1 73 2 2" xfId="3490"/>
    <cellStyle name="Accent1 73 3" xfId="3491"/>
    <cellStyle name="Accent1 73 3 2" xfId="3492"/>
    <cellStyle name="Accent1 73 3 2 2" xfId="3493"/>
    <cellStyle name="Accent1 73 3 3" xfId="3494"/>
    <cellStyle name="Accent1 73 4" xfId="3495"/>
    <cellStyle name="Accent1 74" xfId="3496"/>
    <cellStyle name="Accent1 74 2" xfId="3497"/>
    <cellStyle name="Accent1 74 2 2" xfId="3498"/>
    <cellStyle name="Accent1 74 3" xfId="3499"/>
    <cellStyle name="Accent1 74 3 2" xfId="3500"/>
    <cellStyle name="Accent1 74 3 2 2" xfId="3501"/>
    <cellStyle name="Accent1 74 3 3" xfId="3502"/>
    <cellStyle name="Accent1 74 4" xfId="3503"/>
    <cellStyle name="Accent1 75" xfId="3504"/>
    <cellStyle name="Accent1 75 2" xfId="3505"/>
    <cellStyle name="Accent1 75 2 2" xfId="3506"/>
    <cellStyle name="Accent1 75 3" xfId="3507"/>
    <cellStyle name="Accent1 75 3 2" xfId="3508"/>
    <cellStyle name="Accent1 75 3 2 2" xfId="3509"/>
    <cellStyle name="Accent1 75 3 3" xfId="3510"/>
    <cellStyle name="Accent1 75 4" xfId="3511"/>
    <cellStyle name="Accent1 76" xfId="3512"/>
    <cellStyle name="Accent1 76 2" xfId="3513"/>
    <cellStyle name="Accent1 76 2 2" xfId="3514"/>
    <cellStyle name="Accent1 76 3" xfId="3515"/>
    <cellStyle name="Accent1 76 3 2" xfId="3516"/>
    <cellStyle name="Accent1 76 3 2 2" xfId="3517"/>
    <cellStyle name="Accent1 76 3 3" xfId="3518"/>
    <cellStyle name="Accent1 76 4" xfId="3519"/>
    <cellStyle name="Accent1 77" xfId="3520"/>
    <cellStyle name="Accent1 77 2" xfId="3521"/>
    <cellStyle name="Accent1 77 2 2" xfId="3522"/>
    <cellStyle name="Accent1 77 3" xfId="3523"/>
    <cellStyle name="Accent1 77 3 2" xfId="3524"/>
    <cellStyle name="Accent1 77 3 2 2" xfId="3525"/>
    <cellStyle name="Accent1 77 3 3" xfId="3526"/>
    <cellStyle name="Accent1 77 4" xfId="3527"/>
    <cellStyle name="Accent1 78" xfId="3528"/>
    <cellStyle name="Accent1 78 2" xfId="3529"/>
    <cellStyle name="Accent1 78 2 2" xfId="3530"/>
    <cellStyle name="Accent1 78 3" xfId="3531"/>
    <cellStyle name="Accent1 78 3 2" xfId="3532"/>
    <cellStyle name="Accent1 78 3 2 2" xfId="3533"/>
    <cellStyle name="Accent1 78 3 3" xfId="3534"/>
    <cellStyle name="Accent1 78 4" xfId="3535"/>
    <cellStyle name="Accent1 79" xfId="3536"/>
    <cellStyle name="Accent1 79 2" xfId="3537"/>
    <cellStyle name="Accent1 79 2 2" xfId="3538"/>
    <cellStyle name="Accent1 79 3" xfId="3539"/>
    <cellStyle name="Accent1 79 3 2" xfId="3540"/>
    <cellStyle name="Accent1 79 3 2 2" xfId="3541"/>
    <cellStyle name="Accent1 79 3 3" xfId="3542"/>
    <cellStyle name="Accent1 79 4" xfId="3543"/>
    <cellStyle name="Accent1 8" xfId="3544"/>
    <cellStyle name="Accent1 8 2" xfId="3545"/>
    <cellStyle name="Accent1 8 2 2" xfId="3546"/>
    <cellStyle name="Accent1 8 3" xfId="3547"/>
    <cellStyle name="Accent1 80" xfId="3548"/>
    <cellStyle name="Accent1 80 2" xfId="3549"/>
    <cellStyle name="Accent1 80 2 2" xfId="3550"/>
    <cellStyle name="Accent1 80 3" xfId="3551"/>
    <cellStyle name="Accent1 80 3 2" xfId="3552"/>
    <cellStyle name="Accent1 80 3 2 2" xfId="3553"/>
    <cellStyle name="Accent1 80 3 3" xfId="3554"/>
    <cellStyle name="Accent1 80 4" xfId="3555"/>
    <cellStyle name="Accent1 81" xfId="3556"/>
    <cellStyle name="Accent1 81 2" xfId="3557"/>
    <cellStyle name="Accent1 81 2 2" xfId="3558"/>
    <cellStyle name="Accent1 81 3" xfId="3559"/>
    <cellStyle name="Accent1 81 3 2" xfId="3560"/>
    <cellStyle name="Accent1 81 3 2 2" xfId="3561"/>
    <cellStyle name="Accent1 81 3 3" xfId="3562"/>
    <cellStyle name="Accent1 81 4" xfId="3563"/>
    <cellStyle name="Accent1 82" xfId="3564"/>
    <cellStyle name="Accent1 82 2" xfId="3565"/>
    <cellStyle name="Accent1 82 2 2" xfId="3566"/>
    <cellStyle name="Accent1 82 3" xfId="3567"/>
    <cellStyle name="Accent1 82 3 2" xfId="3568"/>
    <cellStyle name="Accent1 82 3 2 2" xfId="3569"/>
    <cellStyle name="Accent1 82 3 3" xfId="3570"/>
    <cellStyle name="Accent1 82 4" xfId="3571"/>
    <cellStyle name="Accent1 83" xfId="3572"/>
    <cellStyle name="Accent1 83 2" xfId="3573"/>
    <cellStyle name="Accent1 83 2 2" xfId="3574"/>
    <cellStyle name="Accent1 83 3" xfId="3575"/>
    <cellStyle name="Accent1 83 3 2" xfId="3576"/>
    <cellStyle name="Accent1 83 3 2 2" xfId="3577"/>
    <cellStyle name="Accent1 83 3 3" xfId="3578"/>
    <cellStyle name="Accent1 83 4" xfId="3579"/>
    <cellStyle name="Accent1 84" xfId="3580"/>
    <cellStyle name="Accent1 84 2" xfId="3581"/>
    <cellStyle name="Accent1 84 2 2" xfId="3582"/>
    <cellStyle name="Accent1 84 3" xfId="3583"/>
    <cellStyle name="Accent1 85" xfId="3584"/>
    <cellStyle name="Accent1 85 2" xfId="3585"/>
    <cellStyle name="Accent1 85 2 2" xfId="3586"/>
    <cellStyle name="Accent1 85 3" xfId="3587"/>
    <cellStyle name="Accent1 86" xfId="3588"/>
    <cellStyle name="Accent1 86 2" xfId="3589"/>
    <cellStyle name="Accent1 86 2 2" xfId="3590"/>
    <cellStyle name="Accent1 86 3" xfId="3591"/>
    <cellStyle name="Accent1 87" xfId="3592"/>
    <cellStyle name="Accent1 87 2" xfId="3593"/>
    <cellStyle name="Accent1 87 2 2" xfId="3594"/>
    <cellStyle name="Accent1 87 3" xfId="3595"/>
    <cellStyle name="Accent1 88" xfId="3596"/>
    <cellStyle name="Accent1 88 2" xfId="3597"/>
    <cellStyle name="Accent1 88 2 2" xfId="3598"/>
    <cellStyle name="Accent1 88 3" xfId="3599"/>
    <cellStyle name="Accent1 89" xfId="3600"/>
    <cellStyle name="Accent1 89 2" xfId="3601"/>
    <cellStyle name="Accent1 89 2 2" xfId="3602"/>
    <cellStyle name="Accent1 89 3" xfId="3603"/>
    <cellStyle name="Accent1 9" xfId="3604"/>
    <cellStyle name="Accent1 9 2" xfId="3605"/>
    <cellStyle name="Accent1 9 2 2" xfId="3606"/>
    <cellStyle name="Accent1 9 3" xfId="3607"/>
    <cellStyle name="Accent1 90" xfId="3608"/>
    <cellStyle name="Accent1 90 2" xfId="3609"/>
    <cellStyle name="Accent1 90 2 2" xfId="3610"/>
    <cellStyle name="Accent1 90 3" xfId="3611"/>
    <cellStyle name="Accent1 91" xfId="3612"/>
    <cellStyle name="Accent1 91 2" xfId="3613"/>
    <cellStyle name="Accent1 91 2 2" xfId="3614"/>
    <cellStyle name="Accent1 91 3" xfId="3615"/>
    <cellStyle name="Accent1 92" xfId="3616"/>
    <cellStyle name="Accent1 92 2" xfId="3617"/>
    <cellStyle name="Accent1 92 2 2" xfId="3618"/>
    <cellStyle name="Accent1 92 3" xfId="3619"/>
    <cellStyle name="Accent1 93" xfId="3620"/>
    <cellStyle name="Accent1 93 2" xfId="3621"/>
    <cellStyle name="Accent1 93 2 2" xfId="3622"/>
    <cellStyle name="Accent1 93 3" xfId="3623"/>
    <cellStyle name="Accent1 94" xfId="3624"/>
    <cellStyle name="Accent1 94 2" xfId="3625"/>
    <cellStyle name="Accent1 94 2 2" xfId="3626"/>
    <cellStyle name="Accent1 94 3" xfId="3627"/>
    <cellStyle name="Accent1 95" xfId="3628"/>
    <cellStyle name="Accent1 95 2" xfId="3629"/>
    <cellStyle name="Accent1 95 2 2" xfId="3630"/>
    <cellStyle name="Accent1 95 3" xfId="3631"/>
    <cellStyle name="Accent1 96" xfId="3632"/>
    <cellStyle name="Accent1 96 2" xfId="3633"/>
    <cellStyle name="Accent1 96 2 2" xfId="3634"/>
    <cellStyle name="Accent1 96 3" xfId="3635"/>
    <cellStyle name="Accent1 97" xfId="3636"/>
    <cellStyle name="Accent1 97 2" xfId="3637"/>
    <cellStyle name="Accent1 97 2 2" xfId="3638"/>
    <cellStyle name="Accent1 97 3" xfId="3639"/>
    <cellStyle name="Accent1 98" xfId="3640"/>
    <cellStyle name="Accent1 98 2" xfId="3641"/>
    <cellStyle name="Accent1 98 2 2" xfId="3642"/>
    <cellStyle name="Accent1 98 3" xfId="3643"/>
    <cellStyle name="Accent1 99" xfId="3644"/>
    <cellStyle name="Accent1 99 2" xfId="3645"/>
    <cellStyle name="Accent1 99 2 2" xfId="3646"/>
    <cellStyle name="Accent1 99 3" xfId="3647"/>
    <cellStyle name="Accent2 - 20%" xfId="4"/>
    <cellStyle name="Accent2 - 20% 10" xfId="3648"/>
    <cellStyle name="Accent2 - 20% 11" xfId="3649"/>
    <cellStyle name="Accent2 - 20% 2" xfId="3650"/>
    <cellStyle name="Accent2 - 20% 2 2" xfId="3651"/>
    <cellStyle name="Accent2 - 20% 2 2 2" xfId="3652"/>
    <cellStyle name="Accent2 - 20% 2 2 2 2" xfId="3653"/>
    <cellStyle name="Accent2 - 20% 2 2 3" xfId="3654"/>
    <cellStyle name="Accent2 - 20% 2 3" xfId="3655"/>
    <cellStyle name="Accent2 - 20% 2 3 2" xfId="3656"/>
    <cellStyle name="Accent2 - 20% 2 3 2 2" xfId="3657"/>
    <cellStyle name="Accent2 - 20% 2 3 2 2 2" xfId="3658"/>
    <cellStyle name="Accent2 - 20% 2 3 2 3" xfId="3659"/>
    <cellStyle name="Accent2 - 20% 2 3 3" xfId="3660"/>
    <cellStyle name="Accent2 - 20% 2 3 3 2" xfId="3661"/>
    <cellStyle name="Accent2 - 20% 2 3 4" xfId="3662"/>
    <cellStyle name="Accent2 - 20% 2 4" xfId="3663"/>
    <cellStyle name="Accent2 - 20% 2 4 2" xfId="3664"/>
    <cellStyle name="Accent2 - 20% 2 4 2 2" xfId="3665"/>
    <cellStyle name="Accent2 - 20% 2 4 2 2 2" xfId="3666"/>
    <cellStyle name="Accent2 - 20% 2 4 2 3" xfId="3667"/>
    <cellStyle name="Accent2 - 20% 2 4 3" xfId="3668"/>
    <cellStyle name="Accent2 - 20% 2 4 3 2" xfId="3669"/>
    <cellStyle name="Accent2 - 20% 2 4 4" xfId="3670"/>
    <cellStyle name="Accent2 - 20% 2 5" xfId="3671"/>
    <cellStyle name="Accent2 - 20% 2 5 2" xfId="3672"/>
    <cellStyle name="Accent2 - 20% 2 6" xfId="3673"/>
    <cellStyle name="Accent2 - 20% 2 6 2" xfId="3674"/>
    <cellStyle name="Accent2 - 20% 2 7" xfId="3675"/>
    <cellStyle name="Accent2 - 20% 3" xfId="3676"/>
    <cellStyle name="Accent2 - 20% 3 2" xfId="3677"/>
    <cellStyle name="Accent2 - 20% 3 2 2" xfId="3678"/>
    <cellStyle name="Accent2 - 20% 3 2 2 2" xfId="3679"/>
    <cellStyle name="Accent2 - 20% 3 2 3" xfId="3680"/>
    <cellStyle name="Accent2 - 20% 3 3" xfId="3681"/>
    <cellStyle name="Accent2 - 20% 3 3 2" xfId="3682"/>
    <cellStyle name="Accent2 - 20% 3 4" xfId="3683"/>
    <cellStyle name="Accent2 - 20% 4" xfId="3684"/>
    <cellStyle name="Accent2 - 20% 4 2" xfId="3685"/>
    <cellStyle name="Accent2 - 20% 4 2 2" xfId="3686"/>
    <cellStyle name="Accent2 - 20% 4 3" xfId="3687"/>
    <cellStyle name="Accent2 - 20% 5" xfId="3688"/>
    <cellStyle name="Accent2 - 20% 5 2" xfId="3689"/>
    <cellStyle name="Accent2 - 20% 5 2 2" xfId="3690"/>
    <cellStyle name="Accent2 - 20% 5 3" xfId="3691"/>
    <cellStyle name="Accent2 - 20% 6" xfId="3692"/>
    <cellStyle name="Accent2 - 20% 6 2" xfId="3693"/>
    <cellStyle name="Accent2 - 20% 7" xfId="3694"/>
    <cellStyle name="Accent2 - 20% 7 2" xfId="3695"/>
    <cellStyle name="Accent2 - 20% 8" xfId="3696"/>
    <cellStyle name="Accent2 - 20% 8 2" xfId="3697"/>
    <cellStyle name="Accent2 - 20% 9" xfId="3698"/>
    <cellStyle name="Accent2 - 20% 9 2" xfId="3699"/>
    <cellStyle name="Accent2 - 40%" xfId="5"/>
    <cellStyle name="Accent2 - 40% 10" xfId="3700"/>
    <cellStyle name="Accent2 - 40% 11" xfId="3701"/>
    <cellStyle name="Accent2 - 40% 2" xfId="3702"/>
    <cellStyle name="Accent2 - 40% 2 2" xfId="3703"/>
    <cellStyle name="Accent2 - 40% 2 2 2" xfId="3704"/>
    <cellStyle name="Accent2 - 40% 2 2 2 2" xfId="3705"/>
    <cellStyle name="Accent2 - 40% 2 2 3" xfId="3706"/>
    <cellStyle name="Accent2 - 40% 2 3" xfId="3707"/>
    <cellStyle name="Accent2 - 40% 2 3 2" xfId="3708"/>
    <cellStyle name="Accent2 - 40% 2 3 2 2" xfId="3709"/>
    <cellStyle name="Accent2 - 40% 2 3 2 2 2" xfId="3710"/>
    <cellStyle name="Accent2 - 40% 2 3 2 3" xfId="3711"/>
    <cellStyle name="Accent2 - 40% 2 3 3" xfId="3712"/>
    <cellStyle name="Accent2 - 40% 2 3 3 2" xfId="3713"/>
    <cellStyle name="Accent2 - 40% 2 3 4" xfId="3714"/>
    <cellStyle name="Accent2 - 40% 2 4" xfId="3715"/>
    <cellStyle name="Accent2 - 40% 2 4 2" xfId="3716"/>
    <cellStyle name="Accent2 - 40% 2 4 2 2" xfId="3717"/>
    <cellStyle name="Accent2 - 40% 2 4 2 2 2" xfId="3718"/>
    <cellStyle name="Accent2 - 40% 2 4 2 3" xfId="3719"/>
    <cellStyle name="Accent2 - 40% 2 4 3" xfId="3720"/>
    <cellStyle name="Accent2 - 40% 2 4 3 2" xfId="3721"/>
    <cellStyle name="Accent2 - 40% 2 4 4" xfId="3722"/>
    <cellStyle name="Accent2 - 40% 2 5" xfId="3723"/>
    <cellStyle name="Accent2 - 40% 2 5 2" xfId="3724"/>
    <cellStyle name="Accent2 - 40% 2 6" xfId="3725"/>
    <cellStyle name="Accent2 - 40% 2 6 2" xfId="3726"/>
    <cellStyle name="Accent2 - 40% 2 7" xfId="3727"/>
    <cellStyle name="Accent2 - 40% 3" xfId="3728"/>
    <cellStyle name="Accent2 - 40% 3 2" xfId="3729"/>
    <cellStyle name="Accent2 - 40% 3 2 2" xfId="3730"/>
    <cellStyle name="Accent2 - 40% 3 2 2 2" xfId="3731"/>
    <cellStyle name="Accent2 - 40% 3 2 3" xfId="3732"/>
    <cellStyle name="Accent2 - 40% 3 3" xfId="3733"/>
    <cellStyle name="Accent2 - 40% 3 3 2" xfId="3734"/>
    <cellStyle name="Accent2 - 40% 3 4" xfId="3735"/>
    <cellStyle name="Accent2 - 40% 4" xfId="3736"/>
    <cellStyle name="Accent2 - 40% 4 2" xfId="3737"/>
    <cellStyle name="Accent2 - 40% 4 2 2" xfId="3738"/>
    <cellStyle name="Accent2 - 40% 4 3" xfId="3739"/>
    <cellStyle name="Accent2 - 40% 5" xfId="3740"/>
    <cellStyle name="Accent2 - 40% 5 2" xfId="3741"/>
    <cellStyle name="Accent2 - 40% 5 2 2" xfId="3742"/>
    <cellStyle name="Accent2 - 40% 5 3" xfId="3743"/>
    <cellStyle name="Accent2 - 40% 6" xfId="3744"/>
    <cellStyle name="Accent2 - 40% 6 2" xfId="3745"/>
    <cellStyle name="Accent2 - 40% 7" xfId="3746"/>
    <cellStyle name="Accent2 - 40% 7 2" xfId="3747"/>
    <cellStyle name="Accent2 - 40% 8" xfId="3748"/>
    <cellStyle name="Accent2 - 40% 8 2" xfId="3749"/>
    <cellStyle name="Accent2 - 40% 9" xfId="3750"/>
    <cellStyle name="Accent2 - 40% 9 2" xfId="3751"/>
    <cellStyle name="Accent2 - 60%" xfId="6"/>
    <cellStyle name="Accent2 - 60% 10" xfId="3752"/>
    <cellStyle name="Accent2 - 60% 2" xfId="3753"/>
    <cellStyle name="Accent2 - 60% 2 2" xfId="3754"/>
    <cellStyle name="Accent2 - 60% 2 2 2" xfId="3755"/>
    <cellStyle name="Accent2 - 60% 2 3" xfId="3756"/>
    <cellStyle name="Accent2 - 60% 2 3 2" xfId="3757"/>
    <cellStyle name="Accent2 - 60% 2 3 2 2" xfId="3758"/>
    <cellStyle name="Accent2 - 60% 2 3 3" xfId="3759"/>
    <cellStyle name="Accent2 - 60% 2 4" xfId="3760"/>
    <cellStyle name="Accent2 - 60% 2 4 2" xfId="3761"/>
    <cellStyle name="Accent2 - 60% 2 4 2 2" xfId="3762"/>
    <cellStyle name="Accent2 - 60% 2 4 3" xfId="3763"/>
    <cellStyle name="Accent2 - 60% 2 5" xfId="3764"/>
    <cellStyle name="Accent2 - 60% 3" xfId="3765"/>
    <cellStyle name="Accent2 - 60% 3 2" xfId="3766"/>
    <cellStyle name="Accent2 - 60% 3 2 2" xfId="3767"/>
    <cellStyle name="Accent2 - 60% 3 3" xfId="3768"/>
    <cellStyle name="Accent2 - 60% 4" xfId="3769"/>
    <cellStyle name="Accent2 - 60% 4 2" xfId="3770"/>
    <cellStyle name="Accent2 - 60% 5" xfId="3771"/>
    <cellStyle name="Accent2 - 60% 5 2" xfId="3772"/>
    <cellStyle name="Accent2 - 60% 6" xfId="3773"/>
    <cellStyle name="Accent2 - 60% 6 2" xfId="3774"/>
    <cellStyle name="Accent2 - 60% 6 2 2" xfId="3775"/>
    <cellStyle name="Accent2 - 60% 6 3" xfId="3776"/>
    <cellStyle name="Accent2 - 60% 7" xfId="3777"/>
    <cellStyle name="Accent2 - 60% 7 2" xfId="3778"/>
    <cellStyle name="Accent2 - 60% 8" xfId="3779"/>
    <cellStyle name="Accent2 - 60% 8 2" xfId="3780"/>
    <cellStyle name="Accent2 - 60% 9" xfId="3781"/>
    <cellStyle name="Accent2 10" xfId="3782"/>
    <cellStyle name="Accent2 10 2" xfId="3783"/>
    <cellStyle name="Accent2 10 2 2" xfId="3784"/>
    <cellStyle name="Accent2 10 3" xfId="3785"/>
    <cellStyle name="Accent2 100" xfId="3786"/>
    <cellStyle name="Accent2 100 2" xfId="3787"/>
    <cellStyle name="Accent2 100 2 2" xfId="3788"/>
    <cellStyle name="Accent2 100 3" xfId="3789"/>
    <cellStyle name="Accent2 101" xfId="3790"/>
    <cellStyle name="Accent2 101 2" xfId="3791"/>
    <cellStyle name="Accent2 101 2 2" xfId="3792"/>
    <cellStyle name="Accent2 101 3" xfId="3793"/>
    <cellStyle name="Accent2 102" xfId="3794"/>
    <cellStyle name="Accent2 102 2" xfId="3795"/>
    <cellStyle name="Accent2 103" xfId="3796"/>
    <cellStyle name="Accent2 103 2" xfId="3797"/>
    <cellStyle name="Accent2 104" xfId="3798"/>
    <cellStyle name="Accent2 104 2" xfId="3799"/>
    <cellStyle name="Accent2 104 2 2" xfId="3800"/>
    <cellStyle name="Accent2 104 3" xfId="3801"/>
    <cellStyle name="Accent2 105" xfId="3802"/>
    <cellStyle name="Accent2 105 2" xfId="3803"/>
    <cellStyle name="Accent2 105 2 2" xfId="3804"/>
    <cellStyle name="Accent2 105 3" xfId="3805"/>
    <cellStyle name="Accent2 106" xfId="3806"/>
    <cellStyle name="Accent2 106 2" xfId="3807"/>
    <cellStyle name="Accent2 106 2 2" xfId="3808"/>
    <cellStyle name="Accent2 106 3" xfId="3809"/>
    <cellStyle name="Accent2 107" xfId="3810"/>
    <cellStyle name="Accent2 107 2" xfId="3811"/>
    <cellStyle name="Accent2 107 2 2" xfId="3812"/>
    <cellStyle name="Accent2 107 3" xfId="3813"/>
    <cellStyle name="Accent2 108" xfId="3814"/>
    <cellStyle name="Accent2 108 2" xfId="3815"/>
    <cellStyle name="Accent2 108 2 2" xfId="3816"/>
    <cellStyle name="Accent2 108 3" xfId="3817"/>
    <cellStyle name="Accent2 109" xfId="3818"/>
    <cellStyle name="Accent2 109 2" xfId="3819"/>
    <cellStyle name="Accent2 109 2 2" xfId="3820"/>
    <cellStyle name="Accent2 109 3" xfId="3821"/>
    <cellStyle name="Accent2 11" xfId="3822"/>
    <cellStyle name="Accent2 11 2" xfId="3823"/>
    <cellStyle name="Accent2 11 2 2" xfId="3824"/>
    <cellStyle name="Accent2 11 3" xfId="3825"/>
    <cellStyle name="Accent2 110" xfId="3826"/>
    <cellStyle name="Accent2 110 2" xfId="3827"/>
    <cellStyle name="Accent2 110 2 2" xfId="3828"/>
    <cellStyle name="Accent2 110 3" xfId="3829"/>
    <cellStyle name="Accent2 111" xfId="3830"/>
    <cellStyle name="Accent2 111 2" xfId="3831"/>
    <cellStyle name="Accent2 111 2 2" xfId="3832"/>
    <cellStyle name="Accent2 111 3" xfId="3833"/>
    <cellStyle name="Accent2 112" xfId="3834"/>
    <cellStyle name="Accent2 112 2" xfId="3835"/>
    <cellStyle name="Accent2 112 2 2" xfId="3836"/>
    <cellStyle name="Accent2 112 3" xfId="3837"/>
    <cellStyle name="Accent2 113" xfId="3838"/>
    <cellStyle name="Accent2 113 2" xfId="3839"/>
    <cellStyle name="Accent2 113 2 2" xfId="3840"/>
    <cellStyle name="Accent2 113 3" xfId="3841"/>
    <cellStyle name="Accent2 114" xfId="3842"/>
    <cellStyle name="Accent2 114 2" xfId="3843"/>
    <cellStyle name="Accent2 115" xfId="3844"/>
    <cellStyle name="Accent2 115 2" xfId="3845"/>
    <cellStyle name="Accent2 116" xfId="3846"/>
    <cellStyle name="Accent2 116 2" xfId="3847"/>
    <cellStyle name="Accent2 117" xfId="3848"/>
    <cellStyle name="Accent2 117 2" xfId="3849"/>
    <cellStyle name="Accent2 118" xfId="3850"/>
    <cellStyle name="Accent2 118 2" xfId="3851"/>
    <cellStyle name="Accent2 119" xfId="3852"/>
    <cellStyle name="Accent2 119 2" xfId="3853"/>
    <cellStyle name="Accent2 12" xfId="3854"/>
    <cellStyle name="Accent2 12 2" xfId="3855"/>
    <cellStyle name="Accent2 12 2 2" xfId="3856"/>
    <cellStyle name="Accent2 12 3" xfId="3857"/>
    <cellStyle name="Accent2 120" xfId="3858"/>
    <cellStyle name="Accent2 120 2" xfId="3859"/>
    <cellStyle name="Accent2 121" xfId="3860"/>
    <cellStyle name="Accent2 121 2" xfId="3861"/>
    <cellStyle name="Accent2 122" xfId="3862"/>
    <cellStyle name="Accent2 122 2" xfId="3863"/>
    <cellStyle name="Accent2 123" xfId="3864"/>
    <cellStyle name="Accent2 123 2" xfId="3865"/>
    <cellStyle name="Accent2 124" xfId="3866"/>
    <cellStyle name="Accent2 124 2" xfId="3867"/>
    <cellStyle name="Accent2 125" xfId="3868"/>
    <cellStyle name="Accent2 125 2" xfId="3869"/>
    <cellStyle name="Accent2 126" xfId="3870"/>
    <cellStyle name="Accent2 127" xfId="3871"/>
    <cellStyle name="Accent2 128" xfId="3872"/>
    <cellStyle name="Accent2 129" xfId="3873"/>
    <cellStyle name="Accent2 13" xfId="3874"/>
    <cellStyle name="Accent2 13 2" xfId="3875"/>
    <cellStyle name="Accent2 13 2 2" xfId="3876"/>
    <cellStyle name="Accent2 13 3" xfId="3877"/>
    <cellStyle name="Accent2 130" xfId="3878"/>
    <cellStyle name="Accent2 131" xfId="3879"/>
    <cellStyle name="Accent2 132" xfId="3880"/>
    <cellStyle name="Accent2 133" xfId="3881"/>
    <cellStyle name="Accent2 134" xfId="3882"/>
    <cellStyle name="Accent2 135" xfId="3883"/>
    <cellStyle name="Accent2 136" xfId="3884"/>
    <cellStyle name="Accent2 137" xfId="3885"/>
    <cellStyle name="Accent2 138" xfId="3886"/>
    <cellStyle name="Accent2 139" xfId="3887"/>
    <cellStyle name="Accent2 14" xfId="3888"/>
    <cellStyle name="Accent2 14 2" xfId="3889"/>
    <cellStyle name="Accent2 14 2 2" xfId="3890"/>
    <cellStyle name="Accent2 14 3" xfId="3891"/>
    <cellStyle name="Accent2 140" xfId="3892"/>
    <cellStyle name="Accent2 141" xfId="3893"/>
    <cellStyle name="Accent2 142" xfId="3894"/>
    <cellStyle name="Accent2 143" xfId="3895"/>
    <cellStyle name="Accent2 144" xfId="3896"/>
    <cellStyle name="Accent2 145" xfId="3897"/>
    <cellStyle name="Accent2 146" xfId="3898"/>
    <cellStyle name="Accent2 147" xfId="3899"/>
    <cellStyle name="Accent2 148" xfId="3900"/>
    <cellStyle name="Accent2 149" xfId="3901"/>
    <cellStyle name="Accent2 15" xfId="3902"/>
    <cellStyle name="Accent2 15 2" xfId="3903"/>
    <cellStyle name="Accent2 15 2 2" xfId="3904"/>
    <cellStyle name="Accent2 15 3" xfId="3905"/>
    <cellStyle name="Accent2 150" xfId="3906"/>
    <cellStyle name="Accent2 151" xfId="3907"/>
    <cellStyle name="Accent2 152" xfId="3908"/>
    <cellStyle name="Accent2 153" xfId="3909"/>
    <cellStyle name="Accent2 154" xfId="3910"/>
    <cellStyle name="Accent2 155" xfId="3911"/>
    <cellStyle name="Accent2 156" xfId="3912"/>
    <cellStyle name="Accent2 157" xfId="3913"/>
    <cellStyle name="Accent2 158" xfId="3914"/>
    <cellStyle name="Accent2 159" xfId="3915"/>
    <cellStyle name="Accent2 16" xfId="3916"/>
    <cellStyle name="Accent2 16 2" xfId="3917"/>
    <cellStyle name="Accent2 16 2 2" xfId="3918"/>
    <cellStyle name="Accent2 16 3" xfId="3919"/>
    <cellStyle name="Accent2 160" xfId="3920"/>
    <cellStyle name="Accent2 161" xfId="3921"/>
    <cellStyle name="Accent2 162" xfId="3922"/>
    <cellStyle name="Accent2 163" xfId="3923"/>
    <cellStyle name="Accent2 164" xfId="3924"/>
    <cellStyle name="Accent2 165" xfId="3925"/>
    <cellStyle name="Accent2 166" xfId="3926"/>
    <cellStyle name="Accent2 167" xfId="3927"/>
    <cellStyle name="Accent2 168" xfId="3928"/>
    <cellStyle name="Accent2 169" xfId="3929"/>
    <cellStyle name="Accent2 17" xfId="3930"/>
    <cellStyle name="Accent2 17 2" xfId="3931"/>
    <cellStyle name="Accent2 17 2 2" xfId="3932"/>
    <cellStyle name="Accent2 17 3" xfId="3933"/>
    <cellStyle name="Accent2 170" xfId="3934"/>
    <cellStyle name="Accent2 171" xfId="3935"/>
    <cellStyle name="Accent2 172" xfId="3936"/>
    <cellStyle name="Accent2 173" xfId="3937"/>
    <cellStyle name="Accent2 174" xfId="3938"/>
    <cellStyle name="Accent2 175" xfId="3939"/>
    <cellStyle name="Accent2 176" xfId="3940"/>
    <cellStyle name="Accent2 177" xfId="3941"/>
    <cellStyle name="Accent2 178" xfId="3942"/>
    <cellStyle name="Accent2 179" xfId="3943"/>
    <cellStyle name="Accent2 18" xfId="3944"/>
    <cellStyle name="Accent2 18 2" xfId="3945"/>
    <cellStyle name="Accent2 18 2 2" xfId="3946"/>
    <cellStyle name="Accent2 18 3" xfId="3947"/>
    <cellStyle name="Accent2 19" xfId="3948"/>
    <cellStyle name="Accent2 19 2" xfId="3949"/>
    <cellStyle name="Accent2 19 2 2" xfId="3950"/>
    <cellStyle name="Accent2 19 3" xfId="3951"/>
    <cellStyle name="Accent2 2" xfId="3952"/>
    <cellStyle name="Accent2 2 10" xfId="3953"/>
    <cellStyle name="Accent2 2 10 2" xfId="3954"/>
    <cellStyle name="Accent2 2 11" xfId="3955"/>
    <cellStyle name="Accent2 2 12" xfId="3956"/>
    <cellStyle name="Accent2 2 2" xfId="3957"/>
    <cellStyle name="Accent2 2 2 2" xfId="3958"/>
    <cellStyle name="Accent2 2 2 2 2" xfId="3959"/>
    <cellStyle name="Accent2 2 2 3" xfId="3960"/>
    <cellStyle name="Accent2 2 2 3 2" xfId="3961"/>
    <cellStyle name="Accent2 2 2 3 2 2" xfId="3962"/>
    <cellStyle name="Accent2 2 2 3 3" xfId="3963"/>
    <cellStyle name="Accent2 2 2 4" xfId="3964"/>
    <cellStyle name="Accent2 2 3" xfId="3965"/>
    <cellStyle name="Accent2 2 3 2" xfId="3966"/>
    <cellStyle name="Accent2 2 3 2 2" xfId="3967"/>
    <cellStyle name="Accent2 2 3 3" xfId="3968"/>
    <cellStyle name="Accent2 2 3 3 2" xfId="3969"/>
    <cellStyle name="Accent2 2 3 3 2 2" xfId="3970"/>
    <cellStyle name="Accent2 2 3 3 3" xfId="3971"/>
    <cellStyle name="Accent2 2 3 4" xfId="3972"/>
    <cellStyle name="Accent2 2 4" xfId="3973"/>
    <cellStyle name="Accent2 2 4 2" xfId="3974"/>
    <cellStyle name="Accent2 2 4 2 2" xfId="3975"/>
    <cellStyle name="Accent2 2 4 3" xfId="3976"/>
    <cellStyle name="Accent2 2 5" xfId="3977"/>
    <cellStyle name="Accent2 2 5 2" xfId="3978"/>
    <cellStyle name="Accent2 2 5 2 2" xfId="3979"/>
    <cellStyle name="Accent2 2 5 3" xfId="3980"/>
    <cellStyle name="Accent2 2 5 3 2" xfId="3981"/>
    <cellStyle name="Accent2 2 5 3 2 2" xfId="3982"/>
    <cellStyle name="Accent2 2 5 3 3" xfId="3983"/>
    <cellStyle name="Accent2 2 5 4" xfId="3984"/>
    <cellStyle name="Accent2 2 6" xfId="3985"/>
    <cellStyle name="Accent2 2 6 2" xfId="3986"/>
    <cellStyle name="Accent2 2 7" xfId="3987"/>
    <cellStyle name="Accent2 2 7 2" xfId="3988"/>
    <cellStyle name="Accent2 2 8" xfId="3989"/>
    <cellStyle name="Accent2 2 8 2" xfId="3990"/>
    <cellStyle name="Accent2 2 8 2 2" xfId="3991"/>
    <cellStyle name="Accent2 2 8 3" xfId="3992"/>
    <cellStyle name="Accent2 2 9" xfId="3993"/>
    <cellStyle name="Accent2 2 9 2" xfId="3994"/>
    <cellStyle name="Accent2 2 9 2 2" xfId="3995"/>
    <cellStyle name="Accent2 2 9 3" xfId="3996"/>
    <cellStyle name="Accent2 20" xfId="3997"/>
    <cellStyle name="Accent2 20 2" xfId="3998"/>
    <cellStyle name="Accent2 20 2 2" xfId="3999"/>
    <cellStyle name="Accent2 20 3" xfId="4000"/>
    <cellStyle name="Accent2 21" xfId="4001"/>
    <cellStyle name="Accent2 21 2" xfId="4002"/>
    <cellStyle name="Accent2 21 2 2" xfId="4003"/>
    <cellStyle name="Accent2 21 3" xfId="4004"/>
    <cellStyle name="Accent2 22" xfId="4005"/>
    <cellStyle name="Accent2 22 2" xfId="4006"/>
    <cellStyle name="Accent2 22 2 2" xfId="4007"/>
    <cellStyle name="Accent2 22 3" xfId="4008"/>
    <cellStyle name="Accent2 23" xfId="4009"/>
    <cellStyle name="Accent2 23 2" xfId="4010"/>
    <cellStyle name="Accent2 23 2 2" xfId="4011"/>
    <cellStyle name="Accent2 23 3" xfId="4012"/>
    <cellStyle name="Accent2 24" xfId="4013"/>
    <cellStyle name="Accent2 24 2" xfId="4014"/>
    <cellStyle name="Accent2 24 2 2" xfId="4015"/>
    <cellStyle name="Accent2 24 3" xfId="4016"/>
    <cellStyle name="Accent2 25" xfId="4017"/>
    <cellStyle name="Accent2 25 2" xfId="4018"/>
    <cellStyle name="Accent2 25 2 2" xfId="4019"/>
    <cellStyle name="Accent2 25 3" xfId="4020"/>
    <cellStyle name="Accent2 26" xfId="4021"/>
    <cellStyle name="Accent2 26 2" xfId="4022"/>
    <cellStyle name="Accent2 26 2 2" xfId="4023"/>
    <cellStyle name="Accent2 26 3" xfId="4024"/>
    <cellStyle name="Accent2 27" xfId="4025"/>
    <cellStyle name="Accent2 27 2" xfId="4026"/>
    <cellStyle name="Accent2 27 2 2" xfId="4027"/>
    <cellStyle name="Accent2 27 3" xfId="4028"/>
    <cellStyle name="Accent2 28" xfId="4029"/>
    <cellStyle name="Accent2 28 2" xfId="4030"/>
    <cellStyle name="Accent2 28 2 2" xfId="4031"/>
    <cellStyle name="Accent2 28 3" xfId="4032"/>
    <cellStyle name="Accent2 29" xfId="4033"/>
    <cellStyle name="Accent2 29 2" xfId="4034"/>
    <cellStyle name="Accent2 29 2 2" xfId="4035"/>
    <cellStyle name="Accent2 29 3" xfId="4036"/>
    <cellStyle name="Accent2 3" xfId="4037"/>
    <cellStyle name="Accent2 3 10" xfId="4038"/>
    <cellStyle name="Accent2 3 10 2" xfId="4039"/>
    <cellStyle name="Accent2 3 11" xfId="4040"/>
    <cellStyle name="Accent2 3 2" xfId="4041"/>
    <cellStyle name="Accent2 3 2 2" xfId="4042"/>
    <cellStyle name="Accent2 3 2 2 2" xfId="4043"/>
    <cellStyle name="Accent2 3 2 3" xfId="4044"/>
    <cellStyle name="Accent2 3 2 3 2" xfId="4045"/>
    <cellStyle name="Accent2 3 2 3 2 2" xfId="4046"/>
    <cellStyle name="Accent2 3 2 3 3" xfId="4047"/>
    <cellStyle name="Accent2 3 2 4" xfId="4048"/>
    <cellStyle name="Accent2 3 3" xfId="4049"/>
    <cellStyle name="Accent2 3 3 2" xfId="4050"/>
    <cellStyle name="Accent2 3 3 2 2" xfId="4051"/>
    <cellStyle name="Accent2 3 3 3" xfId="4052"/>
    <cellStyle name="Accent2 3 3 3 2" xfId="4053"/>
    <cellStyle name="Accent2 3 3 3 2 2" xfId="4054"/>
    <cellStyle name="Accent2 3 3 3 3" xfId="4055"/>
    <cellStyle name="Accent2 3 3 4" xfId="4056"/>
    <cellStyle name="Accent2 3 4" xfId="4057"/>
    <cellStyle name="Accent2 3 4 2" xfId="4058"/>
    <cellStyle name="Accent2 3 4 2 2" xfId="4059"/>
    <cellStyle name="Accent2 3 4 3" xfId="4060"/>
    <cellStyle name="Accent2 3 5" xfId="4061"/>
    <cellStyle name="Accent2 3 5 2" xfId="4062"/>
    <cellStyle name="Accent2 3 5 2 2" xfId="4063"/>
    <cellStyle name="Accent2 3 5 3" xfId="4064"/>
    <cellStyle name="Accent2 3 5 3 2" xfId="4065"/>
    <cellStyle name="Accent2 3 5 3 2 2" xfId="4066"/>
    <cellStyle name="Accent2 3 5 3 3" xfId="4067"/>
    <cellStyle name="Accent2 3 5 4" xfId="4068"/>
    <cellStyle name="Accent2 3 6" xfId="4069"/>
    <cellStyle name="Accent2 3 6 2" xfId="4070"/>
    <cellStyle name="Accent2 3 7" xfId="4071"/>
    <cellStyle name="Accent2 3 7 2" xfId="4072"/>
    <cellStyle name="Accent2 3 8" xfId="4073"/>
    <cellStyle name="Accent2 3 8 2" xfId="4074"/>
    <cellStyle name="Accent2 3 8 2 2" xfId="4075"/>
    <cellStyle name="Accent2 3 8 3" xfId="4076"/>
    <cellStyle name="Accent2 3 9" xfId="4077"/>
    <cellStyle name="Accent2 3 9 2" xfId="4078"/>
    <cellStyle name="Accent2 3 9 2 2" xfId="4079"/>
    <cellStyle name="Accent2 3 9 3" xfId="4080"/>
    <cellStyle name="Accent2 30" xfId="4081"/>
    <cellStyle name="Accent2 30 2" xfId="4082"/>
    <cellStyle name="Accent2 30 2 2" xfId="4083"/>
    <cellStyle name="Accent2 30 3" xfId="4084"/>
    <cellStyle name="Accent2 31" xfId="4085"/>
    <cellStyle name="Accent2 31 2" xfId="4086"/>
    <cellStyle name="Accent2 31 2 2" xfId="4087"/>
    <cellStyle name="Accent2 31 3" xfId="4088"/>
    <cellStyle name="Accent2 32" xfId="4089"/>
    <cellStyle name="Accent2 32 2" xfId="4090"/>
    <cellStyle name="Accent2 32 2 2" xfId="4091"/>
    <cellStyle name="Accent2 32 3" xfId="4092"/>
    <cellStyle name="Accent2 33" xfId="4093"/>
    <cellStyle name="Accent2 33 2" xfId="4094"/>
    <cellStyle name="Accent2 33 2 2" xfId="4095"/>
    <cellStyle name="Accent2 33 3" xfId="4096"/>
    <cellStyle name="Accent2 34" xfId="4097"/>
    <cellStyle name="Accent2 34 2" xfId="4098"/>
    <cellStyle name="Accent2 34 2 2" xfId="4099"/>
    <cellStyle name="Accent2 34 3" xfId="4100"/>
    <cellStyle name="Accent2 35" xfId="4101"/>
    <cellStyle name="Accent2 35 2" xfId="4102"/>
    <cellStyle name="Accent2 35 2 2" xfId="4103"/>
    <cellStyle name="Accent2 35 3" xfId="4104"/>
    <cellStyle name="Accent2 36" xfId="4105"/>
    <cellStyle name="Accent2 36 2" xfId="4106"/>
    <cellStyle name="Accent2 36 2 2" xfId="4107"/>
    <cellStyle name="Accent2 36 3" xfId="4108"/>
    <cellStyle name="Accent2 37" xfId="4109"/>
    <cellStyle name="Accent2 37 2" xfId="4110"/>
    <cellStyle name="Accent2 37 2 2" xfId="4111"/>
    <cellStyle name="Accent2 37 3" xfId="4112"/>
    <cellStyle name="Accent2 38" xfId="4113"/>
    <cellStyle name="Accent2 38 2" xfId="4114"/>
    <cellStyle name="Accent2 38 2 2" xfId="4115"/>
    <cellStyle name="Accent2 38 3" xfId="4116"/>
    <cellStyle name="Accent2 39" xfId="4117"/>
    <cellStyle name="Accent2 39 2" xfId="4118"/>
    <cellStyle name="Accent2 39 2 2" xfId="4119"/>
    <cellStyle name="Accent2 39 3" xfId="4120"/>
    <cellStyle name="Accent2 4" xfId="4121"/>
    <cellStyle name="Accent2 4 2" xfId="4122"/>
    <cellStyle name="Accent2 4 2 2" xfId="4123"/>
    <cellStyle name="Accent2 4 2 2 2" xfId="4124"/>
    <cellStyle name="Accent2 4 2 3" xfId="4125"/>
    <cellStyle name="Accent2 4 2 3 2" xfId="4126"/>
    <cellStyle name="Accent2 4 2 3 2 2" xfId="4127"/>
    <cellStyle name="Accent2 4 2 3 3" xfId="4128"/>
    <cellStyle name="Accent2 4 2 4" xfId="4129"/>
    <cellStyle name="Accent2 4 3" xfId="4130"/>
    <cellStyle name="Accent2 4 3 2" xfId="4131"/>
    <cellStyle name="Accent2 4 3 2 2" xfId="4132"/>
    <cellStyle name="Accent2 4 3 3" xfId="4133"/>
    <cellStyle name="Accent2 4 3 3 2" xfId="4134"/>
    <cellStyle name="Accent2 4 3 3 2 2" xfId="4135"/>
    <cellStyle name="Accent2 4 3 3 3" xfId="4136"/>
    <cellStyle name="Accent2 4 3 4" xfId="4137"/>
    <cellStyle name="Accent2 4 4" xfId="4138"/>
    <cellStyle name="Accent2 4 4 2" xfId="4139"/>
    <cellStyle name="Accent2 4 4 2 2" xfId="4140"/>
    <cellStyle name="Accent2 4 4 3" xfId="4141"/>
    <cellStyle name="Accent2 4 5" xfId="4142"/>
    <cellStyle name="Accent2 4 5 2" xfId="4143"/>
    <cellStyle name="Accent2 4 6" xfId="4144"/>
    <cellStyle name="Accent2 4 6 2" xfId="4145"/>
    <cellStyle name="Accent2 4 7" xfId="4146"/>
    <cellStyle name="Accent2 40" xfId="4147"/>
    <cellStyle name="Accent2 40 2" xfId="4148"/>
    <cellStyle name="Accent2 40 2 2" xfId="4149"/>
    <cellStyle name="Accent2 40 3" xfId="4150"/>
    <cellStyle name="Accent2 41" xfId="4151"/>
    <cellStyle name="Accent2 41 2" xfId="4152"/>
    <cellStyle name="Accent2 41 2 2" xfId="4153"/>
    <cellStyle name="Accent2 41 3" xfId="4154"/>
    <cellStyle name="Accent2 42" xfId="4155"/>
    <cellStyle name="Accent2 42 2" xfId="4156"/>
    <cellStyle name="Accent2 42 2 2" xfId="4157"/>
    <cellStyle name="Accent2 42 3" xfId="4158"/>
    <cellStyle name="Accent2 43" xfId="4159"/>
    <cellStyle name="Accent2 43 2" xfId="4160"/>
    <cellStyle name="Accent2 43 2 2" xfId="4161"/>
    <cellStyle name="Accent2 43 3" xfId="4162"/>
    <cellStyle name="Accent2 44" xfId="4163"/>
    <cellStyle name="Accent2 44 2" xfId="4164"/>
    <cellStyle name="Accent2 44 2 2" xfId="4165"/>
    <cellStyle name="Accent2 44 3" xfId="4166"/>
    <cellStyle name="Accent2 45" xfId="4167"/>
    <cellStyle name="Accent2 45 2" xfId="4168"/>
    <cellStyle name="Accent2 45 2 2" xfId="4169"/>
    <cellStyle name="Accent2 45 3" xfId="4170"/>
    <cellStyle name="Accent2 46" xfId="4171"/>
    <cellStyle name="Accent2 46 2" xfId="4172"/>
    <cellStyle name="Accent2 46 2 2" xfId="4173"/>
    <cellStyle name="Accent2 46 3" xfId="4174"/>
    <cellStyle name="Accent2 47" xfId="4175"/>
    <cellStyle name="Accent2 47 2" xfId="4176"/>
    <cellStyle name="Accent2 47 2 2" xfId="4177"/>
    <cellStyle name="Accent2 47 3" xfId="4178"/>
    <cellStyle name="Accent2 48" xfId="4179"/>
    <cellStyle name="Accent2 48 2" xfId="4180"/>
    <cellStyle name="Accent2 48 2 2" xfId="4181"/>
    <cellStyle name="Accent2 48 3" xfId="4182"/>
    <cellStyle name="Accent2 48 3 2" xfId="4183"/>
    <cellStyle name="Accent2 48 3 2 2" xfId="4184"/>
    <cellStyle name="Accent2 48 3 3" xfId="4185"/>
    <cellStyle name="Accent2 48 4" xfId="4186"/>
    <cellStyle name="Accent2 49" xfId="4187"/>
    <cellStyle name="Accent2 49 2" xfId="4188"/>
    <cellStyle name="Accent2 49 2 2" xfId="4189"/>
    <cellStyle name="Accent2 49 3" xfId="4190"/>
    <cellStyle name="Accent2 49 3 2" xfId="4191"/>
    <cellStyle name="Accent2 49 3 2 2" xfId="4192"/>
    <cellStyle name="Accent2 49 3 3" xfId="4193"/>
    <cellStyle name="Accent2 49 4" xfId="4194"/>
    <cellStyle name="Accent2 5" xfId="4195"/>
    <cellStyle name="Accent2 5 2" xfId="4196"/>
    <cellStyle name="Accent2 5 2 2" xfId="4197"/>
    <cellStyle name="Accent2 5 2 2 2" xfId="4198"/>
    <cellStyle name="Accent2 5 2 3" xfId="4199"/>
    <cellStyle name="Accent2 5 2 3 2" xfId="4200"/>
    <cellStyle name="Accent2 5 2 3 2 2" xfId="4201"/>
    <cellStyle name="Accent2 5 2 3 3" xfId="4202"/>
    <cellStyle name="Accent2 5 2 4" xfId="4203"/>
    <cellStyle name="Accent2 5 3" xfId="4204"/>
    <cellStyle name="Accent2 5 3 2" xfId="4205"/>
    <cellStyle name="Accent2 5 3 2 2" xfId="4206"/>
    <cellStyle name="Accent2 5 3 3" xfId="4207"/>
    <cellStyle name="Accent2 5 3 3 2" xfId="4208"/>
    <cellStyle name="Accent2 5 3 3 2 2" xfId="4209"/>
    <cellStyle name="Accent2 5 3 3 3" xfId="4210"/>
    <cellStyle name="Accent2 5 3 4" xfId="4211"/>
    <cellStyle name="Accent2 5 4" xfId="4212"/>
    <cellStyle name="Accent2 5 4 2" xfId="4213"/>
    <cellStyle name="Accent2 5 5" xfId="4214"/>
    <cellStyle name="Accent2 5 5 2" xfId="4215"/>
    <cellStyle name="Accent2 5 6" xfId="4216"/>
    <cellStyle name="Accent2 50" xfId="4217"/>
    <cellStyle name="Accent2 50 2" xfId="4218"/>
    <cellStyle name="Accent2 50 2 2" xfId="4219"/>
    <cellStyle name="Accent2 50 3" xfId="4220"/>
    <cellStyle name="Accent2 50 3 2" xfId="4221"/>
    <cellStyle name="Accent2 50 3 2 2" xfId="4222"/>
    <cellStyle name="Accent2 50 3 3" xfId="4223"/>
    <cellStyle name="Accent2 50 4" xfId="4224"/>
    <cellStyle name="Accent2 51" xfId="4225"/>
    <cellStyle name="Accent2 51 2" xfId="4226"/>
    <cellStyle name="Accent2 51 2 2" xfId="4227"/>
    <cellStyle name="Accent2 51 3" xfId="4228"/>
    <cellStyle name="Accent2 51 3 2" xfId="4229"/>
    <cellStyle name="Accent2 51 3 2 2" xfId="4230"/>
    <cellStyle name="Accent2 51 3 3" xfId="4231"/>
    <cellStyle name="Accent2 51 4" xfId="4232"/>
    <cellStyle name="Accent2 52" xfId="4233"/>
    <cellStyle name="Accent2 52 2" xfId="4234"/>
    <cellStyle name="Accent2 52 2 2" xfId="4235"/>
    <cellStyle name="Accent2 52 3" xfId="4236"/>
    <cellStyle name="Accent2 53" xfId="4237"/>
    <cellStyle name="Accent2 53 2" xfId="4238"/>
    <cellStyle name="Accent2 53 2 2" xfId="4239"/>
    <cellStyle name="Accent2 53 3" xfId="4240"/>
    <cellStyle name="Accent2 54" xfId="4241"/>
    <cellStyle name="Accent2 54 2" xfId="4242"/>
    <cellStyle name="Accent2 54 2 2" xfId="4243"/>
    <cellStyle name="Accent2 54 3" xfId="4244"/>
    <cellStyle name="Accent2 55" xfId="4245"/>
    <cellStyle name="Accent2 55 2" xfId="4246"/>
    <cellStyle name="Accent2 55 2 2" xfId="4247"/>
    <cellStyle name="Accent2 55 3" xfId="4248"/>
    <cellStyle name="Accent2 56" xfId="4249"/>
    <cellStyle name="Accent2 56 2" xfId="4250"/>
    <cellStyle name="Accent2 56 2 2" xfId="4251"/>
    <cellStyle name="Accent2 56 3" xfId="4252"/>
    <cellStyle name="Accent2 57" xfId="4253"/>
    <cellStyle name="Accent2 57 2" xfId="4254"/>
    <cellStyle name="Accent2 57 2 2" xfId="4255"/>
    <cellStyle name="Accent2 57 3" xfId="4256"/>
    <cellStyle name="Accent2 58" xfId="4257"/>
    <cellStyle name="Accent2 58 2" xfId="4258"/>
    <cellStyle name="Accent2 58 2 2" xfId="4259"/>
    <cellStyle name="Accent2 58 3" xfId="4260"/>
    <cellStyle name="Accent2 58 3 2" xfId="4261"/>
    <cellStyle name="Accent2 58 3 2 2" xfId="4262"/>
    <cellStyle name="Accent2 58 3 3" xfId="4263"/>
    <cellStyle name="Accent2 58 4" xfId="4264"/>
    <cellStyle name="Accent2 59" xfId="4265"/>
    <cellStyle name="Accent2 59 2" xfId="4266"/>
    <cellStyle name="Accent2 59 2 2" xfId="4267"/>
    <cellStyle name="Accent2 59 3" xfId="4268"/>
    <cellStyle name="Accent2 59 3 2" xfId="4269"/>
    <cellStyle name="Accent2 59 3 2 2" xfId="4270"/>
    <cellStyle name="Accent2 59 3 3" xfId="4271"/>
    <cellStyle name="Accent2 59 4" xfId="4272"/>
    <cellStyle name="Accent2 6" xfId="4273"/>
    <cellStyle name="Accent2 6 2" xfId="4274"/>
    <cellStyle name="Accent2 6 2 2" xfId="4275"/>
    <cellStyle name="Accent2 6 2 2 2" xfId="4276"/>
    <cellStyle name="Accent2 6 2 3" xfId="4277"/>
    <cellStyle name="Accent2 6 2 3 2" xfId="4278"/>
    <cellStyle name="Accent2 6 2 3 2 2" xfId="4279"/>
    <cellStyle name="Accent2 6 2 3 3" xfId="4280"/>
    <cellStyle name="Accent2 6 2 4" xfId="4281"/>
    <cellStyle name="Accent2 6 3" xfId="4282"/>
    <cellStyle name="Accent2 6 3 2" xfId="4283"/>
    <cellStyle name="Accent2 6 4" xfId="4284"/>
    <cellStyle name="Accent2 60" xfId="4285"/>
    <cellStyle name="Accent2 60 2" xfId="4286"/>
    <cellStyle name="Accent2 60 2 2" xfId="4287"/>
    <cellStyle name="Accent2 60 3" xfId="4288"/>
    <cellStyle name="Accent2 60 3 2" xfId="4289"/>
    <cellStyle name="Accent2 60 3 2 2" xfId="4290"/>
    <cellStyle name="Accent2 60 3 3" xfId="4291"/>
    <cellStyle name="Accent2 60 4" xfId="4292"/>
    <cellStyle name="Accent2 61" xfId="4293"/>
    <cellStyle name="Accent2 61 2" xfId="4294"/>
    <cellStyle name="Accent2 61 2 2" xfId="4295"/>
    <cellStyle name="Accent2 61 3" xfId="4296"/>
    <cellStyle name="Accent2 61 3 2" xfId="4297"/>
    <cellStyle name="Accent2 61 3 2 2" xfId="4298"/>
    <cellStyle name="Accent2 61 3 3" xfId="4299"/>
    <cellStyle name="Accent2 61 4" xfId="4300"/>
    <cellStyle name="Accent2 62" xfId="4301"/>
    <cellStyle name="Accent2 62 2" xfId="4302"/>
    <cellStyle name="Accent2 62 2 2" xfId="4303"/>
    <cellStyle name="Accent2 62 3" xfId="4304"/>
    <cellStyle name="Accent2 62 3 2" xfId="4305"/>
    <cellStyle name="Accent2 62 3 2 2" xfId="4306"/>
    <cellStyle name="Accent2 62 3 3" xfId="4307"/>
    <cellStyle name="Accent2 62 4" xfId="4308"/>
    <cellStyle name="Accent2 63" xfId="4309"/>
    <cellStyle name="Accent2 63 2" xfId="4310"/>
    <cellStyle name="Accent2 63 2 2" xfId="4311"/>
    <cellStyle name="Accent2 63 3" xfId="4312"/>
    <cellStyle name="Accent2 63 3 2" xfId="4313"/>
    <cellStyle name="Accent2 63 3 2 2" xfId="4314"/>
    <cellStyle name="Accent2 63 3 3" xfId="4315"/>
    <cellStyle name="Accent2 63 4" xfId="4316"/>
    <cellStyle name="Accent2 64" xfId="4317"/>
    <cellStyle name="Accent2 64 2" xfId="4318"/>
    <cellStyle name="Accent2 64 2 2" xfId="4319"/>
    <cellStyle name="Accent2 64 3" xfId="4320"/>
    <cellStyle name="Accent2 64 3 2" xfId="4321"/>
    <cellStyle name="Accent2 64 3 2 2" xfId="4322"/>
    <cellStyle name="Accent2 64 3 3" xfId="4323"/>
    <cellStyle name="Accent2 64 4" xfId="4324"/>
    <cellStyle name="Accent2 65" xfId="4325"/>
    <cellStyle name="Accent2 65 2" xfId="4326"/>
    <cellStyle name="Accent2 65 2 2" xfId="4327"/>
    <cellStyle name="Accent2 65 3" xfId="4328"/>
    <cellStyle name="Accent2 65 3 2" xfId="4329"/>
    <cellStyle name="Accent2 65 3 2 2" xfId="4330"/>
    <cellStyle name="Accent2 65 3 3" xfId="4331"/>
    <cellStyle name="Accent2 65 4" xfId="4332"/>
    <cellStyle name="Accent2 66" xfId="4333"/>
    <cellStyle name="Accent2 66 2" xfId="4334"/>
    <cellStyle name="Accent2 66 2 2" xfId="4335"/>
    <cellStyle name="Accent2 66 3" xfId="4336"/>
    <cellStyle name="Accent2 66 3 2" xfId="4337"/>
    <cellStyle name="Accent2 66 3 2 2" xfId="4338"/>
    <cellStyle name="Accent2 66 3 3" xfId="4339"/>
    <cellStyle name="Accent2 66 4" xfId="4340"/>
    <cellStyle name="Accent2 67" xfId="4341"/>
    <cellStyle name="Accent2 67 2" xfId="4342"/>
    <cellStyle name="Accent2 67 2 2" xfId="4343"/>
    <cellStyle name="Accent2 67 3" xfId="4344"/>
    <cellStyle name="Accent2 67 3 2" xfId="4345"/>
    <cellStyle name="Accent2 67 3 2 2" xfId="4346"/>
    <cellStyle name="Accent2 67 3 3" xfId="4347"/>
    <cellStyle name="Accent2 67 4" xfId="4348"/>
    <cellStyle name="Accent2 68" xfId="4349"/>
    <cellStyle name="Accent2 68 2" xfId="4350"/>
    <cellStyle name="Accent2 68 2 2" xfId="4351"/>
    <cellStyle name="Accent2 68 3" xfId="4352"/>
    <cellStyle name="Accent2 68 3 2" xfId="4353"/>
    <cellStyle name="Accent2 68 3 2 2" xfId="4354"/>
    <cellStyle name="Accent2 68 3 3" xfId="4355"/>
    <cellStyle name="Accent2 68 4" xfId="4356"/>
    <cellStyle name="Accent2 69" xfId="4357"/>
    <cellStyle name="Accent2 69 2" xfId="4358"/>
    <cellStyle name="Accent2 69 2 2" xfId="4359"/>
    <cellStyle name="Accent2 69 3" xfId="4360"/>
    <cellStyle name="Accent2 69 3 2" xfId="4361"/>
    <cellStyle name="Accent2 69 3 2 2" xfId="4362"/>
    <cellStyle name="Accent2 69 3 3" xfId="4363"/>
    <cellStyle name="Accent2 69 4" xfId="4364"/>
    <cellStyle name="Accent2 7" xfId="4365"/>
    <cellStyle name="Accent2 7 2" xfId="4366"/>
    <cellStyle name="Accent2 7 2 2" xfId="4367"/>
    <cellStyle name="Accent2 7 2 2 2" xfId="4368"/>
    <cellStyle name="Accent2 7 2 3" xfId="4369"/>
    <cellStyle name="Accent2 7 2 3 2" xfId="4370"/>
    <cellStyle name="Accent2 7 2 3 2 2" xfId="4371"/>
    <cellStyle name="Accent2 7 2 3 3" xfId="4372"/>
    <cellStyle name="Accent2 7 2 4" xfId="4373"/>
    <cellStyle name="Accent2 7 3" xfId="4374"/>
    <cellStyle name="Accent2 7 3 2" xfId="4375"/>
    <cellStyle name="Accent2 7 4" xfId="4376"/>
    <cellStyle name="Accent2 70" xfId="4377"/>
    <cellStyle name="Accent2 70 2" xfId="4378"/>
    <cellStyle name="Accent2 70 2 2" xfId="4379"/>
    <cellStyle name="Accent2 70 3" xfId="4380"/>
    <cellStyle name="Accent2 70 3 2" xfId="4381"/>
    <cellStyle name="Accent2 70 3 2 2" xfId="4382"/>
    <cellStyle name="Accent2 70 3 3" xfId="4383"/>
    <cellStyle name="Accent2 70 4" xfId="4384"/>
    <cellStyle name="Accent2 71" xfId="4385"/>
    <cellStyle name="Accent2 71 2" xfId="4386"/>
    <cellStyle name="Accent2 71 2 2" xfId="4387"/>
    <cellStyle name="Accent2 71 3" xfId="4388"/>
    <cellStyle name="Accent2 71 3 2" xfId="4389"/>
    <cellStyle name="Accent2 71 3 2 2" xfId="4390"/>
    <cellStyle name="Accent2 71 3 3" xfId="4391"/>
    <cellStyle name="Accent2 71 4" xfId="4392"/>
    <cellStyle name="Accent2 72" xfId="4393"/>
    <cellStyle name="Accent2 72 2" xfId="4394"/>
    <cellStyle name="Accent2 72 2 2" xfId="4395"/>
    <cellStyle name="Accent2 72 3" xfId="4396"/>
    <cellStyle name="Accent2 72 3 2" xfId="4397"/>
    <cellStyle name="Accent2 72 3 2 2" xfId="4398"/>
    <cellStyle name="Accent2 72 3 3" xfId="4399"/>
    <cellStyle name="Accent2 72 4" xfId="4400"/>
    <cellStyle name="Accent2 73" xfId="4401"/>
    <cellStyle name="Accent2 73 2" xfId="4402"/>
    <cellStyle name="Accent2 73 2 2" xfId="4403"/>
    <cellStyle name="Accent2 73 3" xfId="4404"/>
    <cellStyle name="Accent2 73 3 2" xfId="4405"/>
    <cellStyle name="Accent2 73 3 2 2" xfId="4406"/>
    <cellStyle name="Accent2 73 3 3" xfId="4407"/>
    <cellStyle name="Accent2 73 4" xfId="4408"/>
    <cellStyle name="Accent2 74" xfId="4409"/>
    <cellStyle name="Accent2 74 2" xfId="4410"/>
    <cellStyle name="Accent2 74 2 2" xfId="4411"/>
    <cellStyle name="Accent2 74 3" xfId="4412"/>
    <cellStyle name="Accent2 74 3 2" xfId="4413"/>
    <cellStyle name="Accent2 74 3 2 2" xfId="4414"/>
    <cellStyle name="Accent2 74 3 3" xfId="4415"/>
    <cellStyle name="Accent2 74 4" xfId="4416"/>
    <cellStyle name="Accent2 75" xfId="4417"/>
    <cellStyle name="Accent2 75 2" xfId="4418"/>
    <cellStyle name="Accent2 75 2 2" xfId="4419"/>
    <cellStyle name="Accent2 75 3" xfId="4420"/>
    <cellStyle name="Accent2 75 3 2" xfId="4421"/>
    <cellStyle name="Accent2 75 3 2 2" xfId="4422"/>
    <cellStyle name="Accent2 75 3 3" xfId="4423"/>
    <cellStyle name="Accent2 75 4" xfId="4424"/>
    <cellStyle name="Accent2 76" xfId="4425"/>
    <cellStyle name="Accent2 76 2" xfId="4426"/>
    <cellStyle name="Accent2 76 2 2" xfId="4427"/>
    <cellStyle name="Accent2 76 3" xfId="4428"/>
    <cellStyle name="Accent2 76 3 2" xfId="4429"/>
    <cellStyle name="Accent2 76 3 2 2" xfId="4430"/>
    <cellStyle name="Accent2 76 3 3" xfId="4431"/>
    <cellStyle name="Accent2 76 4" xfId="4432"/>
    <cellStyle name="Accent2 77" xfId="4433"/>
    <cellStyle name="Accent2 77 2" xfId="4434"/>
    <cellStyle name="Accent2 77 2 2" xfId="4435"/>
    <cellStyle name="Accent2 77 3" xfId="4436"/>
    <cellStyle name="Accent2 77 3 2" xfId="4437"/>
    <cellStyle name="Accent2 77 3 2 2" xfId="4438"/>
    <cellStyle name="Accent2 77 3 3" xfId="4439"/>
    <cellStyle name="Accent2 77 4" xfId="4440"/>
    <cellStyle name="Accent2 78" xfId="4441"/>
    <cellStyle name="Accent2 78 2" xfId="4442"/>
    <cellStyle name="Accent2 78 2 2" xfId="4443"/>
    <cellStyle name="Accent2 78 3" xfId="4444"/>
    <cellStyle name="Accent2 78 3 2" xfId="4445"/>
    <cellStyle name="Accent2 78 3 2 2" xfId="4446"/>
    <cellStyle name="Accent2 78 3 3" xfId="4447"/>
    <cellStyle name="Accent2 78 4" xfId="4448"/>
    <cellStyle name="Accent2 79" xfId="4449"/>
    <cellStyle name="Accent2 79 2" xfId="4450"/>
    <cellStyle name="Accent2 79 2 2" xfId="4451"/>
    <cellStyle name="Accent2 79 3" xfId="4452"/>
    <cellStyle name="Accent2 79 3 2" xfId="4453"/>
    <cellStyle name="Accent2 79 3 2 2" xfId="4454"/>
    <cellStyle name="Accent2 79 3 3" xfId="4455"/>
    <cellStyle name="Accent2 79 4" xfId="4456"/>
    <cellStyle name="Accent2 8" xfId="4457"/>
    <cellStyle name="Accent2 8 2" xfId="4458"/>
    <cellStyle name="Accent2 8 2 2" xfId="4459"/>
    <cellStyle name="Accent2 8 3" xfId="4460"/>
    <cellStyle name="Accent2 80" xfId="4461"/>
    <cellStyle name="Accent2 80 2" xfId="4462"/>
    <cellStyle name="Accent2 80 2 2" xfId="4463"/>
    <cellStyle name="Accent2 80 3" xfId="4464"/>
    <cellStyle name="Accent2 80 3 2" xfId="4465"/>
    <cellStyle name="Accent2 80 3 2 2" xfId="4466"/>
    <cellStyle name="Accent2 80 3 3" xfId="4467"/>
    <cellStyle name="Accent2 80 4" xfId="4468"/>
    <cellStyle name="Accent2 81" xfId="4469"/>
    <cellStyle name="Accent2 81 2" xfId="4470"/>
    <cellStyle name="Accent2 81 2 2" xfId="4471"/>
    <cellStyle name="Accent2 81 3" xfId="4472"/>
    <cellStyle name="Accent2 81 3 2" xfId="4473"/>
    <cellStyle name="Accent2 81 3 2 2" xfId="4474"/>
    <cellStyle name="Accent2 81 3 3" xfId="4475"/>
    <cellStyle name="Accent2 81 4" xfId="4476"/>
    <cellStyle name="Accent2 82" xfId="4477"/>
    <cellStyle name="Accent2 82 2" xfId="4478"/>
    <cellStyle name="Accent2 82 2 2" xfId="4479"/>
    <cellStyle name="Accent2 82 3" xfId="4480"/>
    <cellStyle name="Accent2 82 3 2" xfId="4481"/>
    <cellStyle name="Accent2 82 3 2 2" xfId="4482"/>
    <cellStyle name="Accent2 82 3 3" xfId="4483"/>
    <cellStyle name="Accent2 82 4" xfId="4484"/>
    <cellStyle name="Accent2 83" xfId="4485"/>
    <cellStyle name="Accent2 83 2" xfId="4486"/>
    <cellStyle name="Accent2 83 2 2" xfId="4487"/>
    <cellStyle name="Accent2 83 3" xfId="4488"/>
    <cellStyle name="Accent2 83 3 2" xfId="4489"/>
    <cellStyle name="Accent2 83 3 2 2" xfId="4490"/>
    <cellStyle name="Accent2 83 3 3" xfId="4491"/>
    <cellStyle name="Accent2 83 4" xfId="4492"/>
    <cellStyle name="Accent2 84" xfId="4493"/>
    <cellStyle name="Accent2 84 2" xfId="4494"/>
    <cellStyle name="Accent2 84 2 2" xfId="4495"/>
    <cellStyle name="Accent2 84 3" xfId="4496"/>
    <cellStyle name="Accent2 85" xfId="4497"/>
    <cellStyle name="Accent2 85 2" xfId="4498"/>
    <cellStyle name="Accent2 85 2 2" xfId="4499"/>
    <cellStyle name="Accent2 85 3" xfId="4500"/>
    <cellStyle name="Accent2 86" xfId="4501"/>
    <cellStyle name="Accent2 86 2" xfId="4502"/>
    <cellStyle name="Accent2 86 2 2" xfId="4503"/>
    <cellStyle name="Accent2 86 3" xfId="4504"/>
    <cellStyle name="Accent2 87" xfId="4505"/>
    <cellStyle name="Accent2 87 2" xfId="4506"/>
    <cellStyle name="Accent2 87 2 2" xfId="4507"/>
    <cellStyle name="Accent2 87 3" xfId="4508"/>
    <cellStyle name="Accent2 88" xfId="4509"/>
    <cellStyle name="Accent2 88 2" xfId="4510"/>
    <cellStyle name="Accent2 88 2 2" xfId="4511"/>
    <cellStyle name="Accent2 88 3" xfId="4512"/>
    <cellStyle name="Accent2 89" xfId="4513"/>
    <cellStyle name="Accent2 89 2" xfId="4514"/>
    <cellStyle name="Accent2 89 2 2" xfId="4515"/>
    <cellStyle name="Accent2 89 3" xfId="4516"/>
    <cellStyle name="Accent2 9" xfId="4517"/>
    <cellStyle name="Accent2 9 2" xfId="4518"/>
    <cellStyle name="Accent2 9 2 2" xfId="4519"/>
    <cellStyle name="Accent2 9 3" xfId="4520"/>
    <cellStyle name="Accent2 90" xfId="4521"/>
    <cellStyle name="Accent2 90 2" xfId="4522"/>
    <cellStyle name="Accent2 90 2 2" xfId="4523"/>
    <cellStyle name="Accent2 90 3" xfId="4524"/>
    <cellStyle name="Accent2 91" xfId="4525"/>
    <cellStyle name="Accent2 91 2" xfId="4526"/>
    <cellStyle name="Accent2 91 2 2" xfId="4527"/>
    <cellStyle name="Accent2 91 3" xfId="4528"/>
    <cellStyle name="Accent2 92" xfId="4529"/>
    <cellStyle name="Accent2 92 2" xfId="4530"/>
    <cellStyle name="Accent2 92 2 2" xfId="4531"/>
    <cellStyle name="Accent2 92 3" xfId="4532"/>
    <cellStyle name="Accent2 93" xfId="4533"/>
    <cellStyle name="Accent2 93 2" xfId="4534"/>
    <cellStyle name="Accent2 93 2 2" xfId="4535"/>
    <cellStyle name="Accent2 93 3" xfId="4536"/>
    <cellStyle name="Accent2 94" xfId="4537"/>
    <cellStyle name="Accent2 94 2" xfId="4538"/>
    <cellStyle name="Accent2 94 2 2" xfId="4539"/>
    <cellStyle name="Accent2 94 3" xfId="4540"/>
    <cellStyle name="Accent2 95" xfId="4541"/>
    <cellStyle name="Accent2 95 2" xfId="4542"/>
    <cellStyle name="Accent2 95 2 2" xfId="4543"/>
    <cellStyle name="Accent2 95 3" xfId="4544"/>
    <cellStyle name="Accent2 96" xfId="4545"/>
    <cellStyle name="Accent2 96 2" xfId="4546"/>
    <cellStyle name="Accent2 96 2 2" xfId="4547"/>
    <cellStyle name="Accent2 96 3" xfId="4548"/>
    <cellStyle name="Accent2 97" xfId="4549"/>
    <cellStyle name="Accent2 97 2" xfId="4550"/>
    <cellStyle name="Accent2 97 2 2" xfId="4551"/>
    <cellStyle name="Accent2 97 3" xfId="4552"/>
    <cellStyle name="Accent2 98" xfId="4553"/>
    <cellStyle name="Accent2 98 2" xfId="4554"/>
    <cellStyle name="Accent2 98 2 2" xfId="4555"/>
    <cellStyle name="Accent2 98 3" xfId="4556"/>
    <cellStyle name="Accent2 99" xfId="4557"/>
    <cellStyle name="Accent2 99 2" xfId="4558"/>
    <cellStyle name="Accent2 99 2 2" xfId="4559"/>
    <cellStyle name="Accent2 99 3" xfId="4560"/>
    <cellStyle name="Accent3 - 20%" xfId="7"/>
    <cellStyle name="Accent3 - 20% 10" xfId="4561"/>
    <cellStyle name="Accent3 - 20% 11" xfId="4562"/>
    <cellStyle name="Accent3 - 20% 2" xfId="4563"/>
    <cellStyle name="Accent3 - 20% 2 2" xfId="4564"/>
    <cellStyle name="Accent3 - 20% 2 2 2" xfId="4565"/>
    <cellStyle name="Accent3 - 20% 2 2 2 2" xfId="4566"/>
    <cellStyle name="Accent3 - 20% 2 2 3" xfId="4567"/>
    <cellStyle name="Accent3 - 20% 2 3" xfId="4568"/>
    <cellStyle name="Accent3 - 20% 2 3 2" xfId="4569"/>
    <cellStyle name="Accent3 - 20% 2 3 2 2" xfId="4570"/>
    <cellStyle name="Accent3 - 20% 2 3 2 2 2" xfId="4571"/>
    <cellStyle name="Accent3 - 20% 2 3 2 3" xfId="4572"/>
    <cellStyle name="Accent3 - 20% 2 3 3" xfId="4573"/>
    <cellStyle name="Accent3 - 20% 2 3 3 2" xfId="4574"/>
    <cellStyle name="Accent3 - 20% 2 3 4" xfId="4575"/>
    <cellStyle name="Accent3 - 20% 2 4" xfId="4576"/>
    <cellStyle name="Accent3 - 20% 2 4 2" xfId="4577"/>
    <cellStyle name="Accent3 - 20% 2 4 2 2" xfId="4578"/>
    <cellStyle name="Accent3 - 20% 2 4 2 2 2" xfId="4579"/>
    <cellStyle name="Accent3 - 20% 2 4 2 3" xfId="4580"/>
    <cellStyle name="Accent3 - 20% 2 4 3" xfId="4581"/>
    <cellStyle name="Accent3 - 20% 2 4 3 2" xfId="4582"/>
    <cellStyle name="Accent3 - 20% 2 4 4" xfId="4583"/>
    <cellStyle name="Accent3 - 20% 2 5" xfId="4584"/>
    <cellStyle name="Accent3 - 20% 2 5 2" xfId="4585"/>
    <cellStyle name="Accent3 - 20% 2 6" xfId="4586"/>
    <cellStyle name="Accent3 - 20% 2 6 2" xfId="4587"/>
    <cellStyle name="Accent3 - 20% 2 7" xfId="4588"/>
    <cellStyle name="Accent3 - 20% 3" xfId="4589"/>
    <cellStyle name="Accent3 - 20% 3 2" xfId="4590"/>
    <cellStyle name="Accent3 - 20% 3 2 2" xfId="4591"/>
    <cellStyle name="Accent3 - 20% 3 2 2 2" xfId="4592"/>
    <cellStyle name="Accent3 - 20% 3 2 3" xfId="4593"/>
    <cellStyle name="Accent3 - 20% 3 3" xfId="4594"/>
    <cellStyle name="Accent3 - 20% 3 3 2" xfId="4595"/>
    <cellStyle name="Accent3 - 20% 3 4" xfId="4596"/>
    <cellStyle name="Accent3 - 20% 4" xfId="4597"/>
    <cellStyle name="Accent3 - 20% 4 2" xfId="4598"/>
    <cellStyle name="Accent3 - 20% 4 2 2" xfId="4599"/>
    <cellStyle name="Accent3 - 20% 4 3" xfId="4600"/>
    <cellStyle name="Accent3 - 20% 5" xfId="4601"/>
    <cellStyle name="Accent3 - 20% 5 2" xfId="4602"/>
    <cellStyle name="Accent3 - 20% 5 2 2" xfId="4603"/>
    <cellStyle name="Accent3 - 20% 5 3" xfId="4604"/>
    <cellStyle name="Accent3 - 20% 6" xfId="4605"/>
    <cellStyle name="Accent3 - 20% 6 2" xfId="4606"/>
    <cellStyle name="Accent3 - 20% 7" xfId="4607"/>
    <cellStyle name="Accent3 - 20% 7 2" xfId="4608"/>
    <cellStyle name="Accent3 - 20% 8" xfId="4609"/>
    <cellStyle name="Accent3 - 20% 8 2" xfId="4610"/>
    <cellStyle name="Accent3 - 20% 9" xfId="4611"/>
    <cellStyle name="Accent3 - 20% 9 2" xfId="4612"/>
    <cellStyle name="Accent3 - 40%" xfId="8"/>
    <cellStyle name="Accent3 - 40% 10" xfId="4613"/>
    <cellStyle name="Accent3 - 40% 11" xfId="4614"/>
    <cellStyle name="Accent3 - 40% 2" xfId="4615"/>
    <cellStyle name="Accent3 - 40% 2 2" xfId="4616"/>
    <cellStyle name="Accent3 - 40% 2 2 2" xfId="4617"/>
    <cellStyle name="Accent3 - 40% 2 2 2 2" xfId="4618"/>
    <cellStyle name="Accent3 - 40% 2 2 3" xfId="4619"/>
    <cellStyle name="Accent3 - 40% 2 3" xfId="4620"/>
    <cellStyle name="Accent3 - 40% 2 3 2" xfId="4621"/>
    <cellStyle name="Accent3 - 40% 2 3 2 2" xfId="4622"/>
    <cellStyle name="Accent3 - 40% 2 3 2 2 2" xfId="4623"/>
    <cellStyle name="Accent3 - 40% 2 3 2 3" xfId="4624"/>
    <cellStyle name="Accent3 - 40% 2 3 3" xfId="4625"/>
    <cellStyle name="Accent3 - 40% 2 3 3 2" xfId="4626"/>
    <cellStyle name="Accent3 - 40% 2 3 4" xfId="4627"/>
    <cellStyle name="Accent3 - 40% 2 4" xfId="4628"/>
    <cellStyle name="Accent3 - 40% 2 4 2" xfId="4629"/>
    <cellStyle name="Accent3 - 40% 2 4 2 2" xfId="4630"/>
    <cellStyle name="Accent3 - 40% 2 4 2 2 2" xfId="4631"/>
    <cellStyle name="Accent3 - 40% 2 4 2 3" xfId="4632"/>
    <cellStyle name="Accent3 - 40% 2 4 3" xfId="4633"/>
    <cellStyle name="Accent3 - 40% 2 4 3 2" xfId="4634"/>
    <cellStyle name="Accent3 - 40% 2 4 4" xfId="4635"/>
    <cellStyle name="Accent3 - 40% 2 5" xfId="4636"/>
    <cellStyle name="Accent3 - 40% 2 5 2" xfId="4637"/>
    <cellStyle name="Accent3 - 40% 2 6" xfId="4638"/>
    <cellStyle name="Accent3 - 40% 2 6 2" xfId="4639"/>
    <cellStyle name="Accent3 - 40% 2 7" xfId="4640"/>
    <cellStyle name="Accent3 - 40% 3" xfId="4641"/>
    <cellStyle name="Accent3 - 40% 3 2" xfId="4642"/>
    <cellStyle name="Accent3 - 40% 3 2 2" xfId="4643"/>
    <cellStyle name="Accent3 - 40% 3 2 2 2" xfId="4644"/>
    <cellStyle name="Accent3 - 40% 3 2 3" xfId="4645"/>
    <cellStyle name="Accent3 - 40% 3 3" xfId="4646"/>
    <cellStyle name="Accent3 - 40% 3 3 2" xfId="4647"/>
    <cellStyle name="Accent3 - 40% 3 4" xfId="4648"/>
    <cellStyle name="Accent3 - 40% 4" xfId="4649"/>
    <cellStyle name="Accent3 - 40% 4 2" xfId="4650"/>
    <cellStyle name="Accent3 - 40% 4 2 2" xfId="4651"/>
    <cellStyle name="Accent3 - 40% 4 3" xfId="4652"/>
    <cellStyle name="Accent3 - 40% 5" xfId="4653"/>
    <cellStyle name="Accent3 - 40% 5 2" xfId="4654"/>
    <cellStyle name="Accent3 - 40% 5 2 2" xfId="4655"/>
    <cellStyle name="Accent3 - 40% 5 3" xfId="4656"/>
    <cellStyle name="Accent3 - 40% 6" xfId="4657"/>
    <cellStyle name="Accent3 - 40% 6 2" xfId="4658"/>
    <cellStyle name="Accent3 - 40% 7" xfId="4659"/>
    <cellStyle name="Accent3 - 40% 7 2" xfId="4660"/>
    <cellStyle name="Accent3 - 40% 8" xfId="4661"/>
    <cellStyle name="Accent3 - 40% 8 2" xfId="4662"/>
    <cellStyle name="Accent3 - 40% 9" xfId="4663"/>
    <cellStyle name="Accent3 - 40% 9 2" xfId="4664"/>
    <cellStyle name="Accent3 - 60%" xfId="9"/>
    <cellStyle name="Accent3 - 60% 10" xfId="4665"/>
    <cellStyle name="Accent3 - 60% 2" xfId="4666"/>
    <cellStyle name="Accent3 - 60% 2 2" xfId="4667"/>
    <cellStyle name="Accent3 - 60% 2 2 2" xfId="4668"/>
    <cellStyle name="Accent3 - 60% 2 3" xfId="4669"/>
    <cellStyle name="Accent3 - 60% 2 3 2" xfId="4670"/>
    <cellStyle name="Accent3 - 60% 2 3 2 2" xfId="4671"/>
    <cellStyle name="Accent3 - 60% 2 3 3" xfId="4672"/>
    <cellStyle name="Accent3 - 60% 2 4" xfId="4673"/>
    <cellStyle name="Accent3 - 60% 2 4 2" xfId="4674"/>
    <cellStyle name="Accent3 - 60% 2 4 2 2" xfId="4675"/>
    <cellStyle name="Accent3 - 60% 2 4 3" xfId="4676"/>
    <cellStyle name="Accent3 - 60% 2 5" xfId="4677"/>
    <cellStyle name="Accent3 - 60% 3" xfId="4678"/>
    <cellStyle name="Accent3 - 60% 3 2" xfId="4679"/>
    <cellStyle name="Accent3 - 60% 3 2 2" xfId="4680"/>
    <cellStyle name="Accent3 - 60% 3 3" xfId="4681"/>
    <cellStyle name="Accent3 - 60% 4" xfId="4682"/>
    <cellStyle name="Accent3 - 60% 4 2" xfId="4683"/>
    <cellStyle name="Accent3 - 60% 5" xfId="4684"/>
    <cellStyle name="Accent3 - 60% 5 2" xfId="4685"/>
    <cellStyle name="Accent3 - 60% 6" xfId="4686"/>
    <cellStyle name="Accent3 - 60% 6 2" xfId="4687"/>
    <cellStyle name="Accent3 - 60% 6 2 2" xfId="4688"/>
    <cellStyle name="Accent3 - 60% 6 3" xfId="4689"/>
    <cellStyle name="Accent3 - 60% 7" xfId="4690"/>
    <cellStyle name="Accent3 - 60% 7 2" xfId="4691"/>
    <cellStyle name="Accent3 - 60% 8" xfId="4692"/>
    <cellStyle name="Accent3 - 60% 8 2" xfId="4693"/>
    <cellStyle name="Accent3 - 60% 9" xfId="4694"/>
    <cellStyle name="Accent3 10" xfId="4695"/>
    <cellStyle name="Accent3 10 2" xfId="4696"/>
    <cellStyle name="Accent3 10 2 2" xfId="4697"/>
    <cellStyle name="Accent3 10 3" xfId="4698"/>
    <cellStyle name="Accent3 100" xfId="4699"/>
    <cellStyle name="Accent3 100 2" xfId="4700"/>
    <cellStyle name="Accent3 100 2 2" xfId="4701"/>
    <cellStyle name="Accent3 100 3" xfId="4702"/>
    <cellStyle name="Accent3 101" xfId="4703"/>
    <cellStyle name="Accent3 101 2" xfId="4704"/>
    <cellStyle name="Accent3 101 2 2" xfId="4705"/>
    <cellStyle name="Accent3 101 3" xfId="4706"/>
    <cellStyle name="Accent3 102" xfId="4707"/>
    <cellStyle name="Accent3 102 2" xfId="4708"/>
    <cellStyle name="Accent3 103" xfId="4709"/>
    <cellStyle name="Accent3 103 2" xfId="4710"/>
    <cellStyle name="Accent3 104" xfId="4711"/>
    <cellStyle name="Accent3 104 2" xfId="4712"/>
    <cellStyle name="Accent3 104 2 2" xfId="4713"/>
    <cellStyle name="Accent3 104 3" xfId="4714"/>
    <cellStyle name="Accent3 105" xfId="4715"/>
    <cellStyle name="Accent3 105 2" xfId="4716"/>
    <cellStyle name="Accent3 105 2 2" xfId="4717"/>
    <cellStyle name="Accent3 105 3" xfId="4718"/>
    <cellStyle name="Accent3 106" xfId="4719"/>
    <cellStyle name="Accent3 106 2" xfId="4720"/>
    <cellStyle name="Accent3 106 2 2" xfId="4721"/>
    <cellStyle name="Accent3 106 3" xfId="4722"/>
    <cellStyle name="Accent3 107" xfId="4723"/>
    <cellStyle name="Accent3 107 2" xfId="4724"/>
    <cellStyle name="Accent3 107 2 2" xfId="4725"/>
    <cellStyle name="Accent3 107 3" xfId="4726"/>
    <cellStyle name="Accent3 108" xfId="4727"/>
    <cellStyle name="Accent3 108 2" xfId="4728"/>
    <cellStyle name="Accent3 108 2 2" xfId="4729"/>
    <cellStyle name="Accent3 108 3" xfId="4730"/>
    <cellStyle name="Accent3 109" xfId="4731"/>
    <cellStyle name="Accent3 109 2" xfId="4732"/>
    <cellStyle name="Accent3 109 2 2" xfId="4733"/>
    <cellStyle name="Accent3 109 3" xfId="4734"/>
    <cellStyle name="Accent3 11" xfId="4735"/>
    <cellStyle name="Accent3 11 2" xfId="4736"/>
    <cellStyle name="Accent3 11 2 2" xfId="4737"/>
    <cellStyle name="Accent3 11 3" xfId="4738"/>
    <cellStyle name="Accent3 110" xfId="4739"/>
    <cellStyle name="Accent3 110 2" xfId="4740"/>
    <cellStyle name="Accent3 110 2 2" xfId="4741"/>
    <cellStyle name="Accent3 110 3" xfId="4742"/>
    <cellStyle name="Accent3 111" xfId="4743"/>
    <cellStyle name="Accent3 111 2" xfId="4744"/>
    <cellStyle name="Accent3 111 2 2" xfId="4745"/>
    <cellStyle name="Accent3 111 3" xfId="4746"/>
    <cellStyle name="Accent3 112" xfId="4747"/>
    <cellStyle name="Accent3 112 2" xfId="4748"/>
    <cellStyle name="Accent3 112 2 2" xfId="4749"/>
    <cellStyle name="Accent3 112 3" xfId="4750"/>
    <cellStyle name="Accent3 113" xfId="4751"/>
    <cellStyle name="Accent3 113 2" xfId="4752"/>
    <cellStyle name="Accent3 113 2 2" xfId="4753"/>
    <cellStyle name="Accent3 113 3" xfId="4754"/>
    <cellStyle name="Accent3 114" xfId="4755"/>
    <cellStyle name="Accent3 114 2" xfId="4756"/>
    <cellStyle name="Accent3 115" xfId="4757"/>
    <cellStyle name="Accent3 115 2" xfId="4758"/>
    <cellStyle name="Accent3 116" xfId="4759"/>
    <cellStyle name="Accent3 116 2" xfId="4760"/>
    <cellStyle name="Accent3 117" xfId="4761"/>
    <cellStyle name="Accent3 117 2" xfId="4762"/>
    <cellStyle name="Accent3 118" xfId="4763"/>
    <cellStyle name="Accent3 118 2" xfId="4764"/>
    <cellStyle name="Accent3 119" xfId="4765"/>
    <cellStyle name="Accent3 119 2" xfId="4766"/>
    <cellStyle name="Accent3 12" xfId="4767"/>
    <cellStyle name="Accent3 12 2" xfId="4768"/>
    <cellStyle name="Accent3 12 2 2" xfId="4769"/>
    <cellStyle name="Accent3 12 3" xfId="4770"/>
    <cellStyle name="Accent3 120" xfId="4771"/>
    <cellStyle name="Accent3 120 2" xfId="4772"/>
    <cellStyle name="Accent3 121" xfId="4773"/>
    <cellStyle name="Accent3 121 2" xfId="4774"/>
    <cellStyle name="Accent3 122" xfId="4775"/>
    <cellStyle name="Accent3 122 2" xfId="4776"/>
    <cellStyle name="Accent3 123" xfId="4777"/>
    <cellStyle name="Accent3 123 2" xfId="4778"/>
    <cellStyle name="Accent3 124" xfId="4779"/>
    <cellStyle name="Accent3 124 2" xfId="4780"/>
    <cellStyle name="Accent3 125" xfId="4781"/>
    <cellStyle name="Accent3 125 2" xfId="4782"/>
    <cellStyle name="Accent3 126" xfId="4783"/>
    <cellStyle name="Accent3 127" xfId="4784"/>
    <cellStyle name="Accent3 128" xfId="4785"/>
    <cellStyle name="Accent3 129" xfId="4786"/>
    <cellStyle name="Accent3 13" xfId="4787"/>
    <cellStyle name="Accent3 13 2" xfId="4788"/>
    <cellStyle name="Accent3 13 2 2" xfId="4789"/>
    <cellStyle name="Accent3 13 3" xfId="4790"/>
    <cellStyle name="Accent3 130" xfId="4791"/>
    <cellStyle name="Accent3 131" xfId="4792"/>
    <cellStyle name="Accent3 132" xfId="4793"/>
    <cellStyle name="Accent3 133" xfId="4794"/>
    <cellStyle name="Accent3 134" xfId="4795"/>
    <cellStyle name="Accent3 135" xfId="4796"/>
    <cellStyle name="Accent3 136" xfId="4797"/>
    <cellStyle name="Accent3 137" xfId="4798"/>
    <cellStyle name="Accent3 138" xfId="4799"/>
    <cellStyle name="Accent3 139" xfId="4800"/>
    <cellStyle name="Accent3 14" xfId="4801"/>
    <cellStyle name="Accent3 14 2" xfId="4802"/>
    <cellStyle name="Accent3 14 2 2" xfId="4803"/>
    <cellStyle name="Accent3 14 3" xfId="4804"/>
    <cellStyle name="Accent3 140" xfId="4805"/>
    <cellStyle name="Accent3 141" xfId="4806"/>
    <cellStyle name="Accent3 142" xfId="4807"/>
    <cellStyle name="Accent3 143" xfId="4808"/>
    <cellStyle name="Accent3 144" xfId="4809"/>
    <cellStyle name="Accent3 145" xfId="4810"/>
    <cellStyle name="Accent3 146" xfId="4811"/>
    <cellStyle name="Accent3 147" xfId="4812"/>
    <cellStyle name="Accent3 148" xfId="4813"/>
    <cellStyle name="Accent3 149" xfId="4814"/>
    <cellStyle name="Accent3 15" xfId="4815"/>
    <cellStyle name="Accent3 15 2" xfId="4816"/>
    <cellStyle name="Accent3 15 2 2" xfId="4817"/>
    <cellStyle name="Accent3 15 3" xfId="4818"/>
    <cellStyle name="Accent3 150" xfId="4819"/>
    <cellStyle name="Accent3 151" xfId="4820"/>
    <cellStyle name="Accent3 152" xfId="4821"/>
    <cellStyle name="Accent3 153" xfId="4822"/>
    <cellStyle name="Accent3 154" xfId="4823"/>
    <cellStyle name="Accent3 155" xfId="4824"/>
    <cellStyle name="Accent3 156" xfId="4825"/>
    <cellStyle name="Accent3 157" xfId="4826"/>
    <cellStyle name="Accent3 158" xfId="4827"/>
    <cellStyle name="Accent3 159" xfId="4828"/>
    <cellStyle name="Accent3 16" xfId="4829"/>
    <cellStyle name="Accent3 16 2" xfId="4830"/>
    <cellStyle name="Accent3 16 2 2" xfId="4831"/>
    <cellStyle name="Accent3 16 3" xfId="4832"/>
    <cellStyle name="Accent3 160" xfId="4833"/>
    <cellStyle name="Accent3 161" xfId="4834"/>
    <cellStyle name="Accent3 162" xfId="4835"/>
    <cellStyle name="Accent3 163" xfId="4836"/>
    <cellStyle name="Accent3 164" xfId="4837"/>
    <cellStyle name="Accent3 165" xfId="4838"/>
    <cellStyle name="Accent3 166" xfId="4839"/>
    <cellStyle name="Accent3 167" xfId="4840"/>
    <cellStyle name="Accent3 168" xfId="4841"/>
    <cellStyle name="Accent3 169" xfId="4842"/>
    <cellStyle name="Accent3 17" xfId="4843"/>
    <cellStyle name="Accent3 17 2" xfId="4844"/>
    <cellStyle name="Accent3 17 2 2" xfId="4845"/>
    <cellStyle name="Accent3 17 3" xfId="4846"/>
    <cellStyle name="Accent3 170" xfId="4847"/>
    <cellStyle name="Accent3 171" xfId="4848"/>
    <cellStyle name="Accent3 172" xfId="4849"/>
    <cellStyle name="Accent3 173" xfId="4850"/>
    <cellStyle name="Accent3 174" xfId="4851"/>
    <cellStyle name="Accent3 175" xfId="4852"/>
    <cellStyle name="Accent3 176" xfId="4853"/>
    <cellStyle name="Accent3 177" xfId="4854"/>
    <cellStyle name="Accent3 178" xfId="4855"/>
    <cellStyle name="Accent3 179" xfId="4856"/>
    <cellStyle name="Accent3 18" xfId="4857"/>
    <cellStyle name="Accent3 18 2" xfId="4858"/>
    <cellStyle name="Accent3 18 2 2" xfId="4859"/>
    <cellStyle name="Accent3 18 3" xfId="4860"/>
    <cellStyle name="Accent3 19" xfId="4861"/>
    <cellStyle name="Accent3 19 2" xfId="4862"/>
    <cellStyle name="Accent3 19 2 2" xfId="4863"/>
    <cellStyle name="Accent3 19 3" xfId="4864"/>
    <cellStyle name="Accent3 2" xfId="4865"/>
    <cellStyle name="Accent3 2 10" xfId="4866"/>
    <cellStyle name="Accent3 2 10 2" xfId="4867"/>
    <cellStyle name="Accent3 2 11" xfId="4868"/>
    <cellStyle name="Accent3 2 12" xfId="4869"/>
    <cellStyle name="Accent3 2 2" xfId="4870"/>
    <cellStyle name="Accent3 2 2 2" xfId="4871"/>
    <cellStyle name="Accent3 2 2 2 2" xfId="4872"/>
    <cellStyle name="Accent3 2 2 3" xfId="4873"/>
    <cellStyle name="Accent3 2 2 3 2" xfId="4874"/>
    <cellStyle name="Accent3 2 2 3 2 2" xfId="4875"/>
    <cellStyle name="Accent3 2 2 3 3" xfId="4876"/>
    <cellStyle name="Accent3 2 2 4" xfId="4877"/>
    <cellStyle name="Accent3 2 3" xfId="4878"/>
    <cellStyle name="Accent3 2 3 2" xfId="4879"/>
    <cellStyle name="Accent3 2 3 2 2" xfId="4880"/>
    <cellStyle name="Accent3 2 3 3" xfId="4881"/>
    <cellStyle name="Accent3 2 3 3 2" xfId="4882"/>
    <cellStyle name="Accent3 2 3 3 2 2" xfId="4883"/>
    <cellStyle name="Accent3 2 3 3 3" xfId="4884"/>
    <cellStyle name="Accent3 2 3 4" xfId="4885"/>
    <cellStyle name="Accent3 2 4" xfId="4886"/>
    <cellStyle name="Accent3 2 4 2" xfId="4887"/>
    <cellStyle name="Accent3 2 4 2 2" xfId="4888"/>
    <cellStyle name="Accent3 2 4 3" xfId="4889"/>
    <cellStyle name="Accent3 2 5" xfId="4890"/>
    <cellStyle name="Accent3 2 5 2" xfId="4891"/>
    <cellStyle name="Accent3 2 5 2 2" xfId="4892"/>
    <cellStyle name="Accent3 2 5 3" xfId="4893"/>
    <cellStyle name="Accent3 2 5 3 2" xfId="4894"/>
    <cellStyle name="Accent3 2 5 3 2 2" xfId="4895"/>
    <cellStyle name="Accent3 2 5 3 3" xfId="4896"/>
    <cellStyle name="Accent3 2 5 4" xfId="4897"/>
    <cellStyle name="Accent3 2 6" xfId="4898"/>
    <cellStyle name="Accent3 2 6 2" xfId="4899"/>
    <cellStyle name="Accent3 2 6 2 2" xfId="4900"/>
    <cellStyle name="Accent3 2 6 3" xfId="4901"/>
    <cellStyle name="Accent3 2 6 3 2" xfId="4902"/>
    <cellStyle name="Accent3 2 6 4" xfId="4903"/>
    <cellStyle name="Accent3 2 7" xfId="4904"/>
    <cellStyle name="Accent3 2 7 2" xfId="4905"/>
    <cellStyle name="Accent3 2 8" xfId="4906"/>
    <cellStyle name="Accent3 2 8 2" xfId="4907"/>
    <cellStyle name="Accent3 2 8 2 2" xfId="4908"/>
    <cellStyle name="Accent3 2 8 3" xfId="4909"/>
    <cellStyle name="Accent3 2 9" xfId="4910"/>
    <cellStyle name="Accent3 2 9 2" xfId="4911"/>
    <cellStyle name="Accent3 2 9 2 2" xfId="4912"/>
    <cellStyle name="Accent3 2 9 3" xfId="4913"/>
    <cellStyle name="Accent3 20" xfId="4914"/>
    <cellStyle name="Accent3 20 2" xfId="4915"/>
    <cellStyle name="Accent3 20 2 2" xfId="4916"/>
    <cellStyle name="Accent3 20 3" xfId="4917"/>
    <cellStyle name="Accent3 21" xfId="4918"/>
    <cellStyle name="Accent3 21 2" xfId="4919"/>
    <cellStyle name="Accent3 21 2 2" xfId="4920"/>
    <cellStyle name="Accent3 21 3" xfId="4921"/>
    <cellStyle name="Accent3 22" xfId="4922"/>
    <cellStyle name="Accent3 22 2" xfId="4923"/>
    <cellStyle name="Accent3 22 2 2" xfId="4924"/>
    <cellStyle name="Accent3 22 3" xfId="4925"/>
    <cellStyle name="Accent3 23" xfId="4926"/>
    <cellStyle name="Accent3 23 2" xfId="4927"/>
    <cellStyle name="Accent3 23 2 2" xfId="4928"/>
    <cellStyle name="Accent3 23 3" xfId="4929"/>
    <cellStyle name="Accent3 24" xfId="4930"/>
    <cellStyle name="Accent3 24 2" xfId="4931"/>
    <cellStyle name="Accent3 24 2 2" xfId="4932"/>
    <cellStyle name="Accent3 24 3" xfId="4933"/>
    <cellStyle name="Accent3 25" xfId="4934"/>
    <cellStyle name="Accent3 25 2" xfId="4935"/>
    <cellStyle name="Accent3 25 2 2" xfId="4936"/>
    <cellStyle name="Accent3 25 3" xfId="4937"/>
    <cellStyle name="Accent3 26" xfId="4938"/>
    <cellStyle name="Accent3 26 2" xfId="4939"/>
    <cellStyle name="Accent3 26 2 2" xfId="4940"/>
    <cellStyle name="Accent3 26 3" xfId="4941"/>
    <cellStyle name="Accent3 27" xfId="4942"/>
    <cellStyle name="Accent3 27 2" xfId="4943"/>
    <cellStyle name="Accent3 27 2 2" xfId="4944"/>
    <cellStyle name="Accent3 27 3" xfId="4945"/>
    <cellStyle name="Accent3 28" xfId="4946"/>
    <cellStyle name="Accent3 28 2" xfId="4947"/>
    <cellStyle name="Accent3 28 2 2" xfId="4948"/>
    <cellStyle name="Accent3 28 3" xfId="4949"/>
    <cellStyle name="Accent3 29" xfId="4950"/>
    <cellStyle name="Accent3 29 2" xfId="4951"/>
    <cellStyle name="Accent3 29 2 2" xfId="4952"/>
    <cellStyle name="Accent3 29 3" xfId="4953"/>
    <cellStyle name="Accent3 3" xfId="4954"/>
    <cellStyle name="Accent3 3 10" xfId="4955"/>
    <cellStyle name="Accent3 3 10 2" xfId="4956"/>
    <cellStyle name="Accent3 3 10 2 2" xfId="4957"/>
    <cellStyle name="Accent3 3 10 3" xfId="4958"/>
    <cellStyle name="Accent3 3 11" xfId="4959"/>
    <cellStyle name="Accent3 3 11 2" xfId="4960"/>
    <cellStyle name="Accent3 3 12" xfId="4961"/>
    <cellStyle name="Accent3 3 2" xfId="4962"/>
    <cellStyle name="Accent3 3 2 2" xfId="4963"/>
    <cellStyle name="Accent3 3 2 2 2" xfId="4964"/>
    <cellStyle name="Accent3 3 2 3" xfId="4965"/>
    <cellStyle name="Accent3 3 2 3 2" xfId="4966"/>
    <cellStyle name="Accent3 3 2 3 2 2" xfId="4967"/>
    <cellStyle name="Accent3 3 2 3 3" xfId="4968"/>
    <cellStyle name="Accent3 3 2 4" xfId="4969"/>
    <cellStyle name="Accent3 3 3" xfId="4970"/>
    <cellStyle name="Accent3 3 3 2" xfId="4971"/>
    <cellStyle name="Accent3 3 3 2 2" xfId="4972"/>
    <cellStyle name="Accent3 3 3 3" xfId="4973"/>
    <cellStyle name="Accent3 3 3 3 2" xfId="4974"/>
    <cellStyle name="Accent3 3 3 3 2 2" xfId="4975"/>
    <cellStyle name="Accent3 3 3 3 3" xfId="4976"/>
    <cellStyle name="Accent3 3 3 4" xfId="4977"/>
    <cellStyle name="Accent3 3 4" xfId="4978"/>
    <cellStyle name="Accent3 3 4 2" xfId="4979"/>
    <cellStyle name="Accent3 3 4 2 2" xfId="4980"/>
    <cellStyle name="Accent3 3 4 3" xfId="4981"/>
    <cellStyle name="Accent3 3 5" xfId="4982"/>
    <cellStyle name="Accent3 3 5 2" xfId="4983"/>
    <cellStyle name="Accent3 3 5 2 2" xfId="4984"/>
    <cellStyle name="Accent3 3 5 3" xfId="4985"/>
    <cellStyle name="Accent3 3 5 3 2" xfId="4986"/>
    <cellStyle name="Accent3 3 5 3 2 2" xfId="4987"/>
    <cellStyle name="Accent3 3 5 3 3" xfId="4988"/>
    <cellStyle name="Accent3 3 5 4" xfId="4989"/>
    <cellStyle name="Accent3 3 6" xfId="4990"/>
    <cellStyle name="Accent3 3 6 2" xfId="4991"/>
    <cellStyle name="Accent3 3 7" xfId="4992"/>
    <cellStyle name="Accent3 3 7 2" xfId="4993"/>
    <cellStyle name="Accent3 3 8" xfId="4994"/>
    <cellStyle name="Accent3 3 8 2" xfId="4995"/>
    <cellStyle name="Accent3 3 8 2 2" xfId="4996"/>
    <cellStyle name="Accent3 3 8 3" xfId="4997"/>
    <cellStyle name="Accent3 3 9" xfId="4998"/>
    <cellStyle name="Accent3 3 9 2" xfId="4999"/>
    <cellStyle name="Accent3 3 9 2 2" xfId="5000"/>
    <cellStyle name="Accent3 3 9 3" xfId="5001"/>
    <cellStyle name="Accent3 30" xfId="5002"/>
    <cellStyle name="Accent3 30 2" xfId="5003"/>
    <cellStyle name="Accent3 30 2 2" xfId="5004"/>
    <cellStyle name="Accent3 30 3" xfId="5005"/>
    <cellStyle name="Accent3 31" xfId="5006"/>
    <cellStyle name="Accent3 31 2" xfId="5007"/>
    <cellStyle name="Accent3 31 2 2" xfId="5008"/>
    <cellStyle name="Accent3 31 3" xfId="5009"/>
    <cellStyle name="Accent3 32" xfId="5010"/>
    <cellStyle name="Accent3 32 2" xfId="5011"/>
    <cellStyle name="Accent3 32 2 2" xfId="5012"/>
    <cellStyle name="Accent3 32 3" xfId="5013"/>
    <cellStyle name="Accent3 33" xfId="5014"/>
    <cellStyle name="Accent3 33 2" xfId="5015"/>
    <cellStyle name="Accent3 33 2 2" xfId="5016"/>
    <cellStyle name="Accent3 33 3" xfId="5017"/>
    <cellStyle name="Accent3 34" xfId="5018"/>
    <cellStyle name="Accent3 34 2" xfId="5019"/>
    <cellStyle name="Accent3 34 2 2" xfId="5020"/>
    <cellStyle name="Accent3 34 3" xfId="5021"/>
    <cellStyle name="Accent3 35" xfId="5022"/>
    <cellStyle name="Accent3 35 2" xfId="5023"/>
    <cellStyle name="Accent3 35 2 2" xfId="5024"/>
    <cellStyle name="Accent3 35 3" xfId="5025"/>
    <cellStyle name="Accent3 36" xfId="5026"/>
    <cellStyle name="Accent3 36 2" xfId="5027"/>
    <cellStyle name="Accent3 36 2 2" xfId="5028"/>
    <cellStyle name="Accent3 36 3" xfId="5029"/>
    <cellStyle name="Accent3 37" xfId="5030"/>
    <cellStyle name="Accent3 37 2" xfId="5031"/>
    <cellStyle name="Accent3 37 2 2" xfId="5032"/>
    <cellStyle name="Accent3 37 3" xfId="5033"/>
    <cellStyle name="Accent3 38" xfId="5034"/>
    <cellStyle name="Accent3 38 2" xfId="5035"/>
    <cellStyle name="Accent3 38 2 2" xfId="5036"/>
    <cellStyle name="Accent3 38 3" xfId="5037"/>
    <cellStyle name="Accent3 39" xfId="5038"/>
    <cellStyle name="Accent3 39 2" xfId="5039"/>
    <cellStyle name="Accent3 39 2 2" xfId="5040"/>
    <cellStyle name="Accent3 39 3" xfId="5041"/>
    <cellStyle name="Accent3 4" xfId="5042"/>
    <cellStyle name="Accent3 4 2" xfId="5043"/>
    <cellStyle name="Accent3 4 2 2" xfId="5044"/>
    <cellStyle name="Accent3 4 2 2 2" xfId="5045"/>
    <cellStyle name="Accent3 4 2 3" xfId="5046"/>
    <cellStyle name="Accent3 4 2 3 2" xfId="5047"/>
    <cellStyle name="Accent3 4 2 3 2 2" xfId="5048"/>
    <cellStyle name="Accent3 4 2 3 3" xfId="5049"/>
    <cellStyle name="Accent3 4 2 4" xfId="5050"/>
    <cellStyle name="Accent3 4 3" xfId="5051"/>
    <cellStyle name="Accent3 4 3 2" xfId="5052"/>
    <cellStyle name="Accent3 4 3 2 2" xfId="5053"/>
    <cellStyle name="Accent3 4 3 3" xfId="5054"/>
    <cellStyle name="Accent3 4 3 3 2" xfId="5055"/>
    <cellStyle name="Accent3 4 3 3 2 2" xfId="5056"/>
    <cellStyle name="Accent3 4 3 3 3" xfId="5057"/>
    <cellStyle name="Accent3 4 3 4" xfId="5058"/>
    <cellStyle name="Accent3 4 4" xfId="5059"/>
    <cellStyle name="Accent3 4 4 2" xfId="5060"/>
    <cellStyle name="Accent3 4 4 2 2" xfId="5061"/>
    <cellStyle name="Accent3 4 4 3" xfId="5062"/>
    <cellStyle name="Accent3 4 5" xfId="5063"/>
    <cellStyle name="Accent3 4 5 2" xfId="5064"/>
    <cellStyle name="Accent3 4 6" xfId="5065"/>
    <cellStyle name="Accent3 4 6 2" xfId="5066"/>
    <cellStyle name="Accent3 4 6 2 2" xfId="5067"/>
    <cellStyle name="Accent3 4 6 3" xfId="5068"/>
    <cellStyle name="Accent3 4 7" xfId="5069"/>
    <cellStyle name="Accent3 4 7 2" xfId="5070"/>
    <cellStyle name="Accent3 4 7 2 2" xfId="5071"/>
    <cellStyle name="Accent3 4 7 3" xfId="5072"/>
    <cellStyle name="Accent3 4 8" xfId="5073"/>
    <cellStyle name="Accent3 40" xfId="5074"/>
    <cellStyle name="Accent3 40 2" xfId="5075"/>
    <cellStyle name="Accent3 40 2 2" xfId="5076"/>
    <cellStyle name="Accent3 40 3" xfId="5077"/>
    <cellStyle name="Accent3 41" xfId="5078"/>
    <cellStyle name="Accent3 41 2" xfId="5079"/>
    <cellStyle name="Accent3 41 2 2" xfId="5080"/>
    <cellStyle name="Accent3 41 3" xfId="5081"/>
    <cellStyle name="Accent3 42" xfId="5082"/>
    <cellStyle name="Accent3 42 2" xfId="5083"/>
    <cellStyle name="Accent3 42 2 2" xfId="5084"/>
    <cellStyle name="Accent3 42 3" xfId="5085"/>
    <cellStyle name="Accent3 43" xfId="5086"/>
    <cellStyle name="Accent3 43 2" xfId="5087"/>
    <cellStyle name="Accent3 43 2 2" xfId="5088"/>
    <cellStyle name="Accent3 43 3" xfId="5089"/>
    <cellStyle name="Accent3 44" xfId="5090"/>
    <cellStyle name="Accent3 44 2" xfId="5091"/>
    <cellStyle name="Accent3 44 2 2" xfId="5092"/>
    <cellStyle name="Accent3 44 3" xfId="5093"/>
    <cellStyle name="Accent3 45" xfId="5094"/>
    <cellStyle name="Accent3 45 2" xfId="5095"/>
    <cellStyle name="Accent3 45 2 2" xfId="5096"/>
    <cellStyle name="Accent3 45 3" xfId="5097"/>
    <cellStyle name="Accent3 46" xfId="5098"/>
    <cellStyle name="Accent3 46 2" xfId="5099"/>
    <cellStyle name="Accent3 46 2 2" xfId="5100"/>
    <cellStyle name="Accent3 46 3" xfId="5101"/>
    <cellStyle name="Accent3 47" xfId="5102"/>
    <cellStyle name="Accent3 47 2" xfId="5103"/>
    <cellStyle name="Accent3 47 2 2" xfId="5104"/>
    <cellStyle name="Accent3 47 3" xfId="5105"/>
    <cellStyle name="Accent3 48" xfId="5106"/>
    <cellStyle name="Accent3 48 2" xfId="5107"/>
    <cellStyle name="Accent3 48 2 2" xfId="5108"/>
    <cellStyle name="Accent3 48 3" xfId="5109"/>
    <cellStyle name="Accent3 48 3 2" xfId="5110"/>
    <cellStyle name="Accent3 48 3 2 2" xfId="5111"/>
    <cellStyle name="Accent3 48 3 3" xfId="5112"/>
    <cellStyle name="Accent3 48 4" xfId="5113"/>
    <cellStyle name="Accent3 49" xfId="5114"/>
    <cellStyle name="Accent3 49 2" xfId="5115"/>
    <cellStyle name="Accent3 49 2 2" xfId="5116"/>
    <cellStyle name="Accent3 49 3" xfId="5117"/>
    <cellStyle name="Accent3 49 3 2" xfId="5118"/>
    <cellStyle name="Accent3 49 3 2 2" xfId="5119"/>
    <cellStyle name="Accent3 49 3 3" xfId="5120"/>
    <cellStyle name="Accent3 49 4" xfId="5121"/>
    <cellStyle name="Accent3 5" xfId="5122"/>
    <cellStyle name="Accent3 5 2" xfId="5123"/>
    <cellStyle name="Accent3 5 2 2" xfId="5124"/>
    <cellStyle name="Accent3 5 2 2 2" xfId="5125"/>
    <cellStyle name="Accent3 5 2 3" xfId="5126"/>
    <cellStyle name="Accent3 5 2 3 2" xfId="5127"/>
    <cellStyle name="Accent3 5 2 3 2 2" xfId="5128"/>
    <cellStyle name="Accent3 5 2 3 3" xfId="5129"/>
    <cellStyle name="Accent3 5 2 4" xfId="5130"/>
    <cellStyle name="Accent3 5 3" xfId="5131"/>
    <cellStyle name="Accent3 5 3 2" xfId="5132"/>
    <cellStyle name="Accent3 5 3 2 2" xfId="5133"/>
    <cellStyle name="Accent3 5 3 3" xfId="5134"/>
    <cellStyle name="Accent3 5 3 3 2" xfId="5135"/>
    <cellStyle name="Accent3 5 3 3 2 2" xfId="5136"/>
    <cellStyle name="Accent3 5 3 3 3" xfId="5137"/>
    <cellStyle name="Accent3 5 3 4" xfId="5138"/>
    <cellStyle name="Accent3 5 4" xfId="5139"/>
    <cellStyle name="Accent3 5 4 2" xfId="5140"/>
    <cellStyle name="Accent3 5 5" xfId="5141"/>
    <cellStyle name="Accent3 5 5 2" xfId="5142"/>
    <cellStyle name="Accent3 5 5 2 2" xfId="5143"/>
    <cellStyle name="Accent3 5 5 3" xfId="5144"/>
    <cellStyle name="Accent3 5 6" xfId="5145"/>
    <cellStyle name="Accent3 5 6 2" xfId="5146"/>
    <cellStyle name="Accent3 5 7" xfId="5147"/>
    <cellStyle name="Accent3 50" xfId="5148"/>
    <cellStyle name="Accent3 50 2" xfId="5149"/>
    <cellStyle name="Accent3 50 2 2" xfId="5150"/>
    <cellStyle name="Accent3 50 3" xfId="5151"/>
    <cellStyle name="Accent3 50 3 2" xfId="5152"/>
    <cellStyle name="Accent3 50 3 2 2" xfId="5153"/>
    <cellStyle name="Accent3 50 3 3" xfId="5154"/>
    <cellStyle name="Accent3 50 4" xfId="5155"/>
    <cellStyle name="Accent3 51" xfId="5156"/>
    <cellStyle name="Accent3 51 2" xfId="5157"/>
    <cellStyle name="Accent3 51 2 2" xfId="5158"/>
    <cellStyle name="Accent3 51 3" xfId="5159"/>
    <cellStyle name="Accent3 51 3 2" xfId="5160"/>
    <cellStyle name="Accent3 51 3 2 2" xfId="5161"/>
    <cellStyle name="Accent3 51 3 3" xfId="5162"/>
    <cellStyle name="Accent3 51 4" xfId="5163"/>
    <cellStyle name="Accent3 52" xfId="5164"/>
    <cellStyle name="Accent3 52 2" xfId="5165"/>
    <cellStyle name="Accent3 52 2 2" xfId="5166"/>
    <cellStyle name="Accent3 52 3" xfId="5167"/>
    <cellStyle name="Accent3 53" xfId="5168"/>
    <cellStyle name="Accent3 53 2" xfId="5169"/>
    <cellStyle name="Accent3 53 2 2" xfId="5170"/>
    <cellStyle name="Accent3 53 3" xfId="5171"/>
    <cellStyle name="Accent3 54" xfId="5172"/>
    <cellStyle name="Accent3 54 2" xfId="5173"/>
    <cellStyle name="Accent3 54 2 2" xfId="5174"/>
    <cellStyle name="Accent3 54 3" xfId="5175"/>
    <cellStyle name="Accent3 55" xfId="5176"/>
    <cellStyle name="Accent3 55 2" xfId="5177"/>
    <cellStyle name="Accent3 55 2 2" xfId="5178"/>
    <cellStyle name="Accent3 55 3" xfId="5179"/>
    <cellStyle name="Accent3 56" xfId="5180"/>
    <cellStyle name="Accent3 56 2" xfId="5181"/>
    <cellStyle name="Accent3 56 2 2" xfId="5182"/>
    <cellStyle name="Accent3 56 3" xfId="5183"/>
    <cellStyle name="Accent3 57" xfId="5184"/>
    <cellStyle name="Accent3 57 2" xfId="5185"/>
    <cellStyle name="Accent3 57 2 2" xfId="5186"/>
    <cellStyle name="Accent3 57 3" xfId="5187"/>
    <cellStyle name="Accent3 58" xfId="5188"/>
    <cellStyle name="Accent3 58 2" xfId="5189"/>
    <cellStyle name="Accent3 58 2 2" xfId="5190"/>
    <cellStyle name="Accent3 58 3" xfId="5191"/>
    <cellStyle name="Accent3 58 3 2" xfId="5192"/>
    <cellStyle name="Accent3 58 3 2 2" xfId="5193"/>
    <cellStyle name="Accent3 58 3 3" xfId="5194"/>
    <cellStyle name="Accent3 58 4" xfId="5195"/>
    <cellStyle name="Accent3 59" xfId="5196"/>
    <cellStyle name="Accent3 59 2" xfId="5197"/>
    <cellStyle name="Accent3 59 2 2" xfId="5198"/>
    <cellStyle name="Accent3 59 3" xfId="5199"/>
    <cellStyle name="Accent3 59 3 2" xfId="5200"/>
    <cellStyle name="Accent3 59 3 2 2" xfId="5201"/>
    <cellStyle name="Accent3 59 3 3" xfId="5202"/>
    <cellStyle name="Accent3 59 4" xfId="5203"/>
    <cellStyle name="Accent3 6" xfId="5204"/>
    <cellStyle name="Accent3 6 2" xfId="5205"/>
    <cellStyle name="Accent3 6 2 2" xfId="5206"/>
    <cellStyle name="Accent3 6 2 2 2" xfId="5207"/>
    <cellStyle name="Accent3 6 2 3" xfId="5208"/>
    <cellStyle name="Accent3 6 2 3 2" xfId="5209"/>
    <cellStyle name="Accent3 6 2 3 2 2" xfId="5210"/>
    <cellStyle name="Accent3 6 2 3 3" xfId="5211"/>
    <cellStyle name="Accent3 6 2 4" xfId="5212"/>
    <cellStyle name="Accent3 6 3" xfId="5213"/>
    <cellStyle name="Accent3 6 3 2" xfId="5214"/>
    <cellStyle name="Accent3 6 4" xfId="5215"/>
    <cellStyle name="Accent3 6 4 2" xfId="5216"/>
    <cellStyle name="Accent3 6 4 2 2" xfId="5217"/>
    <cellStyle name="Accent3 6 4 3" xfId="5218"/>
    <cellStyle name="Accent3 6 5" xfId="5219"/>
    <cellStyle name="Accent3 60" xfId="5220"/>
    <cellStyle name="Accent3 60 2" xfId="5221"/>
    <cellStyle name="Accent3 60 2 2" xfId="5222"/>
    <cellStyle name="Accent3 60 3" xfId="5223"/>
    <cellStyle name="Accent3 60 3 2" xfId="5224"/>
    <cellStyle name="Accent3 60 3 2 2" xfId="5225"/>
    <cellStyle name="Accent3 60 3 3" xfId="5226"/>
    <cellStyle name="Accent3 60 4" xfId="5227"/>
    <cellStyle name="Accent3 61" xfId="5228"/>
    <cellStyle name="Accent3 61 2" xfId="5229"/>
    <cellStyle name="Accent3 61 2 2" xfId="5230"/>
    <cellStyle name="Accent3 61 3" xfId="5231"/>
    <cellStyle name="Accent3 61 3 2" xfId="5232"/>
    <cellStyle name="Accent3 61 3 2 2" xfId="5233"/>
    <cellStyle name="Accent3 61 3 3" xfId="5234"/>
    <cellStyle name="Accent3 61 4" xfId="5235"/>
    <cellStyle name="Accent3 62" xfId="5236"/>
    <cellStyle name="Accent3 62 2" xfId="5237"/>
    <cellStyle name="Accent3 62 2 2" xfId="5238"/>
    <cellStyle name="Accent3 62 3" xfId="5239"/>
    <cellStyle name="Accent3 62 3 2" xfId="5240"/>
    <cellStyle name="Accent3 62 3 2 2" xfId="5241"/>
    <cellStyle name="Accent3 62 3 3" xfId="5242"/>
    <cellStyle name="Accent3 62 4" xfId="5243"/>
    <cellStyle name="Accent3 63" xfId="5244"/>
    <cellStyle name="Accent3 63 2" xfId="5245"/>
    <cellStyle name="Accent3 63 2 2" xfId="5246"/>
    <cellStyle name="Accent3 63 3" xfId="5247"/>
    <cellStyle name="Accent3 63 3 2" xfId="5248"/>
    <cellStyle name="Accent3 63 3 2 2" xfId="5249"/>
    <cellStyle name="Accent3 63 3 3" xfId="5250"/>
    <cellStyle name="Accent3 63 4" xfId="5251"/>
    <cellStyle name="Accent3 64" xfId="5252"/>
    <cellStyle name="Accent3 64 2" xfId="5253"/>
    <cellStyle name="Accent3 64 2 2" xfId="5254"/>
    <cellStyle name="Accent3 64 3" xfId="5255"/>
    <cellStyle name="Accent3 64 3 2" xfId="5256"/>
    <cellStyle name="Accent3 64 3 2 2" xfId="5257"/>
    <cellStyle name="Accent3 64 3 3" xfId="5258"/>
    <cellStyle name="Accent3 64 4" xfId="5259"/>
    <cellStyle name="Accent3 65" xfId="5260"/>
    <cellStyle name="Accent3 65 2" xfId="5261"/>
    <cellStyle name="Accent3 65 2 2" xfId="5262"/>
    <cellStyle name="Accent3 65 3" xfId="5263"/>
    <cellStyle name="Accent3 65 3 2" xfId="5264"/>
    <cellStyle name="Accent3 65 3 2 2" xfId="5265"/>
    <cellStyle name="Accent3 65 3 3" xfId="5266"/>
    <cellStyle name="Accent3 65 4" xfId="5267"/>
    <cellStyle name="Accent3 66" xfId="5268"/>
    <cellStyle name="Accent3 66 2" xfId="5269"/>
    <cellStyle name="Accent3 66 2 2" xfId="5270"/>
    <cellStyle name="Accent3 66 3" xfId="5271"/>
    <cellStyle name="Accent3 66 3 2" xfId="5272"/>
    <cellStyle name="Accent3 66 3 2 2" xfId="5273"/>
    <cellStyle name="Accent3 66 3 3" xfId="5274"/>
    <cellStyle name="Accent3 66 4" xfId="5275"/>
    <cellStyle name="Accent3 67" xfId="5276"/>
    <cellStyle name="Accent3 67 2" xfId="5277"/>
    <cellStyle name="Accent3 67 2 2" xfId="5278"/>
    <cellStyle name="Accent3 67 3" xfId="5279"/>
    <cellStyle name="Accent3 67 3 2" xfId="5280"/>
    <cellStyle name="Accent3 67 3 2 2" xfId="5281"/>
    <cellStyle name="Accent3 67 3 3" xfId="5282"/>
    <cellStyle name="Accent3 67 4" xfId="5283"/>
    <cellStyle name="Accent3 68" xfId="5284"/>
    <cellStyle name="Accent3 68 2" xfId="5285"/>
    <cellStyle name="Accent3 68 2 2" xfId="5286"/>
    <cellStyle name="Accent3 68 3" xfId="5287"/>
    <cellStyle name="Accent3 68 3 2" xfId="5288"/>
    <cellStyle name="Accent3 68 3 2 2" xfId="5289"/>
    <cellStyle name="Accent3 68 3 3" xfId="5290"/>
    <cellStyle name="Accent3 68 4" xfId="5291"/>
    <cellStyle name="Accent3 69" xfId="5292"/>
    <cellStyle name="Accent3 69 2" xfId="5293"/>
    <cellStyle name="Accent3 69 2 2" xfId="5294"/>
    <cellStyle name="Accent3 69 3" xfId="5295"/>
    <cellStyle name="Accent3 69 3 2" xfId="5296"/>
    <cellStyle name="Accent3 69 3 2 2" xfId="5297"/>
    <cellStyle name="Accent3 69 3 3" xfId="5298"/>
    <cellStyle name="Accent3 69 4" xfId="5299"/>
    <cellStyle name="Accent3 7" xfId="5300"/>
    <cellStyle name="Accent3 7 2" xfId="5301"/>
    <cellStyle name="Accent3 7 2 2" xfId="5302"/>
    <cellStyle name="Accent3 7 2 2 2" xfId="5303"/>
    <cellStyle name="Accent3 7 2 3" xfId="5304"/>
    <cellStyle name="Accent3 7 2 3 2" xfId="5305"/>
    <cellStyle name="Accent3 7 2 3 2 2" xfId="5306"/>
    <cellStyle name="Accent3 7 2 3 3" xfId="5307"/>
    <cellStyle name="Accent3 7 2 4" xfId="5308"/>
    <cellStyle name="Accent3 7 3" xfId="5309"/>
    <cellStyle name="Accent3 7 3 2" xfId="5310"/>
    <cellStyle name="Accent3 7 4" xfId="5311"/>
    <cellStyle name="Accent3 7 4 2" xfId="5312"/>
    <cellStyle name="Accent3 7 4 2 2" xfId="5313"/>
    <cellStyle name="Accent3 7 4 3" xfId="5314"/>
    <cellStyle name="Accent3 7 5" xfId="5315"/>
    <cellStyle name="Accent3 70" xfId="5316"/>
    <cellStyle name="Accent3 70 2" xfId="5317"/>
    <cellStyle name="Accent3 70 2 2" xfId="5318"/>
    <cellStyle name="Accent3 70 3" xfId="5319"/>
    <cellStyle name="Accent3 70 3 2" xfId="5320"/>
    <cellStyle name="Accent3 70 3 2 2" xfId="5321"/>
    <cellStyle name="Accent3 70 3 3" xfId="5322"/>
    <cellStyle name="Accent3 70 4" xfId="5323"/>
    <cellStyle name="Accent3 71" xfId="5324"/>
    <cellStyle name="Accent3 71 2" xfId="5325"/>
    <cellStyle name="Accent3 71 2 2" xfId="5326"/>
    <cellStyle name="Accent3 71 3" xfId="5327"/>
    <cellStyle name="Accent3 71 3 2" xfId="5328"/>
    <cellStyle name="Accent3 71 3 2 2" xfId="5329"/>
    <cellStyle name="Accent3 71 3 3" xfId="5330"/>
    <cellStyle name="Accent3 71 4" xfId="5331"/>
    <cellStyle name="Accent3 72" xfId="5332"/>
    <cellStyle name="Accent3 72 2" xfId="5333"/>
    <cellStyle name="Accent3 72 2 2" xfId="5334"/>
    <cellStyle name="Accent3 72 3" xfId="5335"/>
    <cellStyle name="Accent3 72 3 2" xfId="5336"/>
    <cellStyle name="Accent3 72 3 2 2" xfId="5337"/>
    <cellStyle name="Accent3 72 3 3" xfId="5338"/>
    <cellStyle name="Accent3 72 4" xfId="5339"/>
    <cellStyle name="Accent3 73" xfId="5340"/>
    <cellStyle name="Accent3 73 2" xfId="5341"/>
    <cellStyle name="Accent3 73 2 2" xfId="5342"/>
    <cellStyle name="Accent3 73 3" xfId="5343"/>
    <cellStyle name="Accent3 73 3 2" xfId="5344"/>
    <cellStyle name="Accent3 73 3 2 2" xfId="5345"/>
    <cellStyle name="Accent3 73 3 3" xfId="5346"/>
    <cellStyle name="Accent3 73 4" xfId="5347"/>
    <cellStyle name="Accent3 74" xfId="5348"/>
    <cellStyle name="Accent3 74 2" xfId="5349"/>
    <cellStyle name="Accent3 74 2 2" xfId="5350"/>
    <cellStyle name="Accent3 74 3" xfId="5351"/>
    <cellStyle name="Accent3 74 3 2" xfId="5352"/>
    <cellStyle name="Accent3 74 3 2 2" xfId="5353"/>
    <cellStyle name="Accent3 74 3 3" xfId="5354"/>
    <cellStyle name="Accent3 74 4" xfId="5355"/>
    <cellStyle name="Accent3 75" xfId="5356"/>
    <cellStyle name="Accent3 75 2" xfId="5357"/>
    <cellStyle name="Accent3 75 2 2" xfId="5358"/>
    <cellStyle name="Accent3 75 3" xfId="5359"/>
    <cellStyle name="Accent3 75 3 2" xfId="5360"/>
    <cellStyle name="Accent3 75 3 2 2" xfId="5361"/>
    <cellStyle name="Accent3 75 3 3" xfId="5362"/>
    <cellStyle name="Accent3 75 4" xfId="5363"/>
    <cellStyle name="Accent3 76" xfId="5364"/>
    <cellStyle name="Accent3 76 2" xfId="5365"/>
    <cellStyle name="Accent3 76 2 2" xfId="5366"/>
    <cellStyle name="Accent3 76 3" xfId="5367"/>
    <cellStyle name="Accent3 76 3 2" xfId="5368"/>
    <cellStyle name="Accent3 76 3 2 2" xfId="5369"/>
    <cellStyle name="Accent3 76 3 3" xfId="5370"/>
    <cellStyle name="Accent3 76 4" xfId="5371"/>
    <cellStyle name="Accent3 77" xfId="5372"/>
    <cellStyle name="Accent3 77 2" xfId="5373"/>
    <cellStyle name="Accent3 77 2 2" xfId="5374"/>
    <cellStyle name="Accent3 77 3" xfId="5375"/>
    <cellStyle name="Accent3 77 3 2" xfId="5376"/>
    <cellStyle name="Accent3 77 3 2 2" xfId="5377"/>
    <cellStyle name="Accent3 77 3 3" xfId="5378"/>
    <cellStyle name="Accent3 77 4" xfId="5379"/>
    <cellStyle name="Accent3 78" xfId="5380"/>
    <cellStyle name="Accent3 78 2" xfId="5381"/>
    <cellStyle name="Accent3 78 2 2" xfId="5382"/>
    <cellStyle name="Accent3 78 3" xfId="5383"/>
    <cellStyle name="Accent3 78 3 2" xfId="5384"/>
    <cellStyle name="Accent3 78 3 2 2" xfId="5385"/>
    <cellStyle name="Accent3 78 3 3" xfId="5386"/>
    <cellStyle name="Accent3 78 4" xfId="5387"/>
    <cellStyle name="Accent3 79" xfId="5388"/>
    <cellStyle name="Accent3 79 2" xfId="5389"/>
    <cellStyle name="Accent3 79 2 2" xfId="5390"/>
    <cellStyle name="Accent3 79 3" xfId="5391"/>
    <cellStyle name="Accent3 79 3 2" xfId="5392"/>
    <cellStyle name="Accent3 79 3 2 2" xfId="5393"/>
    <cellStyle name="Accent3 79 3 3" xfId="5394"/>
    <cellStyle name="Accent3 79 4" xfId="5395"/>
    <cellStyle name="Accent3 8" xfId="5396"/>
    <cellStyle name="Accent3 8 2" xfId="5397"/>
    <cellStyle name="Accent3 8 2 2" xfId="5398"/>
    <cellStyle name="Accent3 8 3" xfId="5399"/>
    <cellStyle name="Accent3 80" xfId="5400"/>
    <cellStyle name="Accent3 80 2" xfId="5401"/>
    <cellStyle name="Accent3 80 2 2" xfId="5402"/>
    <cellStyle name="Accent3 80 3" xfId="5403"/>
    <cellStyle name="Accent3 80 3 2" xfId="5404"/>
    <cellStyle name="Accent3 80 3 2 2" xfId="5405"/>
    <cellStyle name="Accent3 80 3 3" xfId="5406"/>
    <cellStyle name="Accent3 80 4" xfId="5407"/>
    <cellStyle name="Accent3 81" xfId="5408"/>
    <cellStyle name="Accent3 81 2" xfId="5409"/>
    <cellStyle name="Accent3 81 2 2" xfId="5410"/>
    <cellStyle name="Accent3 81 3" xfId="5411"/>
    <cellStyle name="Accent3 81 3 2" xfId="5412"/>
    <cellStyle name="Accent3 81 3 2 2" xfId="5413"/>
    <cellStyle name="Accent3 81 3 3" xfId="5414"/>
    <cellStyle name="Accent3 81 4" xfId="5415"/>
    <cellStyle name="Accent3 82" xfId="5416"/>
    <cellStyle name="Accent3 82 2" xfId="5417"/>
    <cellStyle name="Accent3 82 2 2" xfId="5418"/>
    <cellStyle name="Accent3 82 3" xfId="5419"/>
    <cellStyle name="Accent3 82 3 2" xfId="5420"/>
    <cellStyle name="Accent3 82 3 2 2" xfId="5421"/>
    <cellStyle name="Accent3 82 3 3" xfId="5422"/>
    <cellStyle name="Accent3 82 4" xfId="5423"/>
    <cellStyle name="Accent3 83" xfId="5424"/>
    <cellStyle name="Accent3 83 2" xfId="5425"/>
    <cellStyle name="Accent3 83 2 2" xfId="5426"/>
    <cellStyle name="Accent3 83 3" xfId="5427"/>
    <cellStyle name="Accent3 83 3 2" xfId="5428"/>
    <cellStyle name="Accent3 83 3 2 2" xfId="5429"/>
    <cellStyle name="Accent3 83 3 3" xfId="5430"/>
    <cellStyle name="Accent3 83 4" xfId="5431"/>
    <cellStyle name="Accent3 84" xfId="5432"/>
    <cellStyle name="Accent3 84 2" xfId="5433"/>
    <cellStyle name="Accent3 84 2 2" xfId="5434"/>
    <cellStyle name="Accent3 84 3" xfId="5435"/>
    <cellStyle name="Accent3 85" xfId="5436"/>
    <cellStyle name="Accent3 85 2" xfId="5437"/>
    <cellStyle name="Accent3 85 2 2" xfId="5438"/>
    <cellStyle name="Accent3 85 3" xfId="5439"/>
    <cellStyle name="Accent3 86" xfId="5440"/>
    <cellStyle name="Accent3 86 2" xfId="5441"/>
    <cellStyle name="Accent3 86 2 2" xfId="5442"/>
    <cellStyle name="Accent3 86 3" xfId="5443"/>
    <cellStyle name="Accent3 87" xfId="5444"/>
    <cellStyle name="Accent3 87 2" xfId="5445"/>
    <cellStyle name="Accent3 87 2 2" xfId="5446"/>
    <cellStyle name="Accent3 87 3" xfId="5447"/>
    <cellStyle name="Accent3 88" xfId="5448"/>
    <cellStyle name="Accent3 88 2" xfId="5449"/>
    <cellStyle name="Accent3 88 2 2" xfId="5450"/>
    <cellStyle name="Accent3 88 3" xfId="5451"/>
    <cellStyle name="Accent3 89" xfId="5452"/>
    <cellStyle name="Accent3 89 2" xfId="5453"/>
    <cellStyle name="Accent3 89 2 2" xfId="5454"/>
    <cellStyle name="Accent3 89 3" xfId="5455"/>
    <cellStyle name="Accent3 9" xfId="5456"/>
    <cellStyle name="Accent3 9 2" xfId="5457"/>
    <cellStyle name="Accent3 9 2 2" xfId="5458"/>
    <cellStyle name="Accent3 9 3" xfId="5459"/>
    <cellStyle name="Accent3 90" xfId="5460"/>
    <cellStyle name="Accent3 90 2" xfId="5461"/>
    <cellStyle name="Accent3 90 2 2" xfId="5462"/>
    <cellStyle name="Accent3 90 3" xfId="5463"/>
    <cellStyle name="Accent3 91" xfId="5464"/>
    <cellStyle name="Accent3 91 2" xfId="5465"/>
    <cellStyle name="Accent3 91 2 2" xfId="5466"/>
    <cellStyle name="Accent3 91 3" xfId="5467"/>
    <cellStyle name="Accent3 92" xfId="5468"/>
    <cellStyle name="Accent3 92 2" xfId="5469"/>
    <cellStyle name="Accent3 92 2 2" xfId="5470"/>
    <cellStyle name="Accent3 92 3" xfId="5471"/>
    <cellStyle name="Accent3 93" xfId="5472"/>
    <cellStyle name="Accent3 93 2" xfId="5473"/>
    <cellStyle name="Accent3 93 2 2" xfId="5474"/>
    <cellStyle name="Accent3 93 3" xfId="5475"/>
    <cellStyle name="Accent3 94" xfId="5476"/>
    <cellStyle name="Accent3 94 2" xfId="5477"/>
    <cellStyle name="Accent3 94 2 2" xfId="5478"/>
    <cellStyle name="Accent3 94 3" xfId="5479"/>
    <cellStyle name="Accent3 95" xfId="5480"/>
    <cellStyle name="Accent3 95 2" xfId="5481"/>
    <cellStyle name="Accent3 95 2 2" xfId="5482"/>
    <cellStyle name="Accent3 95 3" xfId="5483"/>
    <cellStyle name="Accent3 96" xfId="5484"/>
    <cellStyle name="Accent3 96 2" xfId="5485"/>
    <cellStyle name="Accent3 96 2 2" xfId="5486"/>
    <cellStyle name="Accent3 96 3" xfId="5487"/>
    <cellStyle name="Accent3 97" xfId="5488"/>
    <cellStyle name="Accent3 97 2" xfId="5489"/>
    <cellStyle name="Accent3 97 2 2" xfId="5490"/>
    <cellStyle name="Accent3 97 3" xfId="5491"/>
    <cellStyle name="Accent3 98" xfId="5492"/>
    <cellStyle name="Accent3 98 2" xfId="5493"/>
    <cellStyle name="Accent3 98 2 2" xfId="5494"/>
    <cellStyle name="Accent3 98 3" xfId="5495"/>
    <cellStyle name="Accent3 99" xfId="5496"/>
    <cellStyle name="Accent3 99 2" xfId="5497"/>
    <cellStyle name="Accent3 99 2 2" xfId="5498"/>
    <cellStyle name="Accent3 99 3" xfId="5499"/>
    <cellStyle name="Accent4 - 20%" xfId="10"/>
    <cellStyle name="Accent4 - 20% 10" xfId="5500"/>
    <cellStyle name="Accent4 - 20% 11" xfId="5501"/>
    <cellStyle name="Accent4 - 20% 2" xfId="5502"/>
    <cellStyle name="Accent4 - 20% 2 2" xfId="5503"/>
    <cellStyle name="Accent4 - 20% 2 2 2" xfId="5504"/>
    <cellStyle name="Accent4 - 20% 2 2 2 2" xfId="5505"/>
    <cellStyle name="Accent4 - 20% 2 2 3" xfId="5506"/>
    <cellStyle name="Accent4 - 20% 2 3" xfId="5507"/>
    <cellStyle name="Accent4 - 20% 2 3 2" xfId="5508"/>
    <cellStyle name="Accent4 - 20% 2 3 2 2" xfId="5509"/>
    <cellStyle name="Accent4 - 20% 2 3 2 2 2" xfId="5510"/>
    <cellStyle name="Accent4 - 20% 2 3 2 3" xfId="5511"/>
    <cellStyle name="Accent4 - 20% 2 3 3" xfId="5512"/>
    <cellStyle name="Accent4 - 20% 2 3 3 2" xfId="5513"/>
    <cellStyle name="Accent4 - 20% 2 3 4" xfId="5514"/>
    <cellStyle name="Accent4 - 20% 2 4" xfId="5515"/>
    <cellStyle name="Accent4 - 20% 2 4 2" xfId="5516"/>
    <cellStyle name="Accent4 - 20% 2 4 2 2" xfId="5517"/>
    <cellStyle name="Accent4 - 20% 2 4 2 2 2" xfId="5518"/>
    <cellStyle name="Accent4 - 20% 2 4 2 3" xfId="5519"/>
    <cellStyle name="Accent4 - 20% 2 4 3" xfId="5520"/>
    <cellStyle name="Accent4 - 20% 2 4 3 2" xfId="5521"/>
    <cellStyle name="Accent4 - 20% 2 4 4" xfId="5522"/>
    <cellStyle name="Accent4 - 20% 2 5" xfId="5523"/>
    <cellStyle name="Accent4 - 20% 2 5 2" xfId="5524"/>
    <cellStyle name="Accent4 - 20% 2 6" xfId="5525"/>
    <cellStyle name="Accent4 - 20% 2 6 2" xfId="5526"/>
    <cellStyle name="Accent4 - 20% 2 7" xfId="5527"/>
    <cellStyle name="Accent4 - 20% 3" xfId="5528"/>
    <cellStyle name="Accent4 - 20% 3 2" xfId="5529"/>
    <cellStyle name="Accent4 - 20% 3 2 2" xfId="5530"/>
    <cellStyle name="Accent4 - 20% 3 2 2 2" xfId="5531"/>
    <cellStyle name="Accent4 - 20% 3 2 3" xfId="5532"/>
    <cellStyle name="Accent4 - 20% 3 3" xfId="5533"/>
    <cellStyle name="Accent4 - 20% 3 3 2" xfId="5534"/>
    <cellStyle name="Accent4 - 20% 3 4" xfId="5535"/>
    <cellStyle name="Accent4 - 20% 4" xfId="5536"/>
    <cellStyle name="Accent4 - 20% 4 2" xfId="5537"/>
    <cellStyle name="Accent4 - 20% 4 2 2" xfId="5538"/>
    <cellStyle name="Accent4 - 20% 4 3" xfId="5539"/>
    <cellStyle name="Accent4 - 20% 5" xfId="5540"/>
    <cellStyle name="Accent4 - 20% 5 2" xfId="5541"/>
    <cellStyle name="Accent4 - 20% 5 2 2" xfId="5542"/>
    <cellStyle name="Accent4 - 20% 5 3" xfId="5543"/>
    <cellStyle name="Accent4 - 20% 6" xfId="5544"/>
    <cellStyle name="Accent4 - 20% 6 2" xfId="5545"/>
    <cellStyle name="Accent4 - 20% 7" xfId="5546"/>
    <cellStyle name="Accent4 - 20% 7 2" xfId="5547"/>
    <cellStyle name="Accent4 - 20% 8" xfId="5548"/>
    <cellStyle name="Accent4 - 20% 8 2" xfId="5549"/>
    <cellStyle name="Accent4 - 20% 9" xfId="5550"/>
    <cellStyle name="Accent4 - 20% 9 2" xfId="5551"/>
    <cellStyle name="Accent4 - 40%" xfId="11"/>
    <cellStyle name="Accent4 - 40% 10" xfId="5552"/>
    <cellStyle name="Accent4 - 40% 11" xfId="5553"/>
    <cellStyle name="Accent4 - 40% 2" xfId="5554"/>
    <cellStyle name="Accent4 - 40% 2 2" xfId="5555"/>
    <cellStyle name="Accent4 - 40% 2 2 2" xfId="5556"/>
    <cellStyle name="Accent4 - 40% 2 2 2 2" xfId="5557"/>
    <cellStyle name="Accent4 - 40% 2 2 3" xfId="5558"/>
    <cellStyle name="Accent4 - 40% 2 3" xfId="5559"/>
    <cellStyle name="Accent4 - 40% 2 3 2" xfId="5560"/>
    <cellStyle name="Accent4 - 40% 2 3 2 2" xfId="5561"/>
    <cellStyle name="Accent4 - 40% 2 3 2 2 2" xfId="5562"/>
    <cellStyle name="Accent4 - 40% 2 3 2 3" xfId="5563"/>
    <cellStyle name="Accent4 - 40% 2 3 3" xfId="5564"/>
    <cellStyle name="Accent4 - 40% 2 3 3 2" xfId="5565"/>
    <cellStyle name="Accent4 - 40% 2 3 4" xfId="5566"/>
    <cellStyle name="Accent4 - 40% 2 4" xfId="5567"/>
    <cellStyle name="Accent4 - 40% 2 4 2" xfId="5568"/>
    <cellStyle name="Accent4 - 40% 2 4 2 2" xfId="5569"/>
    <cellStyle name="Accent4 - 40% 2 4 2 2 2" xfId="5570"/>
    <cellStyle name="Accent4 - 40% 2 4 2 3" xfId="5571"/>
    <cellStyle name="Accent4 - 40% 2 4 3" xfId="5572"/>
    <cellStyle name="Accent4 - 40% 2 4 3 2" xfId="5573"/>
    <cellStyle name="Accent4 - 40% 2 4 4" xfId="5574"/>
    <cellStyle name="Accent4 - 40% 2 5" xfId="5575"/>
    <cellStyle name="Accent4 - 40% 2 5 2" xfId="5576"/>
    <cellStyle name="Accent4 - 40% 2 6" xfId="5577"/>
    <cellStyle name="Accent4 - 40% 2 6 2" xfId="5578"/>
    <cellStyle name="Accent4 - 40% 2 7" xfId="5579"/>
    <cellStyle name="Accent4 - 40% 3" xfId="5580"/>
    <cellStyle name="Accent4 - 40% 3 2" xfId="5581"/>
    <cellStyle name="Accent4 - 40% 3 2 2" xfId="5582"/>
    <cellStyle name="Accent4 - 40% 3 2 2 2" xfId="5583"/>
    <cellStyle name="Accent4 - 40% 3 2 3" xfId="5584"/>
    <cellStyle name="Accent4 - 40% 3 3" xfId="5585"/>
    <cellStyle name="Accent4 - 40% 3 3 2" xfId="5586"/>
    <cellStyle name="Accent4 - 40% 3 4" xfId="5587"/>
    <cellStyle name="Accent4 - 40% 4" xfId="5588"/>
    <cellStyle name="Accent4 - 40% 4 2" xfId="5589"/>
    <cellStyle name="Accent4 - 40% 4 2 2" xfId="5590"/>
    <cellStyle name="Accent4 - 40% 4 3" xfId="5591"/>
    <cellStyle name="Accent4 - 40% 5" xfId="5592"/>
    <cellStyle name="Accent4 - 40% 5 2" xfId="5593"/>
    <cellStyle name="Accent4 - 40% 5 2 2" xfId="5594"/>
    <cellStyle name="Accent4 - 40% 5 3" xfId="5595"/>
    <cellStyle name="Accent4 - 40% 6" xfId="5596"/>
    <cellStyle name="Accent4 - 40% 6 2" xfId="5597"/>
    <cellStyle name="Accent4 - 40% 7" xfId="5598"/>
    <cellStyle name="Accent4 - 40% 7 2" xfId="5599"/>
    <cellStyle name="Accent4 - 40% 8" xfId="5600"/>
    <cellStyle name="Accent4 - 40% 8 2" xfId="5601"/>
    <cellStyle name="Accent4 - 40% 9" xfId="5602"/>
    <cellStyle name="Accent4 - 40% 9 2" xfId="5603"/>
    <cellStyle name="Accent4 - 60%" xfId="12"/>
    <cellStyle name="Accent4 - 60% 10" xfId="5604"/>
    <cellStyle name="Accent4 - 60% 2" xfId="5605"/>
    <cellStyle name="Accent4 - 60% 2 2" xfId="5606"/>
    <cellStyle name="Accent4 - 60% 2 2 2" xfId="5607"/>
    <cellStyle name="Accent4 - 60% 2 3" xfId="5608"/>
    <cellStyle name="Accent4 - 60% 2 3 2" xfId="5609"/>
    <cellStyle name="Accent4 - 60% 2 3 2 2" xfId="5610"/>
    <cellStyle name="Accent4 - 60% 2 3 3" xfId="5611"/>
    <cellStyle name="Accent4 - 60% 2 4" xfId="5612"/>
    <cellStyle name="Accent4 - 60% 2 4 2" xfId="5613"/>
    <cellStyle name="Accent4 - 60% 2 4 2 2" xfId="5614"/>
    <cellStyle name="Accent4 - 60% 2 4 3" xfId="5615"/>
    <cellStyle name="Accent4 - 60% 2 5" xfId="5616"/>
    <cellStyle name="Accent4 - 60% 3" xfId="5617"/>
    <cellStyle name="Accent4 - 60% 3 2" xfId="5618"/>
    <cellStyle name="Accent4 - 60% 3 2 2" xfId="5619"/>
    <cellStyle name="Accent4 - 60% 3 3" xfId="5620"/>
    <cellStyle name="Accent4 - 60% 4" xfId="5621"/>
    <cellStyle name="Accent4 - 60% 4 2" xfId="5622"/>
    <cellStyle name="Accent4 - 60% 5" xfId="5623"/>
    <cellStyle name="Accent4 - 60% 5 2" xfId="5624"/>
    <cellStyle name="Accent4 - 60% 6" xfId="5625"/>
    <cellStyle name="Accent4 - 60% 6 2" xfId="5626"/>
    <cellStyle name="Accent4 - 60% 6 2 2" xfId="5627"/>
    <cellStyle name="Accent4 - 60% 6 3" xfId="5628"/>
    <cellStyle name="Accent4 - 60% 7" xfId="5629"/>
    <cellStyle name="Accent4 - 60% 7 2" xfId="5630"/>
    <cellStyle name="Accent4 - 60% 8" xfId="5631"/>
    <cellStyle name="Accent4 - 60% 8 2" xfId="5632"/>
    <cellStyle name="Accent4 - 60% 9" xfId="5633"/>
    <cellStyle name="Accent4 10" xfId="5634"/>
    <cellStyle name="Accent4 10 2" xfId="5635"/>
    <cellStyle name="Accent4 10 2 2" xfId="5636"/>
    <cellStyle name="Accent4 10 3" xfId="5637"/>
    <cellStyle name="Accent4 100" xfId="5638"/>
    <cellStyle name="Accent4 100 2" xfId="5639"/>
    <cellStyle name="Accent4 100 2 2" xfId="5640"/>
    <cellStyle name="Accent4 100 3" xfId="5641"/>
    <cellStyle name="Accent4 101" xfId="5642"/>
    <cellStyle name="Accent4 101 2" xfId="5643"/>
    <cellStyle name="Accent4 101 2 2" xfId="5644"/>
    <cellStyle name="Accent4 101 3" xfId="5645"/>
    <cellStyle name="Accent4 102" xfId="5646"/>
    <cellStyle name="Accent4 102 2" xfId="5647"/>
    <cellStyle name="Accent4 103" xfId="5648"/>
    <cellStyle name="Accent4 103 2" xfId="5649"/>
    <cellStyle name="Accent4 104" xfId="5650"/>
    <cellStyle name="Accent4 104 2" xfId="5651"/>
    <cellStyle name="Accent4 104 2 2" xfId="5652"/>
    <cellStyle name="Accent4 104 3" xfId="5653"/>
    <cellStyle name="Accent4 105" xfId="5654"/>
    <cellStyle name="Accent4 105 2" xfId="5655"/>
    <cellStyle name="Accent4 105 2 2" xfId="5656"/>
    <cellStyle name="Accent4 105 3" xfId="5657"/>
    <cellStyle name="Accent4 106" xfId="5658"/>
    <cellStyle name="Accent4 106 2" xfId="5659"/>
    <cellStyle name="Accent4 106 2 2" xfId="5660"/>
    <cellStyle name="Accent4 106 3" xfId="5661"/>
    <cellStyle name="Accent4 107" xfId="5662"/>
    <cellStyle name="Accent4 107 2" xfId="5663"/>
    <cellStyle name="Accent4 107 2 2" xfId="5664"/>
    <cellStyle name="Accent4 107 3" xfId="5665"/>
    <cellStyle name="Accent4 108" xfId="5666"/>
    <cellStyle name="Accent4 108 2" xfId="5667"/>
    <cellStyle name="Accent4 108 2 2" xfId="5668"/>
    <cellStyle name="Accent4 108 3" xfId="5669"/>
    <cellStyle name="Accent4 109" xfId="5670"/>
    <cellStyle name="Accent4 109 2" xfId="5671"/>
    <cellStyle name="Accent4 109 2 2" xfId="5672"/>
    <cellStyle name="Accent4 109 3" xfId="5673"/>
    <cellStyle name="Accent4 11" xfId="5674"/>
    <cellStyle name="Accent4 11 2" xfId="5675"/>
    <cellStyle name="Accent4 11 2 2" xfId="5676"/>
    <cellStyle name="Accent4 11 3" xfId="5677"/>
    <cellStyle name="Accent4 110" xfId="5678"/>
    <cellStyle name="Accent4 110 2" xfId="5679"/>
    <cellStyle name="Accent4 110 2 2" xfId="5680"/>
    <cellStyle name="Accent4 110 3" xfId="5681"/>
    <cellStyle name="Accent4 111" xfId="5682"/>
    <cellStyle name="Accent4 111 2" xfId="5683"/>
    <cellStyle name="Accent4 111 2 2" xfId="5684"/>
    <cellStyle name="Accent4 111 3" xfId="5685"/>
    <cellStyle name="Accent4 112" xfId="5686"/>
    <cellStyle name="Accent4 112 2" xfId="5687"/>
    <cellStyle name="Accent4 112 2 2" xfId="5688"/>
    <cellStyle name="Accent4 112 3" xfId="5689"/>
    <cellStyle name="Accent4 113" xfId="5690"/>
    <cellStyle name="Accent4 113 2" xfId="5691"/>
    <cellStyle name="Accent4 113 2 2" xfId="5692"/>
    <cellStyle name="Accent4 113 3" xfId="5693"/>
    <cellStyle name="Accent4 114" xfId="5694"/>
    <cellStyle name="Accent4 114 2" xfId="5695"/>
    <cellStyle name="Accent4 115" xfId="5696"/>
    <cellStyle name="Accent4 115 2" xfId="5697"/>
    <cellStyle name="Accent4 116" xfId="5698"/>
    <cellStyle name="Accent4 116 2" xfId="5699"/>
    <cellStyle name="Accent4 117" xfId="5700"/>
    <cellStyle name="Accent4 117 2" xfId="5701"/>
    <cellStyle name="Accent4 118" xfId="5702"/>
    <cellStyle name="Accent4 118 2" xfId="5703"/>
    <cellStyle name="Accent4 119" xfId="5704"/>
    <cellStyle name="Accent4 119 2" xfId="5705"/>
    <cellStyle name="Accent4 12" xfId="5706"/>
    <cellStyle name="Accent4 12 2" xfId="5707"/>
    <cellStyle name="Accent4 12 2 2" xfId="5708"/>
    <cellStyle name="Accent4 12 3" xfId="5709"/>
    <cellStyle name="Accent4 120" xfId="5710"/>
    <cellStyle name="Accent4 120 2" xfId="5711"/>
    <cellStyle name="Accent4 121" xfId="5712"/>
    <cellStyle name="Accent4 121 2" xfId="5713"/>
    <cellStyle name="Accent4 122" xfId="5714"/>
    <cellStyle name="Accent4 122 2" xfId="5715"/>
    <cellStyle name="Accent4 123" xfId="5716"/>
    <cellStyle name="Accent4 123 2" xfId="5717"/>
    <cellStyle name="Accent4 124" xfId="5718"/>
    <cellStyle name="Accent4 124 2" xfId="5719"/>
    <cellStyle name="Accent4 125" xfId="5720"/>
    <cellStyle name="Accent4 125 2" xfId="5721"/>
    <cellStyle name="Accent4 126" xfId="5722"/>
    <cellStyle name="Accent4 127" xfId="5723"/>
    <cellStyle name="Accent4 128" xfId="5724"/>
    <cellStyle name="Accent4 129" xfId="5725"/>
    <cellStyle name="Accent4 13" xfId="5726"/>
    <cellStyle name="Accent4 13 2" xfId="5727"/>
    <cellStyle name="Accent4 13 2 2" xfId="5728"/>
    <cellStyle name="Accent4 13 3" xfId="5729"/>
    <cellStyle name="Accent4 130" xfId="5730"/>
    <cellStyle name="Accent4 131" xfId="5731"/>
    <cellStyle name="Accent4 132" xfId="5732"/>
    <cellStyle name="Accent4 133" xfId="5733"/>
    <cellStyle name="Accent4 134" xfId="5734"/>
    <cellStyle name="Accent4 135" xfId="5735"/>
    <cellStyle name="Accent4 136" xfId="5736"/>
    <cellStyle name="Accent4 137" xfId="5737"/>
    <cellStyle name="Accent4 138" xfId="5738"/>
    <cellStyle name="Accent4 139" xfId="5739"/>
    <cellStyle name="Accent4 14" xfId="5740"/>
    <cellStyle name="Accent4 14 2" xfId="5741"/>
    <cellStyle name="Accent4 14 2 2" xfId="5742"/>
    <cellStyle name="Accent4 14 3" xfId="5743"/>
    <cellStyle name="Accent4 140" xfId="5744"/>
    <cellStyle name="Accent4 141" xfId="5745"/>
    <cellStyle name="Accent4 142" xfId="5746"/>
    <cellStyle name="Accent4 143" xfId="5747"/>
    <cellStyle name="Accent4 144" xfId="5748"/>
    <cellStyle name="Accent4 145" xfId="5749"/>
    <cellStyle name="Accent4 146" xfId="5750"/>
    <cellStyle name="Accent4 147" xfId="5751"/>
    <cellStyle name="Accent4 148" xfId="5752"/>
    <cellStyle name="Accent4 149" xfId="5753"/>
    <cellStyle name="Accent4 15" xfId="5754"/>
    <cellStyle name="Accent4 15 2" xfId="5755"/>
    <cellStyle name="Accent4 15 2 2" xfId="5756"/>
    <cellStyle name="Accent4 15 3" xfId="5757"/>
    <cellStyle name="Accent4 150" xfId="5758"/>
    <cellStyle name="Accent4 151" xfId="5759"/>
    <cellStyle name="Accent4 152" xfId="5760"/>
    <cellStyle name="Accent4 153" xfId="5761"/>
    <cellStyle name="Accent4 154" xfId="5762"/>
    <cellStyle name="Accent4 155" xfId="5763"/>
    <cellStyle name="Accent4 156" xfId="5764"/>
    <cellStyle name="Accent4 157" xfId="5765"/>
    <cellStyle name="Accent4 158" xfId="5766"/>
    <cellStyle name="Accent4 159" xfId="5767"/>
    <cellStyle name="Accent4 16" xfId="5768"/>
    <cellStyle name="Accent4 16 2" xfId="5769"/>
    <cellStyle name="Accent4 16 2 2" xfId="5770"/>
    <cellStyle name="Accent4 16 3" xfId="5771"/>
    <cellStyle name="Accent4 160" xfId="5772"/>
    <cellStyle name="Accent4 161" xfId="5773"/>
    <cellStyle name="Accent4 162" xfId="5774"/>
    <cellStyle name="Accent4 163" xfId="5775"/>
    <cellStyle name="Accent4 164" xfId="5776"/>
    <cellStyle name="Accent4 165" xfId="5777"/>
    <cellStyle name="Accent4 166" xfId="5778"/>
    <cellStyle name="Accent4 167" xfId="5779"/>
    <cellStyle name="Accent4 168" xfId="5780"/>
    <cellStyle name="Accent4 169" xfId="5781"/>
    <cellStyle name="Accent4 17" xfId="5782"/>
    <cellStyle name="Accent4 17 2" xfId="5783"/>
    <cellStyle name="Accent4 17 2 2" xfId="5784"/>
    <cellStyle name="Accent4 17 3" xfId="5785"/>
    <cellStyle name="Accent4 170" xfId="5786"/>
    <cellStyle name="Accent4 171" xfId="5787"/>
    <cellStyle name="Accent4 172" xfId="5788"/>
    <cellStyle name="Accent4 173" xfId="5789"/>
    <cellStyle name="Accent4 174" xfId="5790"/>
    <cellStyle name="Accent4 175" xfId="5791"/>
    <cellStyle name="Accent4 176" xfId="5792"/>
    <cellStyle name="Accent4 177" xfId="5793"/>
    <cellStyle name="Accent4 178" xfId="5794"/>
    <cellStyle name="Accent4 179" xfId="5795"/>
    <cellStyle name="Accent4 18" xfId="5796"/>
    <cellStyle name="Accent4 18 2" xfId="5797"/>
    <cellStyle name="Accent4 18 2 2" xfId="5798"/>
    <cellStyle name="Accent4 18 3" xfId="5799"/>
    <cellStyle name="Accent4 19" xfId="5800"/>
    <cellStyle name="Accent4 19 2" xfId="5801"/>
    <cellStyle name="Accent4 19 2 2" xfId="5802"/>
    <cellStyle name="Accent4 19 3" xfId="5803"/>
    <cellStyle name="Accent4 2" xfId="5804"/>
    <cellStyle name="Accent4 2 10" xfId="5805"/>
    <cellStyle name="Accent4 2 10 2" xfId="5806"/>
    <cellStyle name="Accent4 2 11" xfId="5807"/>
    <cellStyle name="Accent4 2 12" xfId="5808"/>
    <cellStyle name="Accent4 2 2" xfId="5809"/>
    <cellStyle name="Accent4 2 2 2" xfId="5810"/>
    <cellStyle name="Accent4 2 2 2 2" xfId="5811"/>
    <cellStyle name="Accent4 2 2 3" xfId="5812"/>
    <cellStyle name="Accent4 2 2 3 2" xfId="5813"/>
    <cellStyle name="Accent4 2 2 3 2 2" xfId="5814"/>
    <cellStyle name="Accent4 2 2 3 3" xfId="5815"/>
    <cellStyle name="Accent4 2 2 4" xfId="5816"/>
    <cellStyle name="Accent4 2 3" xfId="5817"/>
    <cellStyle name="Accent4 2 3 2" xfId="5818"/>
    <cellStyle name="Accent4 2 3 2 2" xfId="5819"/>
    <cellStyle name="Accent4 2 3 3" xfId="5820"/>
    <cellStyle name="Accent4 2 3 3 2" xfId="5821"/>
    <cellStyle name="Accent4 2 3 3 2 2" xfId="5822"/>
    <cellStyle name="Accent4 2 3 3 3" xfId="5823"/>
    <cellStyle name="Accent4 2 3 4" xfId="5824"/>
    <cellStyle name="Accent4 2 4" xfId="5825"/>
    <cellStyle name="Accent4 2 4 2" xfId="5826"/>
    <cellStyle name="Accent4 2 4 2 2" xfId="5827"/>
    <cellStyle name="Accent4 2 4 3" xfId="5828"/>
    <cellStyle name="Accent4 2 5" xfId="5829"/>
    <cellStyle name="Accent4 2 5 2" xfId="5830"/>
    <cellStyle name="Accent4 2 5 2 2" xfId="5831"/>
    <cellStyle name="Accent4 2 5 3" xfId="5832"/>
    <cellStyle name="Accent4 2 5 3 2" xfId="5833"/>
    <cellStyle name="Accent4 2 5 3 2 2" xfId="5834"/>
    <cellStyle name="Accent4 2 5 3 3" xfId="5835"/>
    <cellStyle name="Accent4 2 5 4" xfId="5836"/>
    <cellStyle name="Accent4 2 6" xfId="5837"/>
    <cellStyle name="Accent4 2 6 2" xfId="5838"/>
    <cellStyle name="Accent4 2 6 2 2" xfId="5839"/>
    <cellStyle name="Accent4 2 6 3" xfId="5840"/>
    <cellStyle name="Accent4 2 6 3 2" xfId="5841"/>
    <cellStyle name="Accent4 2 6 4" xfId="5842"/>
    <cellStyle name="Accent4 2 7" xfId="5843"/>
    <cellStyle name="Accent4 2 7 2" xfId="5844"/>
    <cellStyle name="Accent4 2 8" xfId="5845"/>
    <cellStyle name="Accent4 2 8 2" xfId="5846"/>
    <cellStyle name="Accent4 2 8 2 2" xfId="5847"/>
    <cellStyle name="Accent4 2 8 3" xfId="5848"/>
    <cellStyle name="Accent4 2 9" xfId="5849"/>
    <cellStyle name="Accent4 2 9 2" xfId="5850"/>
    <cellStyle name="Accent4 2 9 2 2" xfId="5851"/>
    <cellStyle name="Accent4 2 9 3" xfId="5852"/>
    <cellStyle name="Accent4 20" xfId="5853"/>
    <cellStyle name="Accent4 20 2" xfId="5854"/>
    <cellStyle name="Accent4 20 2 2" xfId="5855"/>
    <cellStyle name="Accent4 20 3" xfId="5856"/>
    <cellStyle name="Accent4 21" xfId="5857"/>
    <cellStyle name="Accent4 21 2" xfId="5858"/>
    <cellStyle name="Accent4 21 2 2" xfId="5859"/>
    <cellStyle name="Accent4 21 3" xfId="5860"/>
    <cellStyle name="Accent4 22" xfId="5861"/>
    <cellStyle name="Accent4 22 2" xfId="5862"/>
    <cellStyle name="Accent4 22 2 2" xfId="5863"/>
    <cellStyle name="Accent4 22 3" xfId="5864"/>
    <cellStyle name="Accent4 23" xfId="5865"/>
    <cellStyle name="Accent4 23 2" xfId="5866"/>
    <cellStyle name="Accent4 23 2 2" xfId="5867"/>
    <cellStyle name="Accent4 23 3" xfId="5868"/>
    <cellStyle name="Accent4 24" xfId="5869"/>
    <cellStyle name="Accent4 24 2" xfId="5870"/>
    <cellStyle name="Accent4 24 2 2" xfId="5871"/>
    <cellStyle name="Accent4 24 3" xfId="5872"/>
    <cellStyle name="Accent4 25" xfId="5873"/>
    <cellStyle name="Accent4 25 2" xfId="5874"/>
    <cellStyle name="Accent4 25 2 2" xfId="5875"/>
    <cellStyle name="Accent4 25 3" xfId="5876"/>
    <cellStyle name="Accent4 26" xfId="5877"/>
    <cellStyle name="Accent4 26 2" xfId="5878"/>
    <cellStyle name="Accent4 26 2 2" xfId="5879"/>
    <cellStyle name="Accent4 26 3" xfId="5880"/>
    <cellStyle name="Accent4 27" xfId="5881"/>
    <cellStyle name="Accent4 27 2" xfId="5882"/>
    <cellStyle name="Accent4 27 2 2" xfId="5883"/>
    <cellStyle name="Accent4 27 3" xfId="5884"/>
    <cellStyle name="Accent4 28" xfId="5885"/>
    <cellStyle name="Accent4 28 2" xfId="5886"/>
    <cellStyle name="Accent4 28 2 2" xfId="5887"/>
    <cellStyle name="Accent4 28 3" xfId="5888"/>
    <cellStyle name="Accent4 29" xfId="5889"/>
    <cellStyle name="Accent4 29 2" xfId="5890"/>
    <cellStyle name="Accent4 29 2 2" xfId="5891"/>
    <cellStyle name="Accent4 29 3" xfId="5892"/>
    <cellStyle name="Accent4 3" xfId="5893"/>
    <cellStyle name="Accent4 3 10" xfId="5894"/>
    <cellStyle name="Accent4 3 10 2" xfId="5895"/>
    <cellStyle name="Accent4 3 10 2 2" xfId="5896"/>
    <cellStyle name="Accent4 3 10 3" xfId="5897"/>
    <cellStyle name="Accent4 3 11" xfId="5898"/>
    <cellStyle name="Accent4 3 11 2" xfId="5899"/>
    <cellStyle name="Accent4 3 12" xfId="5900"/>
    <cellStyle name="Accent4 3 2" xfId="5901"/>
    <cellStyle name="Accent4 3 2 2" xfId="5902"/>
    <cellStyle name="Accent4 3 2 2 2" xfId="5903"/>
    <cellStyle name="Accent4 3 2 3" xfId="5904"/>
    <cellStyle name="Accent4 3 2 3 2" xfId="5905"/>
    <cellStyle name="Accent4 3 2 3 2 2" xfId="5906"/>
    <cellStyle name="Accent4 3 2 3 3" xfId="5907"/>
    <cellStyle name="Accent4 3 2 4" xfId="5908"/>
    <cellStyle name="Accent4 3 3" xfId="5909"/>
    <cellStyle name="Accent4 3 3 2" xfId="5910"/>
    <cellStyle name="Accent4 3 3 2 2" xfId="5911"/>
    <cellStyle name="Accent4 3 3 3" xfId="5912"/>
    <cellStyle name="Accent4 3 3 3 2" xfId="5913"/>
    <cellStyle name="Accent4 3 3 3 2 2" xfId="5914"/>
    <cellStyle name="Accent4 3 3 3 3" xfId="5915"/>
    <cellStyle name="Accent4 3 3 4" xfId="5916"/>
    <cellStyle name="Accent4 3 4" xfId="5917"/>
    <cellStyle name="Accent4 3 4 2" xfId="5918"/>
    <cellStyle name="Accent4 3 4 2 2" xfId="5919"/>
    <cellStyle name="Accent4 3 4 3" xfId="5920"/>
    <cellStyle name="Accent4 3 5" xfId="5921"/>
    <cellStyle name="Accent4 3 5 2" xfId="5922"/>
    <cellStyle name="Accent4 3 5 2 2" xfId="5923"/>
    <cellStyle name="Accent4 3 5 3" xfId="5924"/>
    <cellStyle name="Accent4 3 5 3 2" xfId="5925"/>
    <cellStyle name="Accent4 3 5 3 2 2" xfId="5926"/>
    <cellStyle name="Accent4 3 5 3 3" xfId="5927"/>
    <cellStyle name="Accent4 3 5 4" xfId="5928"/>
    <cellStyle name="Accent4 3 6" xfId="5929"/>
    <cellStyle name="Accent4 3 6 2" xfId="5930"/>
    <cellStyle name="Accent4 3 7" xfId="5931"/>
    <cellStyle name="Accent4 3 7 2" xfId="5932"/>
    <cellStyle name="Accent4 3 8" xfId="5933"/>
    <cellStyle name="Accent4 3 8 2" xfId="5934"/>
    <cellStyle name="Accent4 3 8 2 2" xfId="5935"/>
    <cellStyle name="Accent4 3 8 3" xfId="5936"/>
    <cellStyle name="Accent4 3 9" xfId="5937"/>
    <cellStyle name="Accent4 3 9 2" xfId="5938"/>
    <cellStyle name="Accent4 3 9 2 2" xfId="5939"/>
    <cellStyle name="Accent4 3 9 3" xfId="5940"/>
    <cellStyle name="Accent4 30" xfId="5941"/>
    <cellStyle name="Accent4 30 2" xfId="5942"/>
    <cellStyle name="Accent4 30 2 2" xfId="5943"/>
    <cellStyle name="Accent4 30 3" xfId="5944"/>
    <cellStyle name="Accent4 31" xfId="5945"/>
    <cellStyle name="Accent4 31 2" xfId="5946"/>
    <cellStyle name="Accent4 31 2 2" xfId="5947"/>
    <cellStyle name="Accent4 31 3" xfId="5948"/>
    <cellStyle name="Accent4 32" xfId="5949"/>
    <cellStyle name="Accent4 32 2" xfId="5950"/>
    <cellStyle name="Accent4 32 2 2" xfId="5951"/>
    <cellStyle name="Accent4 32 3" xfId="5952"/>
    <cellStyle name="Accent4 33" xfId="5953"/>
    <cellStyle name="Accent4 33 2" xfId="5954"/>
    <cellStyle name="Accent4 33 2 2" xfId="5955"/>
    <cellStyle name="Accent4 33 3" xfId="5956"/>
    <cellStyle name="Accent4 34" xfId="5957"/>
    <cellStyle name="Accent4 34 2" xfId="5958"/>
    <cellStyle name="Accent4 34 2 2" xfId="5959"/>
    <cellStyle name="Accent4 34 3" xfId="5960"/>
    <cellStyle name="Accent4 35" xfId="5961"/>
    <cellStyle name="Accent4 35 2" xfId="5962"/>
    <cellStyle name="Accent4 35 2 2" xfId="5963"/>
    <cellStyle name="Accent4 35 3" xfId="5964"/>
    <cellStyle name="Accent4 36" xfId="5965"/>
    <cellStyle name="Accent4 36 2" xfId="5966"/>
    <cellStyle name="Accent4 36 2 2" xfId="5967"/>
    <cellStyle name="Accent4 36 3" xfId="5968"/>
    <cellStyle name="Accent4 37" xfId="5969"/>
    <cellStyle name="Accent4 37 2" xfId="5970"/>
    <cellStyle name="Accent4 37 2 2" xfId="5971"/>
    <cellStyle name="Accent4 37 3" xfId="5972"/>
    <cellStyle name="Accent4 38" xfId="5973"/>
    <cellStyle name="Accent4 38 2" xfId="5974"/>
    <cellStyle name="Accent4 38 2 2" xfId="5975"/>
    <cellStyle name="Accent4 38 3" xfId="5976"/>
    <cellStyle name="Accent4 39" xfId="5977"/>
    <cellStyle name="Accent4 39 2" xfId="5978"/>
    <cellStyle name="Accent4 39 2 2" xfId="5979"/>
    <cellStyle name="Accent4 39 3" xfId="5980"/>
    <cellStyle name="Accent4 4" xfId="5981"/>
    <cellStyle name="Accent4 4 2" xfId="5982"/>
    <cellStyle name="Accent4 4 2 2" xfId="5983"/>
    <cellStyle name="Accent4 4 2 2 2" xfId="5984"/>
    <cellStyle name="Accent4 4 2 3" xfId="5985"/>
    <cellStyle name="Accent4 4 2 3 2" xfId="5986"/>
    <cellStyle name="Accent4 4 2 3 2 2" xfId="5987"/>
    <cellStyle name="Accent4 4 2 3 3" xfId="5988"/>
    <cellStyle name="Accent4 4 2 4" xfId="5989"/>
    <cellStyle name="Accent4 4 3" xfId="5990"/>
    <cellStyle name="Accent4 4 3 2" xfId="5991"/>
    <cellStyle name="Accent4 4 3 2 2" xfId="5992"/>
    <cellStyle name="Accent4 4 3 3" xfId="5993"/>
    <cellStyle name="Accent4 4 3 3 2" xfId="5994"/>
    <cellStyle name="Accent4 4 3 3 2 2" xfId="5995"/>
    <cellStyle name="Accent4 4 3 3 3" xfId="5996"/>
    <cellStyle name="Accent4 4 3 4" xfId="5997"/>
    <cellStyle name="Accent4 4 4" xfId="5998"/>
    <cellStyle name="Accent4 4 4 2" xfId="5999"/>
    <cellStyle name="Accent4 4 4 2 2" xfId="6000"/>
    <cellStyle name="Accent4 4 4 3" xfId="6001"/>
    <cellStyle name="Accent4 4 5" xfId="6002"/>
    <cellStyle name="Accent4 4 5 2" xfId="6003"/>
    <cellStyle name="Accent4 4 6" xfId="6004"/>
    <cellStyle name="Accent4 4 6 2" xfId="6005"/>
    <cellStyle name="Accent4 4 6 2 2" xfId="6006"/>
    <cellStyle name="Accent4 4 6 3" xfId="6007"/>
    <cellStyle name="Accent4 4 7" xfId="6008"/>
    <cellStyle name="Accent4 4 7 2" xfId="6009"/>
    <cellStyle name="Accent4 4 7 2 2" xfId="6010"/>
    <cellStyle name="Accent4 4 7 3" xfId="6011"/>
    <cellStyle name="Accent4 4 8" xfId="6012"/>
    <cellStyle name="Accent4 40" xfId="6013"/>
    <cellStyle name="Accent4 40 2" xfId="6014"/>
    <cellStyle name="Accent4 40 2 2" xfId="6015"/>
    <cellStyle name="Accent4 40 3" xfId="6016"/>
    <cellStyle name="Accent4 41" xfId="6017"/>
    <cellStyle name="Accent4 41 2" xfId="6018"/>
    <cellStyle name="Accent4 41 2 2" xfId="6019"/>
    <cellStyle name="Accent4 41 3" xfId="6020"/>
    <cellStyle name="Accent4 42" xfId="6021"/>
    <cellStyle name="Accent4 42 2" xfId="6022"/>
    <cellStyle name="Accent4 42 2 2" xfId="6023"/>
    <cellStyle name="Accent4 42 3" xfId="6024"/>
    <cellStyle name="Accent4 43" xfId="6025"/>
    <cellStyle name="Accent4 43 2" xfId="6026"/>
    <cellStyle name="Accent4 43 2 2" xfId="6027"/>
    <cellStyle name="Accent4 43 3" xfId="6028"/>
    <cellStyle name="Accent4 44" xfId="6029"/>
    <cellStyle name="Accent4 44 2" xfId="6030"/>
    <cellStyle name="Accent4 44 2 2" xfId="6031"/>
    <cellStyle name="Accent4 44 3" xfId="6032"/>
    <cellStyle name="Accent4 45" xfId="6033"/>
    <cellStyle name="Accent4 45 2" xfId="6034"/>
    <cellStyle name="Accent4 45 2 2" xfId="6035"/>
    <cellStyle name="Accent4 45 3" xfId="6036"/>
    <cellStyle name="Accent4 46" xfId="6037"/>
    <cellStyle name="Accent4 46 2" xfId="6038"/>
    <cellStyle name="Accent4 46 2 2" xfId="6039"/>
    <cellStyle name="Accent4 46 3" xfId="6040"/>
    <cellStyle name="Accent4 47" xfId="6041"/>
    <cellStyle name="Accent4 47 2" xfId="6042"/>
    <cellStyle name="Accent4 47 2 2" xfId="6043"/>
    <cellStyle name="Accent4 47 3" xfId="6044"/>
    <cellStyle name="Accent4 48" xfId="6045"/>
    <cellStyle name="Accent4 48 2" xfId="6046"/>
    <cellStyle name="Accent4 48 2 2" xfId="6047"/>
    <cellStyle name="Accent4 48 3" xfId="6048"/>
    <cellStyle name="Accent4 48 3 2" xfId="6049"/>
    <cellStyle name="Accent4 48 3 2 2" xfId="6050"/>
    <cellStyle name="Accent4 48 3 3" xfId="6051"/>
    <cellStyle name="Accent4 48 4" xfId="6052"/>
    <cellStyle name="Accent4 49" xfId="6053"/>
    <cellStyle name="Accent4 49 2" xfId="6054"/>
    <cellStyle name="Accent4 49 2 2" xfId="6055"/>
    <cellStyle name="Accent4 49 3" xfId="6056"/>
    <cellStyle name="Accent4 49 3 2" xfId="6057"/>
    <cellStyle name="Accent4 49 3 2 2" xfId="6058"/>
    <cellStyle name="Accent4 49 3 3" xfId="6059"/>
    <cellStyle name="Accent4 49 4" xfId="6060"/>
    <cellStyle name="Accent4 5" xfId="6061"/>
    <cellStyle name="Accent4 5 2" xfId="6062"/>
    <cellStyle name="Accent4 5 2 2" xfId="6063"/>
    <cellStyle name="Accent4 5 2 2 2" xfId="6064"/>
    <cellStyle name="Accent4 5 2 3" xfId="6065"/>
    <cellStyle name="Accent4 5 2 3 2" xfId="6066"/>
    <cellStyle name="Accent4 5 2 3 2 2" xfId="6067"/>
    <cellStyle name="Accent4 5 2 3 3" xfId="6068"/>
    <cellStyle name="Accent4 5 2 4" xfId="6069"/>
    <cellStyle name="Accent4 5 3" xfId="6070"/>
    <cellStyle name="Accent4 5 3 2" xfId="6071"/>
    <cellStyle name="Accent4 5 3 2 2" xfId="6072"/>
    <cellStyle name="Accent4 5 3 3" xfId="6073"/>
    <cellStyle name="Accent4 5 3 3 2" xfId="6074"/>
    <cellStyle name="Accent4 5 3 3 2 2" xfId="6075"/>
    <cellStyle name="Accent4 5 3 3 3" xfId="6076"/>
    <cellStyle name="Accent4 5 3 4" xfId="6077"/>
    <cellStyle name="Accent4 5 4" xfId="6078"/>
    <cellStyle name="Accent4 5 4 2" xfId="6079"/>
    <cellStyle name="Accent4 5 5" xfId="6080"/>
    <cellStyle name="Accent4 5 5 2" xfId="6081"/>
    <cellStyle name="Accent4 5 5 2 2" xfId="6082"/>
    <cellStyle name="Accent4 5 5 3" xfId="6083"/>
    <cellStyle name="Accent4 5 6" xfId="6084"/>
    <cellStyle name="Accent4 5 6 2" xfId="6085"/>
    <cellStyle name="Accent4 5 7" xfId="6086"/>
    <cellStyle name="Accent4 50" xfId="6087"/>
    <cellStyle name="Accent4 50 2" xfId="6088"/>
    <cellStyle name="Accent4 50 2 2" xfId="6089"/>
    <cellStyle name="Accent4 50 3" xfId="6090"/>
    <cellStyle name="Accent4 50 3 2" xfId="6091"/>
    <cellStyle name="Accent4 50 3 2 2" xfId="6092"/>
    <cellStyle name="Accent4 50 3 3" xfId="6093"/>
    <cellStyle name="Accent4 50 4" xfId="6094"/>
    <cellStyle name="Accent4 51" xfId="6095"/>
    <cellStyle name="Accent4 51 2" xfId="6096"/>
    <cellStyle name="Accent4 51 2 2" xfId="6097"/>
    <cellStyle name="Accent4 51 3" xfId="6098"/>
    <cellStyle name="Accent4 51 3 2" xfId="6099"/>
    <cellStyle name="Accent4 51 3 2 2" xfId="6100"/>
    <cellStyle name="Accent4 51 3 3" xfId="6101"/>
    <cellStyle name="Accent4 51 4" xfId="6102"/>
    <cellStyle name="Accent4 52" xfId="6103"/>
    <cellStyle name="Accent4 52 2" xfId="6104"/>
    <cellStyle name="Accent4 52 2 2" xfId="6105"/>
    <cellStyle name="Accent4 52 3" xfId="6106"/>
    <cellStyle name="Accent4 53" xfId="6107"/>
    <cellStyle name="Accent4 53 2" xfId="6108"/>
    <cellStyle name="Accent4 53 2 2" xfId="6109"/>
    <cellStyle name="Accent4 53 3" xfId="6110"/>
    <cellStyle name="Accent4 54" xfId="6111"/>
    <cellStyle name="Accent4 54 2" xfId="6112"/>
    <cellStyle name="Accent4 54 2 2" xfId="6113"/>
    <cellStyle name="Accent4 54 3" xfId="6114"/>
    <cellStyle name="Accent4 55" xfId="6115"/>
    <cellStyle name="Accent4 55 2" xfId="6116"/>
    <cellStyle name="Accent4 55 2 2" xfId="6117"/>
    <cellStyle name="Accent4 55 3" xfId="6118"/>
    <cellStyle name="Accent4 56" xfId="6119"/>
    <cellStyle name="Accent4 56 2" xfId="6120"/>
    <cellStyle name="Accent4 56 2 2" xfId="6121"/>
    <cellStyle name="Accent4 56 3" xfId="6122"/>
    <cellStyle name="Accent4 57" xfId="6123"/>
    <cellStyle name="Accent4 57 2" xfId="6124"/>
    <cellStyle name="Accent4 57 2 2" xfId="6125"/>
    <cellStyle name="Accent4 57 3" xfId="6126"/>
    <cellStyle name="Accent4 58" xfId="6127"/>
    <cellStyle name="Accent4 58 2" xfId="6128"/>
    <cellStyle name="Accent4 58 2 2" xfId="6129"/>
    <cellStyle name="Accent4 58 3" xfId="6130"/>
    <cellStyle name="Accent4 58 3 2" xfId="6131"/>
    <cellStyle name="Accent4 58 3 2 2" xfId="6132"/>
    <cellStyle name="Accent4 58 3 3" xfId="6133"/>
    <cellStyle name="Accent4 58 4" xfId="6134"/>
    <cellStyle name="Accent4 59" xfId="6135"/>
    <cellStyle name="Accent4 59 2" xfId="6136"/>
    <cellStyle name="Accent4 59 2 2" xfId="6137"/>
    <cellStyle name="Accent4 59 3" xfId="6138"/>
    <cellStyle name="Accent4 59 3 2" xfId="6139"/>
    <cellStyle name="Accent4 59 3 2 2" xfId="6140"/>
    <cellStyle name="Accent4 59 3 3" xfId="6141"/>
    <cellStyle name="Accent4 59 4" xfId="6142"/>
    <cellStyle name="Accent4 6" xfId="6143"/>
    <cellStyle name="Accent4 6 2" xfId="6144"/>
    <cellStyle name="Accent4 6 2 2" xfId="6145"/>
    <cellStyle name="Accent4 6 2 2 2" xfId="6146"/>
    <cellStyle name="Accent4 6 2 3" xfId="6147"/>
    <cellStyle name="Accent4 6 2 3 2" xfId="6148"/>
    <cellStyle name="Accent4 6 2 3 2 2" xfId="6149"/>
    <cellStyle name="Accent4 6 2 3 3" xfId="6150"/>
    <cellStyle name="Accent4 6 2 4" xfId="6151"/>
    <cellStyle name="Accent4 6 3" xfId="6152"/>
    <cellStyle name="Accent4 6 3 2" xfId="6153"/>
    <cellStyle name="Accent4 6 4" xfId="6154"/>
    <cellStyle name="Accent4 6 4 2" xfId="6155"/>
    <cellStyle name="Accent4 6 4 2 2" xfId="6156"/>
    <cellStyle name="Accent4 6 4 3" xfId="6157"/>
    <cellStyle name="Accent4 6 5" xfId="6158"/>
    <cellStyle name="Accent4 60" xfId="6159"/>
    <cellStyle name="Accent4 60 2" xfId="6160"/>
    <cellStyle name="Accent4 60 2 2" xfId="6161"/>
    <cellStyle name="Accent4 60 3" xfId="6162"/>
    <cellStyle name="Accent4 60 3 2" xfId="6163"/>
    <cellStyle name="Accent4 60 3 2 2" xfId="6164"/>
    <cellStyle name="Accent4 60 3 3" xfId="6165"/>
    <cellStyle name="Accent4 60 4" xfId="6166"/>
    <cellStyle name="Accent4 61" xfId="6167"/>
    <cellStyle name="Accent4 61 2" xfId="6168"/>
    <cellStyle name="Accent4 61 2 2" xfId="6169"/>
    <cellStyle name="Accent4 61 3" xfId="6170"/>
    <cellStyle name="Accent4 61 3 2" xfId="6171"/>
    <cellStyle name="Accent4 61 3 2 2" xfId="6172"/>
    <cellStyle name="Accent4 61 3 3" xfId="6173"/>
    <cellStyle name="Accent4 61 4" xfId="6174"/>
    <cellStyle name="Accent4 62" xfId="6175"/>
    <cellStyle name="Accent4 62 2" xfId="6176"/>
    <cellStyle name="Accent4 62 2 2" xfId="6177"/>
    <cellStyle name="Accent4 62 3" xfId="6178"/>
    <cellStyle name="Accent4 62 3 2" xfId="6179"/>
    <cellStyle name="Accent4 62 3 2 2" xfId="6180"/>
    <cellStyle name="Accent4 62 3 3" xfId="6181"/>
    <cellStyle name="Accent4 62 4" xfId="6182"/>
    <cellStyle name="Accent4 63" xfId="6183"/>
    <cellStyle name="Accent4 63 2" xfId="6184"/>
    <cellStyle name="Accent4 63 2 2" xfId="6185"/>
    <cellStyle name="Accent4 63 3" xfId="6186"/>
    <cellStyle name="Accent4 63 3 2" xfId="6187"/>
    <cellStyle name="Accent4 63 3 2 2" xfId="6188"/>
    <cellStyle name="Accent4 63 3 3" xfId="6189"/>
    <cellStyle name="Accent4 63 4" xfId="6190"/>
    <cellStyle name="Accent4 64" xfId="6191"/>
    <cellStyle name="Accent4 64 2" xfId="6192"/>
    <cellStyle name="Accent4 64 2 2" xfId="6193"/>
    <cellStyle name="Accent4 64 3" xfId="6194"/>
    <cellStyle name="Accent4 64 3 2" xfId="6195"/>
    <cellStyle name="Accent4 64 3 2 2" xfId="6196"/>
    <cellStyle name="Accent4 64 3 3" xfId="6197"/>
    <cellStyle name="Accent4 64 4" xfId="6198"/>
    <cellStyle name="Accent4 65" xfId="6199"/>
    <cellStyle name="Accent4 65 2" xfId="6200"/>
    <cellStyle name="Accent4 65 2 2" xfId="6201"/>
    <cellStyle name="Accent4 65 3" xfId="6202"/>
    <cellStyle name="Accent4 65 3 2" xfId="6203"/>
    <cellStyle name="Accent4 65 3 2 2" xfId="6204"/>
    <cellStyle name="Accent4 65 3 3" xfId="6205"/>
    <cellStyle name="Accent4 65 4" xfId="6206"/>
    <cellStyle name="Accent4 66" xfId="6207"/>
    <cellStyle name="Accent4 66 2" xfId="6208"/>
    <cellStyle name="Accent4 66 2 2" xfId="6209"/>
    <cellStyle name="Accent4 66 3" xfId="6210"/>
    <cellStyle name="Accent4 66 3 2" xfId="6211"/>
    <cellStyle name="Accent4 66 3 2 2" xfId="6212"/>
    <cellStyle name="Accent4 66 3 3" xfId="6213"/>
    <cellStyle name="Accent4 66 4" xfId="6214"/>
    <cellStyle name="Accent4 67" xfId="6215"/>
    <cellStyle name="Accent4 67 2" xfId="6216"/>
    <cellStyle name="Accent4 67 2 2" xfId="6217"/>
    <cellStyle name="Accent4 67 3" xfId="6218"/>
    <cellStyle name="Accent4 67 3 2" xfId="6219"/>
    <cellStyle name="Accent4 67 3 2 2" xfId="6220"/>
    <cellStyle name="Accent4 67 3 3" xfId="6221"/>
    <cellStyle name="Accent4 67 4" xfId="6222"/>
    <cellStyle name="Accent4 68" xfId="6223"/>
    <cellStyle name="Accent4 68 2" xfId="6224"/>
    <cellStyle name="Accent4 68 2 2" xfId="6225"/>
    <cellStyle name="Accent4 68 3" xfId="6226"/>
    <cellStyle name="Accent4 68 3 2" xfId="6227"/>
    <cellStyle name="Accent4 68 3 2 2" xfId="6228"/>
    <cellStyle name="Accent4 68 3 3" xfId="6229"/>
    <cellStyle name="Accent4 68 4" xfId="6230"/>
    <cellStyle name="Accent4 69" xfId="6231"/>
    <cellStyle name="Accent4 69 2" xfId="6232"/>
    <cellStyle name="Accent4 69 2 2" xfId="6233"/>
    <cellStyle name="Accent4 69 3" xfId="6234"/>
    <cellStyle name="Accent4 69 3 2" xfId="6235"/>
    <cellStyle name="Accent4 69 3 2 2" xfId="6236"/>
    <cellStyle name="Accent4 69 3 3" xfId="6237"/>
    <cellStyle name="Accent4 69 4" xfId="6238"/>
    <cellStyle name="Accent4 7" xfId="6239"/>
    <cellStyle name="Accent4 7 2" xfId="6240"/>
    <cellStyle name="Accent4 7 2 2" xfId="6241"/>
    <cellStyle name="Accent4 7 2 2 2" xfId="6242"/>
    <cellStyle name="Accent4 7 2 3" xfId="6243"/>
    <cellStyle name="Accent4 7 2 3 2" xfId="6244"/>
    <cellStyle name="Accent4 7 2 3 2 2" xfId="6245"/>
    <cellStyle name="Accent4 7 2 3 3" xfId="6246"/>
    <cellStyle name="Accent4 7 2 4" xfId="6247"/>
    <cellStyle name="Accent4 7 3" xfId="6248"/>
    <cellStyle name="Accent4 7 3 2" xfId="6249"/>
    <cellStyle name="Accent4 7 4" xfId="6250"/>
    <cellStyle name="Accent4 7 4 2" xfId="6251"/>
    <cellStyle name="Accent4 7 4 2 2" xfId="6252"/>
    <cellStyle name="Accent4 7 4 3" xfId="6253"/>
    <cellStyle name="Accent4 7 5" xfId="6254"/>
    <cellStyle name="Accent4 70" xfId="6255"/>
    <cellStyle name="Accent4 70 2" xfId="6256"/>
    <cellStyle name="Accent4 70 2 2" xfId="6257"/>
    <cellStyle name="Accent4 70 3" xfId="6258"/>
    <cellStyle name="Accent4 70 3 2" xfId="6259"/>
    <cellStyle name="Accent4 70 3 2 2" xfId="6260"/>
    <cellStyle name="Accent4 70 3 3" xfId="6261"/>
    <cellStyle name="Accent4 70 4" xfId="6262"/>
    <cellStyle name="Accent4 71" xfId="6263"/>
    <cellStyle name="Accent4 71 2" xfId="6264"/>
    <cellStyle name="Accent4 71 2 2" xfId="6265"/>
    <cellStyle name="Accent4 71 3" xfId="6266"/>
    <cellStyle name="Accent4 71 3 2" xfId="6267"/>
    <cellStyle name="Accent4 71 3 2 2" xfId="6268"/>
    <cellStyle name="Accent4 71 3 3" xfId="6269"/>
    <cellStyle name="Accent4 71 4" xfId="6270"/>
    <cellStyle name="Accent4 72" xfId="6271"/>
    <cellStyle name="Accent4 72 2" xfId="6272"/>
    <cellStyle name="Accent4 72 2 2" xfId="6273"/>
    <cellStyle name="Accent4 72 3" xfId="6274"/>
    <cellStyle name="Accent4 72 3 2" xfId="6275"/>
    <cellStyle name="Accent4 72 3 2 2" xfId="6276"/>
    <cellStyle name="Accent4 72 3 3" xfId="6277"/>
    <cellStyle name="Accent4 72 4" xfId="6278"/>
    <cellStyle name="Accent4 73" xfId="6279"/>
    <cellStyle name="Accent4 73 2" xfId="6280"/>
    <cellStyle name="Accent4 73 2 2" xfId="6281"/>
    <cellStyle name="Accent4 73 3" xfId="6282"/>
    <cellStyle name="Accent4 73 3 2" xfId="6283"/>
    <cellStyle name="Accent4 73 3 2 2" xfId="6284"/>
    <cellStyle name="Accent4 73 3 3" xfId="6285"/>
    <cellStyle name="Accent4 73 4" xfId="6286"/>
    <cellStyle name="Accent4 74" xfId="6287"/>
    <cellStyle name="Accent4 74 2" xfId="6288"/>
    <cellStyle name="Accent4 74 2 2" xfId="6289"/>
    <cellStyle name="Accent4 74 3" xfId="6290"/>
    <cellStyle name="Accent4 74 3 2" xfId="6291"/>
    <cellStyle name="Accent4 74 3 2 2" xfId="6292"/>
    <cellStyle name="Accent4 74 3 3" xfId="6293"/>
    <cellStyle name="Accent4 74 4" xfId="6294"/>
    <cellStyle name="Accent4 75" xfId="6295"/>
    <cellStyle name="Accent4 75 2" xfId="6296"/>
    <cellStyle name="Accent4 75 2 2" xfId="6297"/>
    <cellStyle name="Accent4 75 3" xfId="6298"/>
    <cellStyle name="Accent4 75 3 2" xfId="6299"/>
    <cellStyle name="Accent4 75 3 2 2" xfId="6300"/>
    <cellStyle name="Accent4 75 3 3" xfId="6301"/>
    <cellStyle name="Accent4 75 4" xfId="6302"/>
    <cellStyle name="Accent4 76" xfId="6303"/>
    <cellStyle name="Accent4 76 2" xfId="6304"/>
    <cellStyle name="Accent4 76 2 2" xfId="6305"/>
    <cellStyle name="Accent4 76 3" xfId="6306"/>
    <cellStyle name="Accent4 76 3 2" xfId="6307"/>
    <cellStyle name="Accent4 76 3 2 2" xfId="6308"/>
    <cellStyle name="Accent4 76 3 3" xfId="6309"/>
    <cellStyle name="Accent4 76 4" xfId="6310"/>
    <cellStyle name="Accent4 77" xfId="6311"/>
    <cellStyle name="Accent4 77 2" xfId="6312"/>
    <cellStyle name="Accent4 77 2 2" xfId="6313"/>
    <cellStyle name="Accent4 77 3" xfId="6314"/>
    <cellStyle name="Accent4 77 3 2" xfId="6315"/>
    <cellStyle name="Accent4 77 3 2 2" xfId="6316"/>
    <cellStyle name="Accent4 77 3 3" xfId="6317"/>
    <cellStyle name="Accent4 77 4" xfId="6318"/>
    <cellStyle name="Accent4 78" xfId="6319"/>
    <cellStyle name="Accent4 78 2" xfId="6320"/>
    <cellStyle name="Accent4 78 2 2" xfId="6321"/>
    <cellStyle name="Accent4 78 3" xfId="6322"/>
    <cellStyle name="Accent4 78 3 2" xfId="6323"/>
    <cellStyle name="Accent4 78 3 2 2" xfId="6324"/>
    <cellStyle name="Accent4 78 3 3" xfId="6325"/>
    <cellStyle name="Accent4 78 4" xfId="6326"/>
    <cellStyle name="Accent4 79" xfId="6327"/>
    <cellStyle name="Accent4 79 2" xfId="6328"/>
    <cellStyle name="Accent4 79 2 2" xfId="6329"/>
    <cellStyle name="Accent4 79 3" xfId="6330"/>
    <cellStyle name="Accent4 79 3 2" xfId="6331"/>
    <cellStyle name="Accent4 79 3 2 2" xfId="6332"/>
    <cellStyle name="Accent4 79 3 3" xfId="6333"/>
    <cellStyle name="Accent4 79 4" xfId="6334"/>
    <cellStyle name="Accent4 8" xfId="6335"/>
    <cellStyle name="Accent4 8 2" xfId="6336"/>
    <cellStyle name="Accent4 8 2 2" xfId="6337"/>
    <cellStyle name="Accent4 8 3" xfId="6338"/>
    <cellStyle name="Accent4 80" xfId="6339"/>
    <cellStyle name="Accent4 80 2" xfId="6340"/>
    <cellStyle name="Accent4 80 2 2" xfId="6341"/>
    <cellStyle name="Accent4 80 3" xfId="6342"/>
    <cellStyle name="Accent4 80 3 2" xfId="6343"/>
    <cellStyle name="Accent4 80 3 2 2" xfId="6344"/>
    <cellStyle name="Accent4 80 3 3" xfId="6345"/>
    <cellStyle name="Accent4 80 4" xfId="6346"/>
    <cellStyle name="Accent4 81" xfId="6347"/>
    <cellStyle name="Accent4 81 2" xfId="6348"/>
    <cellStyle name="Accent4 81 2 2" xfId="6349"/>
    <cellStyle name="Accent4 81 3" xfId="6350"/>
    <cellStyle name="Accent4 81 3 2" xfId="6351"/>
    <cellStyle name="Accent4 81 3 2 2" xfId="6352"/>
    <cellStyle name="Accent4 81 3 3" xfId="6353"/>
    <cellStyle name="Accent4 81 4" xfId="6354"/>
    <cellStyle name="Accent4 82" xfId="6355"/>
    <cellStyle name="Accent4 82 2" xfId="6356"/>
    <cellStyle name="Accent4 82 2 2" xfId="6357"/>
    <cellStyle name="Accent4 82 3" xfId="6358"/>
    <cellStyle name="Accent4 82 3 2" xfId="6359"/>
    <cellStyle name="Accent4 82 3 2 2" xfId="6360"/>
    <cellStyle name="Accent4 82 3 3" xfId="6361"/>
    <cellStyle name="Accent4 82 4" xfId="6362"/>
    <cellStyle name="Accent4 83" xfId="6363"/>
    <cellStyle name="Accent4 83 2" xfId="6364"/>
    <cellStyle name="Accent4 83 2 2" xfId="6365"/>
    <cellStyle name="Accent4 83 3" xfId="6366"/>
    <cellStyle name="Accent4 83 3 2" xfId="6367"/>
    <cellStyle name="Accent4 83 3 2 2" xfId="6368"/>
    <cellStyle name="Accent4 83 3 3" xfId="6369"/>
    <cellStyle name="Accent4 83 4" xfId="6370"/>
    <cellStyle name="Accent4 84" xfId="6371"/>
    <cellStyle name="Accent4 84 2" xfId="6372"/>
    <cellStyle name="Accent4 84 2 2" xfId="6373"/>
    <cellStyle name="Accent4 84 3" xfId="6374"/>
    <cellStyle name="Accent4 85" xfId="6375"/>
    <cellStyle name="Accent4 85 2" xfId="6376"/>
    <cellStyle name="Accent4 85 2 2" xfId="6377"/>
    <cellStyle name="Accent4 85 3" xfId="6378"/>
    <cellStyle name="Accent4 86" xfId="6379"/>
    <cellStyle name="Accent4 86 2" xfId="6380"/>
    <cellStyle name="Accent4 86 2 2" xfId="6381"/>
    <cellStyle name="Accent4 86 3" xfId="6382"/>
    <cellStyle name="Accent4 87" xfId="6383"/>
    <cellStyle name="Accent4 87 2" xfId="6384"/>
    <cellStyle name="Accent4 87 2 2" xfId="6385"/>
    <cellStyle name="Accent4 87 3" xfId="6386"/>
    <cellStyle name="Accent4 88" xfId="6387"/>
    <cellStyle name="Accent4 88 2" xfId="6388"/>
    <cellStyle name="Accent4 88 2 2" xfId="6389"/>
    <cellStyle name="Accent4 88 3" xfId="6390"/>
    <cellStyle name="Accent4 89" xfId="6391"/>
    <cellStyle name="Accent4 89 2" xfId="6392"/>
    <cellStyle name="Accent4 89 2 2" xfId="6393"/>
    <cellStyle name="Accent4 89 3" xfId="6394"/>
    <cellStyle name="Accent4 9" xfId="6395"/>
    <cellStyle name="Accent4 9 2" xfId="6396"/>
    <cellStyle name="Accent4 9 2 2" xfId="6397"/>
    <cellStyle name="Accent4 9 3" xfId="6398"/>
    <cellStyle name="Accent4 90" xfId="6399"/>
    <cellStyle name="Accent4 90 2" xfId="6400"/>
    <cellStyle name="Accent4 90 2 2" xfId="6401"/>
    <cellStyle name="Accent4 90 3" xfId="6402"/>
    <cellStyle name="Accent4 91" xfId="6403"/>
    <cellStyle name="Accent4 91 2" xfId="6404"/>
    <cellStyle name="Accent4 91 2 2" xfId="6405"/>
    <cellStyle name="Accent4 91 3" xfId="6406"/>
    <cellStyle name="Accent4 92" xfId="6407"/>
    <cellStyle name="Accent4 92 2" xfId="6408"/>
    <cellStyle name="Accent4 92 2 2" xfId="6409"/>
    <cellStyle name="Accent4 92 3" xfId="6410"/>
    <cellStyle name="Accent4 93" xfId="6411"/>
    <cellStyle name="Accent4 93 2" xfId="6412"/>
    <cellStyle name="Accent4 93 2 2" xfId="6413"/>
    <cellStyle name="Accent4 93 3" xfId="6414"/>
    <cellStyle name="Accent4 94" xfId="6415"/>
    <cellStyle name="Accent4 94 2" xfId="6416"/>
    <cellStyle name="Accent4 94 2 2" xfId="6417"/>
    <cellStyle name="Accent4 94 3" xfId="6418"/>
    <cellStyle name="Accent4 95" xfId="6419"/>
    <cellStyle name="Accent4 95 2" xfId="6420"/>
    <cellStyle name="Accent4 95 2 2" xfId="6421"/>
    <cellStyle name="Accent4 95 3" xfId="6422"/>
    <cellStyle name="Accent4 96" xfId="6423"/>
    <cellStyle name="Accent4 96 2" xfId="6424"/>
    <cellStyle name="Accent4 96 2 2" xfId="6425"/>
    <cellStyle name="Accent4 96 3" xfId="6426"/>
    <cellStyle name="Accent4 97" xfId="6427"/>
    <cellStyle name="Accent4 97 2" xfId="6428"/>
    <cellStyle name="Accent4 97 2 2" xfId="6429"/>
    <cellStyle name="Accent4 97 3" xfId="6430"/>
    <cellStyle name="Accent4 98" xfId="6431"/>
    <cellStyle name="Accent4 98 2" xfId="6432"/>
    <cellStyle name="Accent4 98 2 2" xfId="6433"/>
    <cellStyle name="Accent4 98 3" xfId="6434"/>
    <cellStyle name="Accent4 99" xfId="6435"/>
    <cellStyle name="Accent4 99 2" xfId="6436"/>
    <cellStyle name="Accent4 99 2 2" xfId="6437"/>
    <cellStyle name="Accent4 99 3" xfId="6438"/>
    <cellStyle name="Accent5 - 20%" xfId="13"/>
    <cellStyle name="Accent5 - 20% 10" xfId="6439"/>
    <cellStyle name="Accent5 - 20% 11" xfId="6440"/>
    <cellStyle name="Accent5 - 20% 2" xfId="6441"/>
    <cellStyle name="Accent5 - 20% 2 2" xfId="6442"/>
    <cellStyle name="Accent5 - 20% 2 2 2" xfId="6443"/>
    <cellStyle name="Accent5 - 20% 2 2 2 2" xfId="6444"/>
    <cellStyle name="Accent5 - 20% 2 2 3" xfId="6445"/>
    <cellStyle name="Accent5 - 20% 2 3" xfId="6446"/>
    <cellStyle name="Accent5 - 20% 2 3 2" xfId="6447"/>
    <cellStyle name="Accent5 - 20% 2 3 2 2" xfId="6448"/>
    <cellStyle name="Accent5 - 20% 2 3 2 2 2" xfId="6449"/>
    <cellStyle name="Accent5 - 20% 2 3 2 3" xfId="6450"/>
    <cellStyle name="Accent5 - 20% 2 3 3" xfId="6451"/>
    <cellStyle name="Accent5 - 20% 2 3 3 2" xfId="6452"/>
    <cellStyle name="Accent5 - 20% 2 3 4" xfId="6453"/>
    <cellStyle name="Accent5 - 20% 2 4" xfId="6454"/>
    <cellStyle name="Accent5 - 20% 2 4 2" xfId="6455"/>
    <cellStyle name="Accent5 - 20% 2 4 2 2" xfId="6456"/>
    <cellStyle name="Accent5 - 20% 2 4 2 2 2" xfId="6457"/>
    <cellStyle name="Accent5 - 20% 2 4 2 3" xfId="6458"/>
    <cellStyle name="Accent5 - 20% 2 4 3" xfId="6459"/>
    <cellStyle name="Accent5 - 20% 2 4 3 2" xfId="6460"/>
    <cellStyle name="Accent5 - 20% 2 4 4" xfId="6461"/>
    <cellStyle name="Accent5 - 20% 2 5" xfId="6462"/>
    <cellStyle name="Accent5 - 20% 2 5 2" xfId="6463"/>
    <cellStyle name="Accent5 - 20% 2 6" xfId="6464"/>
    <cellStyle name="Accent5 - 20% 2 6 2" xfId="6465"/>
    <cellStyle name="Accent5 - 20% 2 7" xfId="6466"/>
    <cellStyle name="Accent5 - 20% 3" xfId="6467"/>
    <cellStyle name="Accent5 - 20% 3 2" xfId="6468"/>
    <cellStyle name="Accent5 - 20% 3 2 2" xfId="6469"/>
    <cellStyle name="Accent5 - 20% 3 2 2 2" xfId="6470"/>
    <cellStyle name="Accent5 - 20% 3 2 3" xfId="6471"/>
    <cellStyle name="Accent5 - 20% 3 3" xfId="6472"/>
    <cellStyle name="Accent5 - 20% 3 3 2" xfId="6473"/>
    <cellStyle name="Accent5 - 20% 3 4" xfId="6474"/>
    <cellStyle name="Accent5 - 20% 4" xfId="6475"/>
    <cellStyle name="Accent5 - 20% 4 2" xfId="6476"/>
    <cellStyle name="Accent5 - 20% 4 2 2" xfId="6477"/>
    <cellStyle name="Accent5 - 20% 4 3" xfId="6478"/>
    <cellStyle name="Accent5 - 20% 5" xfId="6479"/>
    <cellStyle name="Accent5 - 20% 5 2" xfId="6480"/>
    <cellStyle name="Accent5 - 20% 5 2 2" xfId="6481"/>
    <cellStyle name="Accent5 - 20% 5 3" xfId="6482"/>
    <cellStyle name="Accent5 - 20% 6" xfId="6483"/>
    <cellStyle name="Accent5 - 20% 6 2" xfId="6484"/>
    <cellStyle name="Accent5 - 20% 7" xfId="6485"/>
    <cellStyle name="Accent5 - 20% 7 2" xfId="6486"/>
    <cellStyle name="Accent5 - 20% 8" xfId="6487"/>
    <cellStyle name="Accent5 - 20% 8 2" xfId="6488"/>
    <cellStyle name="Accent5 - 20% 9" xfId="6489"/>
    <cellStyle name="Accent5 - 20% 9 2" xfId="6490"/>
    <cellStyle name="Accent5 - 40%" xfId="14"/>
    <cellStyle name="Accent5 - 40% 2" xfId="6491"/>
    <cellStyle name="Accent5 - 40% 2 2" xfId="6492"/>
    <cellStyle name="Accent5 - 40% 2 2 2" xfId="6493"/>
    <cellStyle name="Accent5 - 40% 2 2 2 2" xfId="6494"/>
    <cellStyle name="Accent5 - 40% 2 2 3" xfId="6495"/>
    <cellStyle name="Accent5 - 40% 2 3" xfId="6496"/>
    <cellStyle name="Accent5 - 40% 2 3 2" xfId="6497"/>
    <cellStyle name="Accent5 - 40% 2 3 2 2" xfId="6498"/>
    <cellStyle name="Accent5 - 40% 2 3 2 2 2" xfId="6499"/>
    <cellStyle name="Accent5 - 40% 2 3 2 3" xfId="6500"/>
    <cellStyle name="Accent5 - 40% 2 3 3" xfId="6501"/>
    <cellStyle name="Accent5 - 40% 2 3 3 2" xfId="6502"/>
    <cellStyle name="Accent5 - 40% 2 3 4" xfId="6503"/>
    <cellStyle name="Accent5 - 40% 2 4" xfId="6504"/>
    <cellStyle name="Accent5 - 40% 2 4 2" xfId="6505"/>
    <cellStyle name="Accent5 - 40% 2 5" xfId="6506"/>
    <cellStyle name="Accent5 - 40% 2 5 2" xfId="6507"/>
    <cellStyle name="Accent5 - 40% 2 6" xfId="6508"/>
    <cellStyle name="Accent5 - 40% 3" xfId="6509"/>
    <cellStyle name="Accent5 - 40% 3 2" xfId="6510"/>
    <cellStyle name="Accent5 - 40% 3 2 2" xfId="6511"/>
    <cellStyle name="Accent5 - 40% 3 2 2 2" xfId="6512"/>
    <cellStyle name="Accent5 - 40% 3 2 3" xfId="6513"/>
    <cellStyle name="Accent5 - 40% 3 3" xfId="6514"/>
    <cellStyle name="Accent5 - 40% 3 3 2" xfId="6515"/>
    <cellStyle name="Accent5 - 40% 3 4" xfId="6516"/>
    <cellStyle name="Accent5 - 40% 4" xfId="6517"/>
    <cellStyle name="Accent5 - 40% 4 2" xfId="6518"/>
    <cellStyle name="Accent5 - 40% 4 2 2" xfId="6519"/>
    <cellStyle name="Accent5 - 40% 4 3" xfId="6520"/>
    <cellStyle name="Accent5 - 40% 5" xfId="6521"/>
    <cellStyle name="Accent5 - 40% 5 2" xfId="6522"/>
    <cellStyle name="Accent5 - 40% 6" xfId="6523"/>
    <cellStyle name="Accent5 - 40% 6 2" xfId="6524"/>
    <cellStyle name="Accent5 - 40% 7" xfId="6525"/>
    <cellStyle name="Accent5 - 40% 8" xfId="6526"/>
    <cellStyle name="Accent5 - 60%" xfId="15"/>
    <cellStyle name="Accent5 - 60% 10" xfId="6527"/>
    <cellStyle name="Accent5 - 60% 2" xfId="6528"/>
    <cellStyle name="Accent5 - 60% 2 2" xfId="6529"/>
    <cellStyle name="Accent5 - 60% 2 2 2" xfId="6530"/>
    <cellStyle name="Accent5 - 60% 2 3" xfId="6531"/>
    <cellStyle name="Accent5 - 60% 2 3 2" xfId="6532"/>
    <cellStyle name="Accent5 - 60% 2 3 2 2" xfId="6533"/>
    <cellStyle name="Accent5 - 60% 2 3 3" xfId="6534"/>
    <cellStyle name="Accent5 - 60% 2 4" xfId="6535"/>
    <cellStyle name="Accent5 - 60% 2 4 2" xfId="6536"/>
    <cellStyle name="Accent5 - 60% 2 4 2 2" xfId="6537"/>
    <cellStyle name="Accent5 - 60% 2 4 3" xfId="6538"/>
    <cellStyle name="Accent5 - 60% 2 5" xfId="6539"/>
    <cellStyle name="Accent5 - 60% 3" xfId="6540"/>
    <cellStyle name="Accent5 - 60% 3 2" xfId="6541"/>
    <cellStyle name="Accent5 - 60% 3 2 2" xfId="6542"/>
    <cellStyle name="Accent5 - 60% 3 3" xfId="6543"/>
    <cellStyle name="Accent5 - 60% 4" xfId="6544"/>
    <cellStyle name="Accent5 - 60% 4 2" xfId="6545"/>
    <cellStyle name="Accent5 - 60% 5" xfId="6546"/>
    <cellStyle name="Accent5 - 60% 5 2" xfId="6547"/>
    <cellStyle name="Accent5 - 60% 6" xfId="6548"/>
    <cellStyle name="Accent5 - 60% 6 2" xfId="6549"/>
    <cellStyle name="Accent5 - 60% 6 2 2" xfId="6550"/>
    <cellStyle name="Accent5 - 60% 6 3" xfId="6551"/>
    <cellStyle name="Accent5 - 60% 7" xfId="6552"/>
    <cellStyle name="Accent5 - 60% 7 2" xfId="6553"/>
    <cellStyle name="Accent5 - 60% 8" xfId="6554"/>
    <cellStyle name="Accent5 - 60% 8 2" xfId="6555"/>
    <cellStyle name="Accent5 - 60% 9" xfId="6556"/>
    <cellStyle name="Accent5 10" xfId="6557"/>
    <cellStyle name="Accent5 10 2" xfId="6558"/>
    <cellStyle name="Accent5 10 2 2" xfId="6559"/>
    <cellStyle name="Accent5 10 3" xfId="6560"/>
    <cellStyle name="Accent5 100" xfId="6561"/>
    <cellStyle name="Accent5 100 2" xfId="6562"/>
    <cellStyle name="Accent5 100 2 2" xfId="6563"/>
    <cellStyle name="Accent5 100 3" xfId="6564"/>
    <cellStyle name="Accent5 101" xfId="6565"/>
    <cellStyle name="Accent5 101 2" xfId="6566"/>
    <cellStyle name="Accent5 101 2 2" xfId="6567"/>
    <cellStyle name="Accent5 101 3" xfId="6568"/>
    <cellStyle name="Accent5 102" xfId="6569"/>
    <cellStyle name="Accent5 102 2" xfId="6570"/>
    <cellStyle name="Accent5 103" xfId="6571"/>
    <cellStyle name="Accent5 103 2" xfId="6572"/>
    <cellStyle name="Accent5 104" xfId="6573"/>
    <cellStyle name="Accent5 104 2" xfId="6574"/>
    <cellStyle name="Accent5 104 2 2" xfId="6575"/>
    <cellStyle name="Accent5 104 3" xfId="6576"/>
    <cellStyle name="Accent5 105" xfId="6577"/>
    <cellStyle name="Accent5 105 2" xfId="6578"/>
    <cellStyle name="Accent5 105 2 2" xfId="6579"/>
    <cellStyle name="Accent5 105 3" xfId="6580"/>
    <cellStyle name="Accent5 106" xfId="6581"/>
    <cellStyle name="Accent5 106 2" xfId="6582"/>
    <cellStyle name="Accent5 106 2 2" xfId="6583"/>
    <cellStyle name="Accent5 106 3" xfId="6584"/>
    <cellStyle name="Accent5 107" xfId="6585"/>
    <cellStyle name="Accent5 107 2" xfId="6586"/>
    <cellStyle name="Accent5 107 2 2" xfId="6587"/>
    <cellStyle name="Accent5 107 3" xfId="6588"/>
    <cellStyle name="Accent5 108" xfId="6589"/>
    <cellStyle name="Accent5 108 2" xfId="6590"/>
    <cellStyle name="Accent5 108 2 2" xfId="6591"/>
    <cellStyle name="Accent5 108 3" xfId="6592"/>
    <cellStyle name="Accent5 109" xfId="6593"/>
    <cellStyle name="Accent5 109 2" xfId="6594"/>
    <cellStyle name="Accent5 109 2 2" xfId="6595"/>
    <cellStyle name="Accent5 109 3" xfId="6596"/>
    <cellStyle name="Accent5 11" xfId="6597"/>
    <cellStyle name="Accent5 11 2" xfId="6598"/>
    <cellStyle name="Accent5 11 2 2" xfId="6599"/>
    <cellStyle name="Accent5 11 3" xfId="6600"/>
    <cellStyle name="Accent5 110" xfId="6601"/>
    <cellStyle name="Accent5 110 2" xfId="6602"/>
    <cellStyle name="Accent5 110 2 2" xfId="6603"/>
    <cellStyle name="Accent5 110 3" xfId="6604"/>
    <cellStyle name="Accent5 111" xfId="6605"/>
    <cellStyle name="Accent5 111 2" xfId="6606"/>
    <cellStyle name="Accent5 111 2 2" xfId="6607"/>
    <cellStyle name="Accent5 111 3" xfId="6608"/>
    <cellStyle name="Accent5 112" xfId="6609"/>
    <cellStyle name="Accent5 112 2" xfId="6610"/>
    <cellStyle name="Accent5 112 2 2" xfId="6611"/>
    <cellStyle name="Accent5 112 3" xfId="6612"/>
    <cellStyle name="Accent5 113" xfId="6613"/>
    <cellStyle name="Accent5 113 2" xfId="6614"/>
    <cellStyle name="Accent5 113 2 2" xfId="6615"/>
    <cellStyle name="Accent5 113 3" xfId="6616"/>
    <cellStyle name="Accent5 114" xfId="6617"/>
    <cellStyle name="Accent5 114 2" xfId="6618"/>
    <cellStyle name="Accent5 115" xfId="6619"/>
    <cellStyle name="Accent5 115 2" xfId="6620"/>
    <cellStyle name="Accent5 116" xfId="6621"/>
    <cellStyle name="Accent5 116 2" xfId="6622"/>
    <cellStyle name="Accent5 117" xfId="6623"/>
    <cellStyle name="Accent5 117 2" xfId="6624"/>
    <cellStyle name="Accent5 118" xfId="6625"/>
    <cellStyle name="Accent5 118 2" xfId="6626"/>
    <cellStyle name="Accent5 119" xfId="6627"/>
    <cellStyle name="Accent5 119 2" xfId="6628"/>
    <cellStyle name="Accent5 12" xfId="6629"/>
    <cellStyle name="Accent5 12 2" xfId="6630"/>
    <cellStyle name="Accent5 12 2 2" xfId="6631"/>
    <cellStyle name="Accent5 12 3" xfId="6632"/>
    <cellStyle name="Accent5 120" xfId="6633"/>
    <cellStyle name="Accent5 120 2" xfId="6634"/>
    <cellStyle name="Accent5 121" xfId="6635"/>
    <cellStyle name="Accent5 121 2" xfId="6636"/>
    <cellStyle name="Accent5 122" xfId="6637"/>
    <cellStyle name="Accent5 122 2" xfId="6638"/>
    <cellStyle name="Accent5 123" xfId="6639"/>
    <cellStyle name="Accent5 123 2" xfId="6640"/>
    <cellStyle name="Accent5 124" xfId="6641"/>
    <cellStyle name="Accent5 124 2" xfId="6642"/>
    <cellStyle name="Accent5 125" xfId="6643"/>
    <cellStyle name="Accent5 125 2" xfId="6644"/>
    <cellStyle name="Accent5 126" xfId="6645"/>
    <cellStyle name="Accent5 127" xfId="6646"/>
    <cellStyle name="Accent5 128" xfId="6647"/>
    <cellStyle name="Accent5 129" xfId="6648"/>
    <cellStyle name="Accent5 13" xfId="6649"/>
    <cellStyle name="Accent5 13 2" xfId="6650"/>
    <cellStyle name="Accent5 13 2 2" xfId="6651"/>
    <cellStyle name="Accent5 13 3" xfId="6652"/>
    <cellStyle name="Accent5 130" xfId="6653"/>
    <cellStyle name="Accent5 131" xfId="6654"/>
    <cellStyle name="Accent5 132" xfId="6655"/>
    <cellStyle name="Accent5 133" xfId="6656"/>
    <cellStyle name="Accent5 134" xfId="6657"/>
    <cellStyle name="Accent5 135" xfId="6658"/>
    <cellStyle name="Accent5 136" xfId="6659"/>
    <cellStyle name="Accent5 137" xfId="6660"/>
    <cellStyle name="Accent5 138" xfId="6661"/>
    <cellStyle name="Accent5 139" xfId="6662"/>
    <cellStyle name="Accent5 14" xfId="6663"/>
    <cellStyle name="Accent5 14 2" xfId="6664"/>
    <cellStyle name="Accent5 14 2 2" xfId="6665"/>
    <cellStyle name="Accent5 14 3" xfId="6666"/>
    <cellStyle name="Accent5 140" xfId="6667"/>
    <cellStyle name="Accent5 141" xfId="6668"/>
    <cellStyle name="Accent5 142" xfId="6669"/>
    <cellStyle name="Accent5 143" xfId="6670"/>
    <cellStyle name="Accent5 144" xfId="6671"/>
    <cellStyle name="Accent5 145" xfId="6672"/>
    <cellStyle name="Accent5 146" xfId="6673"/>
    <cellStyle name="Accent5 147" xfId="6674"/>
    <cellStyle name="Accent5 148" xfId="6675"/>
    <cellStyle name="Accent5 149" xfId="6676"/>
    <cellStyle name="Accent5 15" xfId="6677"/>
    <cellStyle name="Accent5 15 2" xfId="6678"/>
    <cellStyle name="Accent5 15 2 2" xfId="6679"/>
    <cellStyle name="Accent5 15 3" xfId="6680"/>
    <cellStyle name="Accent5 150" xfId="6681"/>
    <cellStyle name="Accent5 151" xfId="6682"/>
    <cellStyle name="Accent5 152" xfId="6683"/>
    <cellStyle name="Accent5 153" xfId="6684"/>
    <cellStyle name="Accent5 154" xfId="6685"/>
    <cellStyle name="Accent5 155" xfId="6686"/>
    <cellStyle name="Accent5 156" xfId="6687"/>
    <cellStyle name="Accent5 157" xfId="6688"/>
    <cellStyle name="Accent5 158" xfId="6689"/>
    <cellStyle name="Accent5 159" xfId="6690"/>
    <cellStyle name="Accent5 16" xfId="6691"/>
    <cellStyle name="Accent5 16 2" xfId="6692"/>
    <cellStyle name="Accent5 16 2 2" xfId="6693"/>
    <cellStyle name="Accent5 16 3" xfId="6694"/>
    <cellStyle name="Accent5 160" xfId="6695"/>
    <cellStyle name="Accent5 161" xfId="6696"/>
    <cellStyle name="Accent5 162" xfId="6697"/>
    <cellStyle name="Accent5 163" xfId="6698"/>
    <cellStyle name="Accent5 164" xfId="6699"/>
    <cellStyle name="Accent5 165" xfId="6700"/>
    <cellStyle name="Accent5 166" xfId="6701"/>
    <cellStyle name="Accent5 167" xfId="6702"/>
    <cellStyle name="Accent5 168" xfId="6703"/>
    <cellStyle name="Accent5 169" xfId="6704"/>
    <cellStyle name="Accent5 17" xfId="6705"/>
    <cellStyle name="Accent5 17 2" xfId="6706"/>
    <cellStyle name="Accent5 17 2 2" xfId="6707"/>
    <cellStyle name="Accent5 17 3" xfId="6708"/>
    <cellStyle name="Accent5 170" xfId="6709"/>
    <cellStyle name="Accent5 171" xfId="6710"/>
    <cellStyle name="Accent5 172" xfId="6711"/>
    <cellStyle name="Accent5 173" xfId="6712"/>
    <cellStyle name="Accent5 174" xfId="6713"/>
    <cellStyle name="Accent5 175" xfId="6714"/>
    <cellStyle name="Accent5 176" xfId="6715"/>
    <cellStyle name="Accent5 177" xfId="6716"/>
    <cellStyle name="Accent5 178" xfId="6717"/>
    <cellStyle name="Accent5 179" xfId="6718"/>
    <cellStyle name="Accent5 18" xfId="6719"/>
    <cellStyle name="Accent5 18 2" xfId="6720"/>
    <cellStyle name="Accent5 18 2 2" xfId="6721"/>
    <cellStyle name="Accent5 18 3" xfId="6722"/>
    <cellStyle name="Accent5 19" xfId="6723"/>
    <cellStyle name="Accent5 19 2" xfId="6724"/>
    <cellStyle name="Accent5 19 2 2" xfId="6725"/>
    <cellStyle name="Accent5 19 3" xfId="6726"/>
    <cellStyle name="Accent5 2" xfId="6727"/>
    <cellStyle name="Accent5 2 10" xfId="6728"/>
    <cellStyle name="Accent5 2 10 2" xfId="6729"/>
    <cellStyle name="Accent5 2 11" xfId="6730"/>
    <cellStyle name="Accent5 2 12" xfId="6731"/>
    <cellStyle name="Accent5 2 2" xfId="6732"/>
    <cellStyle name="Accent5 2 2 2" xfId="6733"/>
    <cellStyle name="Accent5 2 2 2 2" xfId="6734"/>
    <cellStyle name="Accent5 2 2 3" xfId="6735"/>
    <cellStyle name="Accent5 2 2 3 2" xfId="6736"/>
    <cellStyle name="Accent5 2 2 3 2 2" xfId="6737"/>
    <cellStyle name="Accent5 2 2 3 3" xfId="6738"/>
    <cellStyle name="Accent5 2 2 4" xfId="6739"/>
    <cellStyle name="Accent5 2 2 4 2" xfId="6740"/>
    <cellStyle name="Accent5 2 2 5" xfId="6741"/>
    <cellStyle name="Accent5 2 3" xfId="6742"/>
    <cellStyle name="Accent5 2 3 2" xfId="6743"/>
    <cellStyle name="Accent5 2 3 2 2" xfId="6744"/>
    <cellStyle name="Accent5 2 3 3" xfId="6745"/>
    <cellStyle name="Accent5 2 3 3 2" xfId="6746"/>
    <cellStyle name="Accent5 2 3 3 2 2" xfId="6747"/>
    <cellStyle name="Accent5 2 3 3 3" xfId="6748"/>
    <cellStyle name="Accent5 2 3 4" xfId="6749"/>
    <cellStyle name="Accent5 2 4" xfId="6750"/>
    <cellStyle name="Accent5 2 4 2" xfId="6751"/>
    <cellStyle name="Accent5 2 4 2 2" xfId="6752"/>
    <cellStyle name="Accent5 2 4 3" xfId="6753"/>
    <cellStyle name="Accent5 2 5" xfId="6754"/>
    <cellStyle name="Accent5 2 5 2" xfId="6755"/>
    <cellStyle name="Accent5 2 5 2 2" xfId="6756"/>
    <cellStyle name="Accent5 2 5 3" xfId="6757"/>
    <cellStyle name="Accent5 2 5 3 2" xfId="6758"/>
    <cellStyle name="Accent5 2 5 3 2 2" xfId="6759"/>
    <cellStyle name="Accent5 2 5 3 3" xfId="6760"/>
    <cellStyle name="Accent5 2 5 4" xfId="6761"/>
    <cellStyle name="Accent5 2 6" xfId="6762"/>
    <cellStyle name="Accent5 2 6 2" xfId="6763"/>
    <cellStyle name="Accent5 2 6 2 2" xfId="6764"/>
    <cellStyle name="Accent5 2 6 3" xfId="6765"/>
    <cellStyle name="Accent5 2 6 3 2" xfId="6766"/>
    <cellStyle name="Accent5 2 6 4" xfId="6767"/>
    <cellStyle name="Accent5 2 7" xfId="6768"/>
    <cellStyle name="Accent5 2 7 2" xfId="6769"/>
    <cellStyle name="Accent5 2 8" xfId="6770"/>
    <cellStyle name="Accent5 2 8 2" xfId="6771"/>
    <cellStyle name="Accent5 2 8 2 2" xfId="6772"/>
    <cellStyle name="Accent5 2 8 3" xfId="6773"/>
    <cellStyle name="Accent5 2 9" xfId="6774"/>
    <cellStyle name="Accent5 2 9 2" xfId="6775"/>
    <cellStyle name="Accent5 2 9 2 2" xfId="6776"/>
    <cellStyle name="Accent5 2 9 3" xfId="6777"/>
    <cellStyle name="Accent5 20" xfId="6778"/>
    <cellStyle name="Accent5 20 2" xfId="6779"/>
    <cellStyle name="Accent5 20 2 2" xfId="6780"/>
    <cellStyle name="Accent5 20 3" xfId="6781"/>
    <cellStyle name="Accent5 21" xfId="6782"/>
    <cellStyle name="Accent5 21 2" xfId="6783"/>
    <cellStyle name="Accent5 21 2 2" xfId="6784"/>
    <cellStyle name="Accent5 21 3" xfId="6785"/>
    <cellStyle name="Accent5 22" xfId="6786"/>
    <cellStyle name="Accent5 22 2" xfId="6787"/>
    <cellStyle name="Accent5 22 2 2" xfId="6788"/>
    <cellStyle name="Accent5 22 3" xfId="6789"/>
    <cellStyle name="Accent5 23" xfId="6790"/>
    <cellStyle name="Accent5 23 2" xfId="6791"/>
    <cellStyle name="Accent5 23 2 2" xfId="6792"/>
    <cellStyle name="Accent5 23 3" xfId="6793"/>
    <cellStyle name="Accent5 24" xfId="6794"/>
    <cellStyle name="Accent5 24 2" xfId="6795"/>
    <cellStyle name="Accent5 24 2 2" xfId="6796"/>
    <cellStyle name="Accent5 24 3" xfId="6797"/>
    <cellStyle name="Accent5 25" xfId="6798"/>
    <cellStyle name="Accent5 25 2" xfId="6799"/>
    <cellStyle name="Accent5 25 2 2" xfId="6800"/>
    <cellStyle name="Accent5 25 3" xfId="6801"/>
    <cellStyle name="Accent5 26" xfId="6802"/>
    <cellStyle name="Accent5 26 2" xfId="6803"/>
    <cellStyle name="Accent5 26 2 2" xfId="6804"/>
    <cellStyle name="Accent5 26 3" xfId="6805"/>
    <cellStyle name="Accent5 27" xfId="6806"/>
    <cellStyle name="Accent5 27 2" xfId="6807"/>
    <cellStyle name="Accent5 27 2 2" xfId="6808"/>
    <cellStyle name="Accent5 27 3" xfId="6809"/>
    <cellStyle name="Accent5 28" xfId="6810"/>
    <cellStyle name="Accent5 28 2" xfId="6811"/>
    <cellStyle name="Accent5 28 2 2" xfId="6812"/>
    <cellStyle name="Accent5 28 3" xfId="6813"/>
    <cellStyle name="Accent5 29" xfId="6814"/>
    <cellStyle name="Accent5 29 2" xfId="6815"/>
    <cellStyle name="Accent5 29 2 2" xfId="6816"/>
    <cellStyle name="Accent5 29 3" xfId="6817"/>
    <cellStyle name="Accent5 3" xfId="6818"/>
    <cellStyle name="Accent5 3 10" xfId="6819"/>
    <cellStyle name="Accent5 3 10 2" xfId="6820"/>
    <cellStyle name="Accent5 3 10 2 2" xfId="6821"/>
    <cellStyle name="Accent5 3 10 3" xfId="6822"/>
    <cellStyle name="Accent5 3 11" xfId="6823"/>
    <cellStyle name="Accent5 3 11 2" xfId="6824"/>
    <cellStyle name="Accent5 3 12" xfId="6825"/>
    <cellStyle name="Accent5 3 2" xfId="6826"/>
    <cellStyle name="Accent5 3 2 2" xfId="6827"/>
    <cellStyle name="Accent5 3 2 2 2" xfId="6828"/>
    <cellStyle name="Accent5 3 2 3" xfId="6829"/>
    <cellStyle name="Accent5 3 2 3 2" xfId="6830"/>
    <cellStyle name="Accent5 3 2 3 2 2" xfId="6831"/>
    <cellStyle name="Accent5 3 2 3 3" xfId="6832"/>
    <cellStyle name="Accent5 3 2 4" xfId="6833"/>
    <cellStyle name="Accent5 3 3" xfId="6834"/>
    <cellStyle name="Accent5 3 3 2" xfId="6835"/>
    <cellStyle name="Accent5 3 3 2 2" xfId="6836"/>
    <cellStyle name="Accent5 3 3 3" xfId="6837"/>
    <cellStyle name="Accent5 3 3 3 2" xfId="6838"/>
    <cellStyle name="Accent5 3 3 3 2 2" xfId="6839"/>
    <cellStyle name="Accent5 3 3 3 3" xfId="6840"/>
    <cellStyle name="Accent5 3 3 4" xfId="6841"/>
    <cellStyle name="Accent5 3 4" xfId="6842"/>
    <cellStyle name="Accent5 3 4 2" xfId="6843"/>
    <cellStyle name="Accent5 3 4 2 2" xfId="6844"/>
    <cellStyle name="Accent5 3 4 3" xfId="6845"/>
    <cellStyle name="Accent5 3 5" xfId="6846"/>
    <cellStyle name="Accent5 3 5 2" xfId="6847"/>
    <cellStyle name="Accent5 3 5 2 2" xfId="6848"/>
    <cellStyle name="Accent5 3 5 3" xfId="6849"/>
    <cellStyle name="Accent5 3 5 3 2" xfId="6850"/>
    <cellStyle name="Accent5 3 5 3 2 2" xfId="6851"/>
    <cellStyle name="Accent5 3 5 3 3" xfId="6852"/>
    <cellStyle name="Accent5 3 5 4" xfId="6853"/>
    <cellStyle name="Accent5 3 6" xfId="6854"/>
    <cellStyle name="Accent5 3 6 2" xfId="6855"/>
    <cellStyle name="Accent5 3 7" xfId="6856"/>
    <cellStyle name="Accent5 3 7 2" xfId="6857"/>
    <cellStyle name="Accent5 3 8" xfId="6858"/>
    <cellStyle name="Accent5 3 8 2" xfId="6859"/>
    <cellStyle name="Accent5 3 8 2 2" xfId="6860"/>
    <cellStyle name="Accent5 3 8 3" xfId="6861"/>
    <cellStyle name="Accent5 3 9" xfId="6862"/>
    <cellStyle name="Accent5 3 9 2" xfId="6863"/>
    <cellStyle name="Accent5 3 9 2 2" xfId="6864"/>
    <cellStyle name="Accent5 3 9 3" xfId="6865"/>
    <cellStyle name="Accent5 30" xfId="6866"/>
    <cellStyle name="Accent5 30 2" xfId="6867"/>
    <cellStyle name="Accent5 30 2 2" xfId="6868"/>
    <cellStyle name="Accent5 30 3" xfId="6869"/>
    <cellStyle name="Accent5 31" xfId="6870"/>
    <cellStyle name="Accent5 31 2" xfId="6871"/>
    <cellStyle name="Accent5 31 2 2" xfId="6872"/>
    <cellStyle name="Accent5 31 3" xfId="6873"/>
    <cellStyle name="Accent5 32" xfId="6874"/>
    <cellStyle name="Accent5 32 2" xfId="6875"/>
    <cellStyle name="Accent5 32 2 2" xfId="6876"/>
    <cellStyle name="Accent5 32 3" xfId="6877"/>
    <cellStyle name="Accent5 33" xfId="6878"/>
    <cellStyle name="Accent5 33 2" xfId="6879"/>
    <cellStyle name="Accent5 33 2 2" xfId="6880"/>
    <cellStyle name="Accent5 33 3" xfId="6881"/>
    <cellStyle name="Accent5 34" xfId="6882"/>
    <cellStyle name="Accent5 34 2" xfId="6883"/>
    <cellStyle name="Accent5 34 2 2" xfId="6884"/>
    <cellStyle name="Accent5 34 3" xfId="6885"/>
    <cellStyle name="Accent5 35" xfId="6886"/>
    <cellStyle name="Accent5 35 2" xfId="6887"/>
    <cellStyle name="Accent5 35 2 2" xfId="6888"/>
    <cellStyle name="Accent5 35 3" xfId="6889"/>
    <cellStyle name="Accent5 36" xfId="6890"/>
    <cellStyle name="Accent5 36 2" xfId="6891"/>
    <cellStyle name="Accent5 36 2 2" xfId="6892"/>
    <cellStyle name="Accent5 36 3" xfId="6893"/>
    <cellStyle name="Accent5 37" xfId="6894"/>
    <cellStyle name="Accent5 37 2" xfId="6895"/>
    <cellStyle name="Accent5 37 2 2" xfId="6896"/>
    <cellStyle name="Accent5 37 3" xfId="6897"/>
    <cellStyle name="Accent5 38" xfId="6898"/>
    <cellStyle name="Accent5 38 2" xfId="6899"/>
    <cellStyle name="Accent5 38 2 2" xfId="6900"/>
    <cellStyle name="Accent5 38 3" xfId="6901"/>
    <cellStyle name="Accent5 39" xfId="6902"/>
    <cellStyle name="Accent5 39 2" xfId="6903"/>
    <cellStyle name="Accent5 39 2 2" xfId="6904"/>
    <cellStyle name="Accent5 39 3" xfId="6905"/>
    <cellStyle name="Accent5 4" xfId="6906"/>
    <cellStyle name="Accent5 4 2" xfId="6907"/>
    <cellStyle name="Accent5 4 2 2" xfId="6908"/>
    <cellStyle name="Accent5 4 2 2 2" xfId="6909"/>
    <cellStyle name="Accent5 4 2 3" xfId="6910"/>
    <cellStyle name="Accent5 4 2 3 2" xfId="6911"/>
    <cellStyle name="Accent5 4 2 3 2 2" xfId="6912"/>
    <cellStyle name="Accent5 4 2 3 3" xfId="6913"/>
    <cellStyle name="Accent5 4 2 4" xfId="6914"/>
    <cellStyle name="Accent5 4 3" xfId="6915"/>
    <cellStyle name="Accent5 4 3 2" xfId="6916"/>
    <cellStyle name="Accent5 4 3 2 2" xfId="6917"/>
    <cellStyle name="Accent5 4 3 3" xfId="6918"/>
    <cellStyle name="Accent5 4 3 3 2" xfId="6919"/>
    <cellStyle name="Accent5 4 3 3 2 2" xfId="6920"/>
    <cellStyle name="Accent5 4 3 3 3" xfId="6921"/>
    <cellStyle name="Accent5 4 3 4" xfId="6922"/>
    <cellStyle name="Accent5 4 4" xfId="6923"/>
    <cellStyle name="Accent5 4 4 2" xfId="6924"/>
    <cellStyle name="Accent5 4 4 2 2" xfId="6925"/>
    <cellStyle name="Accent5 4 4 3" xfId="6926"/>
    <cellStyle name="Accent5 4 5" xfId="6927"/>
    <cellStyle name="Accent5 4 5 2" xfId="6928"/>
    <cellStyle name="Accent5 4 6" xfId="6929"/>
    <cellStyle name="Accent5 4 6 2" xfId="6930"/>
    <cellStyle name="Accent5 4 6 2 2" xfId="6931"/>
    <cellStyle name="Accent5 4 6 3" xfId="6932"/>
    <cellStyle name="Accent5 4 7" xfId="6933"/>
    <cellStyle name="Accent5 4 7 2" xfId="6934"/>
    <cellStyle name="Accent5 4 7 2 2" xfId="6935"/>
    <cellStyle name="Accent5 4 7 3" xfId="6936"/>
    <cellStyle name="Accent5 4 8" xfId="6937"/>
    <cellStyle name="Accent5 40" xfId="6938"/>
    <cellStyle name="Accent5 40 2" xfId="6939"/>
    <cellStyle name="Accent5 40 2 2" xfId="6940"/>
    <cellStyle name="Accent5 40 3" xfId="6941"/>
    <cellStyle name="Accent5 41" xfId="6942"/>
    <cellStyle name="Accent5 41 2" xfId="6943"/>
    <cellStyle name="Accent5 41 2 2" xfId="6944"/>
    <cellStyle name="Accent5 41 3" xfId="6945"/>
    <cellStyle name="Accent5 42" xfId="6946"/>
    <cellStyle name="Accent5 42 2" xfId="6947"/>
    <cellStyle name="Accent5 42 2 2" xfId="6948"/>
    <cellStyle name="Accent5 42 3" xfId="6949"/>
    <cellStyle name="Accent5 43" xfId="6950"/>
    <cellStyle name="Accent5 43 2" xfId="6951"/>
    <cellStyle name="Accent5 43 2 2" xfId="6952"/>
    <cellStyle name="Accent5 43 3" xfId="6953"/>
    <cellStyle name="Accent5 44" xfId="6954"/>
    <cellStyle name="Accent5 44 2" xfId="6955"/>
    <cellStyle name="Accent5 44 2 2" xfId="6956"/>
    <cellStyle name="Accent5 44 3" xfId="6957"/>
    <cellStyle name="Accent5 45" xfId="6958"/>
    <cellStyle name="Accent5 45 2" xfId="6959"/>
    <cellStyle name="Accent5 45 2 2" xfId="6960"/>
    <cellStyle name="Accent5 45 3" xfId="6961"/>
    <cellStyle name="Accent5 46" xfId="6962"/>
    <cellStyle name="Accent5 46 2" xfId="6963"/>
    <cellStyle name="Accent5 46 2 2" xfId="6964"/>
    <cellStyle name="Accent5 46 3" xfId="6965"/>
    <cellStyle name="Accent5 47" xfId="6966"/>
    <cellStyle name="Accent5 47 2" xfId="6967"/>
    <cellStyle name="Accent5 47 2 2" xfId="6968"/>
    <cellStyle name="Accent5 47 3" xfId="6969"/>
    <cellStyle name="Accent5 48" xfId="6970"/>
    <cellStyle name="Accent5 48 2" xfId="6971"/>
    <cellStyle name="Accent5 48 2 2" xfId="6972"/>
    <cellStyle name="Accent5 48 3" xfId="6973"/>
    <cellStyle name="Accent5 48 3 2" xfId="6974"/>
    <cellStyle name="Accent5 48 3 2 2" xfId="6975"/>
    <cellStyle name="Accent5 48 3 3" xfId="6976"/>
    <cellStyle name="Accent5 48 4" xfId="6977"/>
    <cellStyle name="Accent5 49" xfId="6978"/>
    <cellStyle name="Accent5 49 2" xfId="6979"/>
    <cellStyle name="Accent5 49 2 2" xfId="6980"/>
    <cellStyle name="Accent5 49 3" xfId="6981"/>
    <cellStyle name="Accent5 49 3 2" xfId="6982"/>
    <cellStyle name="Accent5 49 3 2 2" xfId="6983"/>
    <cellStyle name="Accent5 49 3 3" xfId="6984"/>
    <cellStyle name="Accent5 49 4" xfId="6985"/>
    <cellStyle name="Accent5 5" xfId="6986"/>
    <cellStyle name="Accent5 5 2" xfId="6987"/>
    <cellStyle name="Accent5 5 2 2" xfId="6988"/>
    <cellStyle name="Accent5 5 2 2 2" xfId="6989"/>
    <cellStyle name="Accent5 5 2 3" xfId="6990"/>
    <cellStyle name="Accent5 5 2 3 2" xfId="6991"/>
    <cellStyle name="Accent5 5 2 3 2 2" xfId="6992"/>
    <cellStyle name="Accent5 5 2 3 3" xfId="6993"/>
    <cellStyle name="Accent5 5 2 4" xfId="6994"/>
    <cellStyle name="Accent5 5 3" xfId="6995"/>
    <cellStyle name="Accent5 5 3 2" xfId="6996"/>
    <cellStyle name="Accent5 5 3 2 2" xfId="6997"/>
    <cellStyle name="Accent5 5 3 3" xfId="6998"/>
    <cellStyle name="Accent5 5 3 3 2" xfId="6999"/>
    <cellStyle name="Accent5 5 3 3 2 2" xfId="7000"/>
    <cellStyle name="Accent5 5 3 3 3" xfId="7001"/>
    <cellStyle name="Accent5 5 3 4" xfId="7002"/>
    <cellStyle name="Accent5 5 4" xfId="7003"/>
    <cellStyle name="Accent5 5 4 2" xfId="7004"/>
    <cellStyle name="Accent5 5 5" xfId="7005"/>
    <cellStyle name="Accent5 5 5 2" xfId="7006"/>
    <cellStyle name="Accent5 5 5 2 2" xfId="7007"/>
    <cellStyle name="Accent5 5 5 3" xfId="7008"/>
    <cellStyle name="Accent5 5 6" xfId="7009"/>
    <cellStyle name="Accent5 5 6 2" xfId="7010"/>
    <cellStyle name="Accent5 5 7" xfId="7011"/>
    <cellStyle name="Accent5 50" xfId="7012"/>
    <cellStyle name="Accent5 50 2" xfId="7013"/>
    <cellStyle name="Accent5 50 2 2" xfId="7014"/>
    <cellStyle name="Accent5 50 3" xfId="7015"/>
    <cellStyle name="Accent5 50 3 2" xfId="7016"/>
    <cellStyle name="Accent5 50 3 2 2" xfId="7017"/>
    <cellStyle name="Accent5 50 3 3" xfId="7018"/>
    <cellStyle name="Accent5 50 4" xfId="7019"/>
    <cellStyle name="Accent5 51" xfId="7020"/>
    <cellStyle name="Accent5 51 2" xfId="7021"/>
    <cellStyle name="Accent5 51 2 2" xfId="7022"/>
    <cellStyle name="Accent5 51 3" xfId="7023"/>
    <cellStyle name="Accent5 51 3 2" xfId="7024"/>
    <cellStyle name="Accent5 51 3 2 2" xfId="7025"/>
    <cellStyle name="Accent5 51 3 3" xfId="7026"/>
    <cellStyle name="Accent5 51 4" xfId="7027"/>
    <cellStyle name="Accent5 52" xfId="7028"/>
    <cellStyle name="Accent5 52 2" xfId="7029"/>
    <cellStyle name="Accent5 52 2 2" xfId="7030"/>
    <cellStyle name="Accent5 52 3" xfId="7031"/>
    <cellStyle name="Accent5 53" xfId="7032"/>
    <cellStyle name="Accent5 53 2" xfId="7033"/>
    <cellStyle name="Accent5 53 2 2" xfId="7034"/>
    <cellStyle name="Accent5 53 3" xfId="7035"/>
    <cellStyle name="Accent5 54" xfId="7036"/>
    <cellStyle name="Accent5 54 2" xfId="7037"/>
    <cellStyle name="Accent5 54 2 2" xfId="7038"/>
    <cellStyle name="Accent5 54 3" xfId="7039"/>
    <cellStyle name="Accent5 55" xfId="7040"/>
    <cellStyle name="Accent5 55 2" xfId="7041"/>
    <cellStyle name="Accent5 55 2 2" xfId="7042"/>
    <cellStyle name="Accent5 55 3" xfId="7043"/>
    <cellStyle name="Accent5 56" xfId="7044"/>
    <cellStyle name="Accent5 56 2" xfId="7045"/>
    <cellStyle name="Accent5 56 2 2" xfId="7046"/>
    <cellStyle name="Accent5 56 3" xfId="7047"/>
    <cellStyle name="Accent5 57" xfId="7048"/>
    <cellStyle name="Accent5 57 2" xfId="7049"/>
    <cellStyle name="Accent5 57 2 2" xfId="7050"/>
    <cellStyle name="Accent5 57 3" xfId="7051"/>
    <cellStyle name="Accent5 58" xfId="7052"/>
    <cellStyle name="Accent5 58 2" xfId="7053"/>
    <cellStyle name="Accent5 58 2 2" xfId="7054"/>
    <cellStyle name="Accent5 58 3" xfId="7055"/>
    <cellStyle name="Accent5 58 3 2" xfId="7056"/>
    <cellStyle name="Accent5 58 3 2 2" xfId="7057"/>
    <cellStyle name="Accent5 58 3 3" xfId="7058"/>
    <cellStyle name="Accent5 58 4" xfId="7059"/>
    <cellStyle name="Accent5 59" xfId="7060"/>
    <cellStyle name="Accent5 59 2" xfId="7061"/>
    <cellStyle name="Accent5 59 2 2" xfId="7062"/>
    <cellStyle name="Accent5 59 3" xfId="7063"/>
    <cellStyle name="Accent5 59 3 2" xfId="7064"/>
    <cellStyle name="Accent5 59 3 2 2" xfId="7065"/>
    <cellStyle name="Accent5 59 3 3" xfId="7066"/>
    <cellStyle name="Accent5 59 4" xfId="7067"/>
    <cellStyle name="Accent5 6" xfId="7068"/>
    <cellStyle name="Accent5 6 2" xfId="7069"/>
    <cellStyle name="Accent5 6 2 2" xfId="7070"/>
    <cellStyle name="Accent5 6 2 2 2" xfId="7071"/>
    <cellStyle name="Accent5 6 2 3" xfId="7072"/>
    <cellStyle name="Accent5 6 2 3 2" xfId="7073"/>
    <cellStyle name="Accent5 6 2 3 2 2" xfId="7074"/>
    <cellStyle name="Accent5 6 2 3 3" xfId="7075"/>
    <cellStyle name="Accent5 6 2 4" xfId="7076"/>
    <cellStyle name="Accent5 6 3" xfId="7077"/>
    <cellStyle name="Accent5 6 3 2" xfId="7078"/>
    <cellStyle name="Accent5 6 4" xfId="7079"/>
    <cellStyle name="Accent5 6 4 2" xfId="7080"/>
    <cellStyle name="Accent5 6 4 2 2" xfId="7081"/>
    <cellStyle name="Accent5 6 4 3" xfId="7082"/>
    <cellStyle name="Accent5 6 5" xfId="7083"/>
    <cellStyle name="Accent5 60" xfId="7084"/>
    <cellStyle name="Accent5 60 2" xfId="7085"/>
    <cellStyle name="Accent5 60 2 2" xfId="7086"/>
    <cellStyle name="Accent5 60 3" xfId="7087"/>
    <cellStyle name="Accent5 60 3 2" xfId="7088"/>
    <cellStyle name="Accent5 60 3 2 2" xfId="7089"/>
    <cellStyle name="Accent5 60 3 3" xfId="7090"/>
    <cellStyle name="Accent5 60 4" xfId="7091"/>
    <cellStyle name="Accent5 61" xfId="7092"/>
    <cellStyle name="Accent5 61 2" xfId="7093"/>
    <cellStyle name="Accent5 61 2 2" xfId="7094"/>
    <cellStyle name="Accent5 61 3" xfId="7095"/>
    <cellStyle name="Accent5 61 3 2" xfId="7096"/>
    <cellStyle name="Accent5 61 3 2 2" xfId="7097"/>
    <cellStyle name="Accent5 61 3 3" xfId="7098"/>
    <cellStyle name="Accent5 61 4" xfId="7099"/>
    <cellStyle name="Accent5 62" xfId="7100"/>
    <cellStyle name="Accent5 62 2" xfId="7101"/>
    <cellStyle name="Accent5 62 2 2" xfId="7102"/>
    <cellStyle name="Accent5 62 3" xfId="7103"/>
    <cellStyle name="Accent5 62 3 2" xfId="7104"/>
    <cellStyle name="Accent5 62 3 2 2" xfId="7105"/>
    <cellStyle name="Accent5 62 3 3" xfId="7106"/>
    <cellStyle name="Accent5 62 4" xfId="7107"/>
    <cellStyle name="Accent5 63" xfId="7108"/>
    <cellStyle name="Accent5 63 2" xfId="7109"/>
    <cellStyle name="Accent5 63 2 2" xfId="7110"/>
    <cellStyle name="Accent5 63 3" xfId="7111"/>
    <cellStyle name="Accent5 63 3 2" xfId="7112"/>
    <cellStyle name="Accent5 63 3 2 2" xfId="7113"/>
    <cellStyle name="Accent5 63 3 3" xfId="7114"/>
    <cellStyle name="Accent5 63 4" xfId="7115"/>
    <cellStyle name="Accent5 64" xfId="7116"/>
    <cellStyle name="Accent5 64 2" xfId="7117"/>
    <cellStyle name="Accent5 64 2 2" xfId="7118"/>
    <cellStyle name="Accent5 64 3" xfId="7119"/>
    <cellStyle name="Accent5 64 3 2" xfId="7120"/>
    <cellStyle name="Accent5 64 3 2 2" xfId="7121"/>
    <cellStyle name="Accent5 64 3 3" xfId="7122"/>
    <cellStyle name="Accent5 64 4" xfId="7123"/>
    <cellStyle name="Accent5 65" xfId="7124"/>
    <cellStyle name="Accent5 65 2" xfId="7125"/>
    <cellStyle name="Accent5 65 2 2" xfId="7126"/>
    <cellStyle name="Accent5 65 3" xfId="7127"/>
    <cellStyle name="Accent5 65 3 2" xfId="7128"/>
    <cellStyle name="Accent5 65 3 2 2" xfId="7129"/>
    <cellStyle name="Accent5 65 3 3" xfId="7130"/>
    <cellStyle name="Accent5 65 4" xfId="7131"/>
    <cellStyle name="Accent5 66" xfId="7132"/>
    <cellStyle name="Accent5 66 2" xfId="7133"/>
    <cellStyle name="Accent5 66 2 2" xfId="7134"/>
    <cellStyle name="Accent5 66 3" xfId="7135"/>
    <cellStyle name="Accent5 66 3 2" xfId="7136"/>
    <cellStyle name="Accent5 66 3 2 2" xfId="7137"/>
    <cellStyle name="Accent5 66 3 3" xfId="7138"/>
    <cellStyle name="Accent5 66 4" xfId="7139"/>
    <cellStyle name="Accent5 67" xfId="7140"/>
    <cellStyle name="Accent5 67 2" xfId="7141"/>
    <cellStyle name="Accent5 67 2 2" xfId="7142"/>
    <cellStyle name="Accent5 67 3" xfId="7143"/>
    <cellStyle name="Accent5 67 3 2" xfId="7144"/>
    <cellStyle name="Accent5 67 3 2 2" xfId="7145"/>
    <cellStyle name="Accent5 67 3 3" xfId="7146"/>
    <cellStyle name="Accent5 67 4" xfId="7147"/>
    <cellStyle name="Accent5 68" xfId="7148"/>
    <cellStyle name="Accent5 68 2" xfId="7149"/>
    <cellStyle name="Accent5 68 2 2" xfId="7150"/>
    <cellStyle name="Accent5 68 3" xfId="7151"/>
    <cellStyle name="Accent5 68 3 2" xfId="7152"/>
    <cellStyle name="Accent5 68 3 2 2" xfId="7153"/>
    <cellStyle name="Accent5 68 3 3" xfId="7154"/>
    <cellStyle name="Accent5 68 4" xfId="7155"/>
    <cellStyle name="Accent5 69" xfId="7156"/>
    <cellStyle name="Accent5 69 2" xfId="7157"/>
    <cellStyle name="Accent5 69 2 2" xfId="7158"/>
    <cellStyle name="Accent5 69 3" xfId="7159"/>
    <cellStyle name="Accent5 69 3 2" xfId="7160"/>
    <cellStyle name="Accent5 69 3 2 2" xfId="7161"/>
    <cellStyle name="Accent5 69 3 3" xfId="7162"/>
    <cellStyle name="Accent5 69 4" xfId="7163"/>
    <cellStyle name="Accent5 7" xfId="7164"/>
    <cellStyle name="Accent5 7 2" xfId="7165"/>
    <cellStyle name="Accent5 7 2 2" xfId="7166"/>
    <cellStyle name="Accent5 7 2 2 2" xfId="7167"/>
    <cellStyle name="Accent5 7 2 3" xfId="7168"/>
    <cellStyle name="Accent5 7 2 3 2" xfId="7169"/>
    <cellStyle name="Accent5 7 2 3 2 2" xfId="7170"/>
    <cellStyle name="Accent5 7 2 3 3" xfId="7171"/>
    <cellStyle name="Accent5 7 2 4" xfId="7172"/>
    <cellStyle name="Accent5 7 3" xfId="7173"/>
    <cellStyle name="Accent5 7 3 2" xfId="7174"/>
    <cellStyle name="Accent5 7 4" xfId="7175"/>
    <cellStyle name="Accent5 7 4 2" xfId="7176"/>
    <cellStyle name="Accent5 7 4 2 2" xfId="7177"/>
    <cellStyle name="Accent5 7 4 3" xfId="7178"/>
    <cellStyle name="Accent5 7 5" xfId="7179"/>
    <cellStyle name="Accent5 70" xfId="7180"/>
    <cellStyle name="Accent5 70 2" xfId="7181"/>
    <cellStyle name="Accent5 70 2 2" xfId="7182"/>
    <cellStyle name="Accent5 70 3" xfId="7183"/>
    <cellStyle name="Accent5 70 3 2" xfId="7184"/>
    <cellStyle name="Accent5 70 3 2 2" xfId="7185"/>
    <cellStyle name="Accent5 70 3 3" xfId="7186"/>
    <cellStyle name="Accent5 70 4" xfId="7187"/>
    <cellStyle name="Accent5 71" xfId="7188"/>
    <cellStyle name="Accent5 71 2" xfId="7189"/>
    <cellStyle name="Accent5 71 2 2" xfId="7190"/>
    <cellStyle name="Accent5 71 3" xfId="7191"/>
    <cellStyle name="Accent5 71 3 2" xfId="7192"/>
    <cellStyle name="Accent5 71 3 2 2" xfId="7193"/>
    <cellStyle name="Accent5 71 3 3" xfId="7194"/>
    <cellStyle name="Accent5 71 4" xfId="7195"/>
    <cellStyle name="Accent5 72" xfId="7196"/>
    <cellStyle name="Accent5 72 2" xfId="7197"/>
    <cellStyle name="Accent5 72 2 2" xfId="7198"/>
    <cellStyle name="Accent5 72 3" xfId="7199"/>
    <cellStyle name="Accent5 72 3 2" xfId="7200"/>
    <cellStyle name="Accent5 72 3 2 2" xfId="7201"/>
    <cellStyle name="Accent5 72 3 3" xfId="7202"/>
    <cellStyle name="Accent5 72 4" xfId="7203"/>
    <cellStyle name="Accent5 73" xfId="7204"/>
    <cellStyle name="Accent5 73 2" xfId="7205"/>
    <cellStyle name="Accent5 73 2 2" xfId="7206"/>
    <cellStyle name="Accent5 73 3" xfId="7207"/>
    <cellStyle name="Accent5 73 3 2" xfId="7208"/>
    <cellStyle name="Accent5 73 3 2 2" xfId="7209"/>
    <cellStyle name="Accent5 73 3 3" xfId="7210"/>
    <cellStyle name="Accent5 73 4" xfId="7211"/>
    <cellStyle name="Accent5 74" xfId="7212"/>
    <cellStyle name="Accent5 74 2" xfId="7213"/>
    <cellStyle name="Accent5 74 2 2" xfId="7214"/>
    <cellStyle name="Accent5 74 3" xfId="7215"/>
    <cellStyle name="Accent5 74 3 2" xfId="7216"/>
    <cellStyle name="Accent5 74 3 2 2" xfId="7217"/>
    <cellStyle name="Accent5 74 3 3" xfId="7218"/>
    <cellStyle name="Accent5 74 4" xfId="7219"/>
    <cellStyle name="Accent5 75" xfId="7220"/>
    <cellStyle name="Accent5 75 2" xfId="7221"/>
    <cellStyle name="Accent5 75 2 2" xfId="7222"/>
    <cellStyle name="Accent5 75 3" xfId="7223"/>
    <cellStyle name="Accent5 75 3 2" xfId="7224"/>
    <cellStyle name="Accent5 75 3 2 2" xfId="7225"/>
    <cellStyle name="Accent5 75 3 3" xfId="7226"/>
    <cellStyle name="Accent5 75 4" xfId="7227"/>
    <cellStyle name="Accent5 76" xfId="7228"/>
    <cellStyle name="Accent5 76 2" xfId="7229"/>
    <cellStyle name="Accent5 76 2 2" xfId="7230"/>
    <cellStyle name="Accent5 76 3" xfId="7231"/>
    <cellStyle name="Accent5 76 3 2" xfId="7232"/>
    <cellStyle name="Accent5 76 3 2 2" xfId="7233"/>
    <cellStyle name="Accent5 76 3 3" xfId="7234"/>
    <cellStyle name="Accent5 76 4" xfId="7235"/>
    <cellStyle name="Accent5 77" xfId="7236"/>
    <cellStyle name="Accent5 77 2" xfId="7237"/>
    <cellStyle name="Accent5 77 2 2" xfId="7238"/>
    <cellStyle name="Accent5 77 3" xfId="7239"/>
    <cellStyle name="Accent5 77 3 2" xfId="7240"/>
    <cellStyle name="Accent5 77 3 2 2" xfId="7241"/>
    <cellStyle name="Accent5 77 3 3" xfId="7242"/>
    <cellStyle name="Accent5 77 4" xfId="7243"/>
    <cellStyle name="Accent5 78" xfId="7244"/>
    <cellStyle name="Accent5 78 2" xfId="7245"/>
    <cellStyle name="Accent5 78 2 2" xfId="7246"/>
    <cellStyle name="Accent5 78 3" xfId="7247"/>
    <cellStyle name="Accent5 78 3 2" xfId="7248"/>
    <cellStyle name="Accent5 78 3 2 2" xfId="7249"/>
    <cellStyle name="Accent5 78 3 3" xfId="7250"/>
    <cellStyle name="Accent5 78 4" xfId="7251"/>
    <cellStyle name="Accent5 79" xfId="7252"/>
    <cellStyle name="Accent5 79 2" xfId="7253"/>
    <cellStyle name="Accent5 79 2 2" xfId="7254"/>
    <cellStyle name="Accent5 79 3" xfId="7255"/>
    <cellStyle name="Accent5 79 3 2" xfId="7256"/>
    <cellStyle name="Accent5 79 3 2 2" xfId="7257"/>
    <cellStyle name="Accent5 79 3 3" xfId="7258"/>
    <cellStyle name="Accent5 79 4" xfId="7259"/>
    <cellStyle name="Accent5 8" xfId="7260"/>
    <cellStyle name="Accent5 8 2" xfId="7261"/>
    <cellStyle name="Accent5 8 2 2" xfId="7262"/>
    <cellStyle name="Accent5 8 3" xfId="7263"/>
    <cellStyle name="Accent5 80" xfId="7264"/>
    <cellStyle name="Accent5 80 2" xfId="7265"/>
    <cellStyle name="Accent5 80 2 2" xfId="7266"/>
    <cellStyle name="Accent5 80 3" xfId="7267"/>
    <cellStyle name="Accent5 80 3 2" xfId="7268"/>
    <cellStyle name="Accent5 80 3 2 2" xfId="7269"/>
    <cellStyle name="Accent5 80 3 3" xfId="7270"/>
    <cellStyle name="Accent5 80 4" xfId="7271"/>
    <cellStyle name="Accent5 81" xfId="7272"/>
    <cellStyle name="Accent5 81 2" xfId="7273"/>
    <cellStyle name="Accent5 81 2 2" xfId="7274"/>
    <cellStyle name="Accent5 81 3" xfId="7275"/>
    <cellStyle name="Accent5 81 3 2" xfId="7276"/>
    <cellStyle name="Accent5 81 3 2 2" xfId="7277"/>
    <cellStyle name="Accent5 81 3 3" xfId="7278"/>
    <cellStyle name="Accent5 81 4" xfId="7279"/>
    <cellStyle name="Accent5 82" xfId="7280"/>
    <cellStyle name="Accent5 82 2" xfId="7281"/>
    <cellStyle name="Accent5 82 2 2" xfId="7282"/>
    <cellStyle name="Accent5 82 3" xfId="7283"/>
    <cellStyle name="Accent5 82 3 2" xfId="7284"/>
    <cellStyle name="Accent5 82 3 2 2" xfId="7285"/>
    <cellStyle name="Accent5 82 3 3" xfId="7286"/>
    <cellStyle name="Accent5 82 4" xfId="7287"/>
    <cellStyle name="Accent5 83" xfId="7288"/>
    <cellStyle name="Accent5 83 2" xfId="7289"/>
    <cellStyle name="Accent5 83 2 2" xfId="7290"/>
    <cellStyle name="Accent5 83 3" xfId="7291"/>
    <cellStyle name="Accent5 83 3 2" xfId="7292"/>
    <cellStyle name="Accent5 83 3 2 2" xfId="7293"/>
    <cellStyle name="Accent5 83 3 3" xfId="7294"/>
    <cellStyle name="Accent5 83 4" xfId="7295"/>
    <cellStyle name="Accent5 84" xfId="7296"/>
    <cellStyle name="Accent5 84 2" xfId="7297"/>
    <cellStyle name="Accent5 84 2 2" xfId="7298"/>
    <cellStyle name="Accent5 84 3" xfId="7299"/>
    <cellStyle name="Accent5 85" xfId="7300"/>
    <cellStyle name="Accent5 85 2" xfId="7301"/>
    <cellStyle name="Accent5 85 2 2" xfId="7302"/>
    <cellStyle name="Accent5 85 3" xfId="7303"/>
    <cellStyle name="Accent5 86" xfId="7304"/>
    <cellStyle name="Accent5 86 2" xfId="7305"/>
    <cellStyle name="Accent5 86 2 2" xfId="7306"/>
    <cellStyle name="Accent5 86 3" xfId="7307"/>
    <cellStyle name="Accent5 87" xfId="7308"/>
    <cellStyle name="Accent5 87 2" xfId="7309"/>
    <cellStyle name="Accent5 87 2 2" xfId="7310"/>
    <cellStyle name="Accent5 87 3" xfId="7311"/>
    <cellStyle name="Accent5 88" xfId="7312"/>
    <cellStyle name="Accent5 88 2" xfId="7313"/>
    <cellStyle name="Accent5 88 2 2" xfId="7314"/>
    <cellStyle name="Accent5 88 3" xfId="7315"/>
    <cellStyle name="Accent5 89" xfId="7316"/>
    <cellStyle name="Accent5 89 2" xfId="7317"/>
    <cellStyle name="Accent5 89 2 2" xfId="7318"/>
    <cellStyle name="Accent5 89 3" xfId="7319"/>
    <cellStyle name="Accent5 9" xfId="7320"/>
    <cellStyle name="Accent5 9 2" xfId="7321"/>
    <cellStyle name="Accent5 9 2 2" xfId="7322"/>
    <cellStyle name="Accent5 9 3" xfId="7323"/>
    <cellStyle name="Accent5 90" xfId="7324"/>
    <cellStyle name="Accent5 90 2" xfId="7325"/>
    <cellStyle name="Accent5 90 2 2" xfId="7326"/>
    <cellStyle name="Accent5 90 3" xfId="7327"/>
    <cellStyle name="Accent5 91" xfId="7328"/>
    <cellStyle name="Accent5 91 2" xfId="7329"/>
    <cellStyle name="Accent5 91 2 2" xfId="7330"/>
    <cellStyle name="Accent5 91 3" xfId="7331"/>
    <cellStyle name="Accent5 92" xfId="7332"/>
    <cellStyle name="Accent5 92 2" xfId="7333"/>
    <cellStyle name="Accent5 92 2 2" xfId="7334"/>
    <cellStyle name="Accent5 92 3" xfId="7335"/>
    <cellStyle name="Accent5 93" xfId="7336"/>
    <cellStyle name="Accent5 93 2" xfId="7337"/>
    <cellStyle name="Accent5 93 2 2" xfId="7338"/>
    <cellStyle name="Accent5 93 3" xfId="7339"/>
    <cellStyle name="Accent5 94" xfId="7340"/>
    <cellStyle name="Accent5 94 2" xfId="7341"/>
    <cellStyle name="Accent5 94 2 2" xfId="7342"/>
    <cellStyle name="Accent5 94 3" xfId="7343"/>
    <cellStyle name="Accent5 95" xfId="7344"/>
    <cellStyle name="Accent5 95 2" xfId="7345"/>
    <cellStyle name="Accent5 95 2 2" xfId="7346"/>
    <cellStyle name="Accent5 95 3" xfId="7347"/>
    <cellStyle name="Accent5 96" xfId="7348"/>
    <cellStyle name="Accent5 96 2" xfId="7349"/>
    <cellStyle name="Accent5 96 2 2" xfId="7350"/>
    <cellStyle name="Accent5 96 3" xfId="7351"/>
    <cellStyle name="Accent5 97" xfId="7352"/>
    <cellStyle name="Accent5 97 2" xfId="7353"/>
    <cellStyle name="Accent5 97 2 2" xfId="7354"/>
    <cellStyle name="Accent5 97 3" xfId="7355"/>
    <cellStyle name="Accent5 98" xfId="7356"/>
    <cellStyle name="Accent5 98 2" xfId="7357"/>
    <cellStyle name="Accent5 98 2 2" xfId="7358"/>
    <cellStyle name="Accent5 98 3" xfId="7359"/>
    <cellStyle name="Accent5 99" xfId="7360"/>
    <cellStyle name="Accent5 99 2" xfId="7361"/>
    <cellStyle name="Accent5 99 2 2" xfId="7362"/>
    <cellStyle name="Accent5 99 3" xfId="7363"/>
    <cellStyle name="Accent6 - 20%" xfId="16"/>
    <cellStyle name="Accent6 - 20% 2" xfId="7364"/>
    <cellStyle name="Accent6 - 20% 2 2" xfId="7365"/>
    <cellStyle name="Accent6 - 20% 2 2 2" xfId="7366"/>
    <cellStyle name="Accent6 - 20% 2 2 2 2" xfId="7367"/>
    <cellStyle name="Accent6 - 20% 2 2 3" xfId="7368"/>
    <cellStyle name="Accent6 - 20% 2 3" xfId="7369"/>
    <cellStyle name="Accent6 - 20% 2 3 2" xfId="7370"/>
    <cellStyle name="Accent6 - 20% 2 3 2 2" xfId="7371"/>
    <cellStyle name="Accent6 - 20% 2 3 2 2 2" xfId="7372"/>
    <cellStyle name="Accent6 - 20% 2 3 2 3" xfId="7373"/>
    <cellStyle name="Accent6 - 20% 2 3 3" xfId="7374"/>
    <cellStyle name="Accent6 - 20% 2 3 3 2" xfId="7375"/>
    <cellStyle name="Accent6 - 20% 2 3 4" xfId="7376"/>
    <cellStyle name="Accent6 - 20% 2 4" xfId="7377"/>
    <cellStyle name="Accent6 - 20% 2 4 2" xfId="7378"/>
    <cellStyle name="Accent6 - 20% 2 5" xfId="7379"/>
    <cellStyle name="Accent6 - 20% 2 5 2" xfId="7380"/>
    <cellStyle name="Accent6 - 20% 2 6" xfId="7381"/>
    <cellStyle name="Accent6 - 20% 3" xfId="7382"/>
    <cellStyle name="Accent6 - 20% 3 2" xfId="7383"/>
    <cellStyle name="Accent6 - 20% 3 2 2" xfId="7384"/>
    <cellStyle name="Accent6 - 20% 3 2 2 2" xfId="7385"/>
    <cellStyle name="Accent6 - 20% 3 2 3" xfId="7386"/>
    <cellStyle name="Accent6 - 20% 3 3" xfId="7387"/>
    <cellStyle name="Accent6 - 20% 3 3 2" xfId="7388"/>
    <cellStyle name="Accent6 - 20% 3 4" xfId="7389"/>
    <cellStyle name="Accent6 - 20% 4" xfId="7390"/>
    <cellStyle name="Accent6 - 20% 4 2" xfId="7391"/>
    <cellStyle name="Accent6 - 20% 4 2 2" xfId="7392"/>
    <cellStyle name="Accent6 - 20% 4 3" xfId="7393"/>
    <cellStyle name="Accent6 - 20% 5" xfId="7394"/>
    <cellStyle name="Accent6 - 20% 5 2" xfId="7395"/>
    <cellStyle name="Accent6 - 20% 6" xfId="7396"/>
    <cellStyle name="Accent6 - 20% 6 2" xfId="7397"/>
    <cellStyle name="Accent6 - 20% 7" xfId="7398"/>
    <cellStyle name="Accent6 - 20% 8" xfId="7399"/>
    <cellStyle name="Accent6 - 40%" xfId="17"/>
    <cellStyle name="Accent6 - 40% 10" xfId="7400"/>
    <cellStyle name="Accent6 - 40% 11" xfId="7401"/>
    <cellStyle name="Accent6 - 40% 2" xfId="7402"/>
    <cellStyle name="Accent6 - 40% 2 2" xfId="7403"/>
    <cellStyle name="Accent6 - 40% 2 2 2" xfId="7404"/>
    <cellStyle name="Accent6 - 40% 2 2 2 2" xfId="7405"/>
    <cellStyle name="Accent6 - 40% 2 2 3" xfId="7406"/>
    <cellStyle name="Accent6 - 40% 2 3" xfId="7407"/>
    <cellStyle name="Accent6 - 40% 2 3 2" xfId="7408"/>
    <cellStyle name="Accent6 - 40% 2 3 2 2" xfId="7409"/>
    <cellStyle name="Accent6 - 40% 2 3 2 2 2" xfId="7410"/>
    <cellStyle name="Accent6 - 40% 2 3 2 3" xfId="7411"/>
    <cellStyle name="Accent6 - 40% 2 3 3" xfId="7412"/>
    <cellStyle name="Accent6 - 40% 2 3 3 2" xfId="7413"/>
    <cellStyle name="Accent6 - 40% 2 3 4" xfId="7414"/>
    <cellStyle name="Accent6 - 40% 2 4" xfId="7415"/>
    <cellStyle name="Accent6 - 40% 2 4 2" xfId="7416"/>
    <cellStyle name="Accent6 - 40% 2 4 2 2" xfId="7417"/>
    <cellStyle name="Accent6 - 40% 2 4 2 2 2" xfId="7418"/>
    <cellStyle name="Accent6 - 40% 2 4 2 3" xfId="7419"/>
    <cellStyle name="Accent6 - 40% 2 4 3" xfId="7420"/>
    <cellStyle name="Accent6 - 40% 2 4 3 2" xfId="7421"/>
    <cellStyle name="Accent6 - 40% 2 4 4" xfId="7422"/>
    <cellStyle name="Accent6 - 40% 2 5" xfId="7423"/>
    <cellStyle name="Accent6 - 40% 2 5 2" xfId="7424"/>
    <cellStyle name="Accent6 - 40% 2 6" xfId="7425"/>
    <cellStyle name="Accent6 - 40% 2 6 2" xfId="7426"/>
    <cellStyle name="Accent6 - 40% 2 7" xfId="7427"/>
    <cellStyle name="Accent6 - 40% 3" xfId="7428"/>
    <cellStyle name="Accent6 - 40% 3 2" xfId="7429"/>
    <cellStyle name="Accent6 - 40% 3 2 2" xfId="7430"/>
    <cellStyle name="Accent6 - 40% 3 2 2 2" xfId="7431"/>
    <cellStyle name="Accent6 - 40% 3 2 3" xfId="7432"/>
    <cellStyle name="Accent6 - 40% 3 3" xfId="7433"/>
    <cellStyle name="Accent6 - 40% 3 3 2" xfId="7434"/>
    <cellStyle name="Accent6 - 40% 3 4" xfId="7435"/>
    <cellStyle name="Accent6 - 40% 4" xfId="7436"/>
    <cellStyle name="Accent6 - 40% 4 2" xfId="7437"/>
    <cellStyle name="Accent6 - 40% 4 2 2" xfId="7438"/>
    <cellStyle name="Accent6 - 40% 4 3" xfId="7439"/>
    <cellStyle name="Accent6 - 40% 5" xfId="7440"/>
    <cellStyle name="Accent6 - 40% 5 2" xfId="7441"/>
    <cellStyle name="Accent6 - 40% 5 2 2" xfId="7442"/>
    <cellStyle name="Accent6 - 40% 5 3" xfId="7443"/>
    <cellStyle name="Accent6 - 40% 6" xfId="7444"/>
    <cellStyle name="Accent6 - 40% 6 2" xfId="7445"/>
    <cellStyle name="Accent6 - 40% 7" xfId="7446"/>
    <cellStyle name="Accent6 - 40% 7 2" xfId="7447"/>
    <cellStyle name="Accent6 - 40% 8" xfId="7448"/>
    <cellStyle name="Accent6 - 40% 8 2" xfId="7449"/>
    <cellStyle name="Accent6 - 40% 9" xfId="7450"/>
    <cellStyle name="Accent6 - 40% 9 2" xfId="7451"/>
    <cellStyle name="Accent6 - 60%" xfId="18"/>
    <cellStyle name="Accent6 - 60% 10" xfId="7452"/>
    <cellStyle name="Accent6 - 60% 2" xfId="7453"/>
    <cellStyle name="Accent6 - 60% 2 2" xfId="7454"/>
    <cellStyle name="Accent6 - 60% 2 2 2" xfId="7455"/>
    <cellStyle name="Accent6 - 60% 2 3" xfId="7456"/>
    <cellStyle name="Accent6 - 60% 2 3 2" xfId="7457"/>
    <cellStyle name="Accent6 - 60% 2 3 2 2" xfId="7458"/>
    <cellStyle name="Accent6 - 60% 2 3 3" xfId="7459"/>
    <cellStyle name="Accent6 - 60% 2 4" xfId="7460"/>
    <cellStyle name="Accent6 - 60% 2 4 2" xfId="7461"/>
    <cellStyle name="Accent6 - 60% 2 4 2 2" xfId="7462"/>
    <cellStyle name="Accent6 - 60% 2 4 3" xfId="7463"/>
    <cellStyle name="Accent6 - 60% 2 5" xfId="7464"/>
    <cellStyle name="Accent6 - 60% 3" xfId="7465"/>
    <cellStyle name="Accent6 - 60% 3 2" xfId="7466"/>
    <cellStyle name="Accent6 - 60% 3 2 2" xfId="7467"/>
    <cellStyle name="Accent6 - 60% 3 3" xfId="7468"/>
    <cellStyle name="Accent6 - 60% 4" xfId="7469"/>
    <cellStyle name="Accent6 - 60% 4 2" xfId="7470"/>
    <cellStyle name="Accent6 - 60% 5" xfId="7471"/>
    <cellStyle name="Accent6 - 60% 5 2" xfId="7472"/>
    <cellStyle name="Accent6 - 60% 6" xfId="7473"/>
    <cellStyle name="Accent6 - 60% 6 2" xfId="7474"/>
    <cellStyle name="Accent6 - 60% 6 2 2" xfId="7475"/>
    <cellStyle name="Accent6 - 60% 6 3" xfId="7476"/>
    <cellStyle name="Accent6 - 60% 7" xfId="7477"/>
    <cellStyle name="Accent6 - 60% 7 2" xfId="7478"/>
    <cellStyle name="Accent6 - 60% 8" xfId="7479"/>
    <cellStyle name="Accent6 - 60% 8 2" xfId="7480"/>
    <cellStyle name="Accent6 - 60% 9" xfId="7481"/>
    <cellStyle name="Accent6 10" xfId="7482"/>
    <cellStyle name="Accent6 10 2" xfId="7483"/>
    <cellStyle name="Accent6 10 2 2" xfId="7484"/>
    <cellStyle name="Accent6 10 3" xfId="7485"/>
    <cellStyle name="Accent6 100" xfId="7486"/>
    <cellStyle name="Accent6 100 2" xfId="7487"/>
    <cellStyle name="Accent6 100 2 2" xfId="7488"/>
    <cellStyle name="Accent6 100 3" xfId="7489"/>
    <cellStyle name="Accent6 101" xfId="7490"/>
    <cellStyle name="Accent6 101 2" xfId="7491"/>
    <cellStyle name="Accent6 101 2 2" xfId="7492"/>
    <cellStyle name="Accent6 101 3" xfId="7493"/>
    <cellStyle name="Accent6 102" xfId="7494"/>
    <cellStyle name="Accent6 102 2" xfId="7495"/>
    <cellStyle name="Accent6 103" xfId="7496"/>
    <cellStyle name="Accent6 103 2" xfId="7497"/>
    <cellStyle name="Accent6 104" xfId="7498"/>
    <cellStyle name="Accent6 104 2" xfId="7499"/>
    <cellStyle name="Accent6 104 2 2" xfId="7500"/>
    <cellStyle name="Accent6 104 3" xfId="7501"/>
    <cellStyle name="Accent6 105" xfId="7502"/>
    <cellStyle name="Accent6 105 2" xfId="7503"/>
    <cellStyle name="Accent6 105 2 2" xfId="7504"/>
    <cellStyle name="Accent6 105 3" xfId="7505"/>
    <cellStyle name="Accent6 106" xfId="7506"/>
    <cellStyle name="Accent6 106 2" xfId="7507"/>
    <cellStyle name="Accent6 106 2 2" xfId="7508"/>
    <cellStyle name="Accent6 106 3" xfId="7509"/>
    <cellStyle name="Accent6 107" xfId="7510"/>
    <cellStyle name="Accent6 107 2" xfId="7511"/>
    <cellStyle name="Accent6 107 2 2" xfId="7512"/>
    <cellStyle name="Accent6 107 3" xfId="7513"/>
    <cellStyle name="Accent6 108" xfId="7514"/>
    <cellStyle name="Accent6 108 2" xfId="7515"/>
    <cellStyle name="Accent6 108 2 2" xfId="7516"/>
    <cellStyle name="Accent6 108 3" xfId="7517"/>
    <cellStyle name="Accent6 109" xfId="7518"/>
    <cellStyle name="Accent6 109 2" xfId="7519"/>
    <cellStyle name="Accent6 109 2 2" xfId="7520"/>
    <cellStyle name="Accent6 109 3" xfId="7521"/>
    <cellStyle name="Accent6 11" xfId="7522"/>
    <cellStyle name="Accent6 11 2" xfId="7523"/>
    <cellStyle name="Accent6 11 2 2" xfId="7524"/>
    <cellStyle name="Accent6 11 3" xfId="7525"/>
    <cellStyle name="Accent6 110" xfId="7526"/>
    <cellStyle name="Accent6 110 2" xfId="7527"/>
    <cellStyle name="Accent6 110 2 2" xfId="7528"/>
    <cellStyle name="Accent6 110 3" xfId="7529"/>
    <cellStyle name="Accent6 111" xfId="7530"/>
    <cellStyle name="Accent6 111 2" xfId="7531"/>
    <cellStyle name="Accent6 111 2 2" xfId="7532"/>
    <cellStyle name="Accent6 111 3" xfId="7533"/>
    <cellStyle name="Accent6 112" xfId="7534"/>
    <cellStyle name="Accent6 112 2" xfId="7535"/>
    <cellStyle name="Accent6 112 2 2" xfId="7536"/>
    <cellStyle name="Accent6 112 3" xfId="7537"/>
    <cellStyle name="Accent6 113" xfId="7538"/>
    <cellStyle name="Accent6 113 2" xfId="7539"/>
    <cellStyle name="Accent6 113 2 2" xfId="7540"/>
    <cellStyle name="Accent6 113 3" xfId="7541"/>
    <cellStyle name="Accent6 114" xfId="7542"/>
    <cellStyle name="Accent6 114 2" xfId="7543"/>
    <cellStyle name="Accent6 115" xfId="7544"/>
    <cellStyle name="Accent6 115 2" xfId="7545"/>
    <cellStyle name="Accent6 116" xfId="7546"/>
    <cellStyle name="Accent6 116 2" xfId="7547"/>
    <cellStyle name="Accent6 117" xfId="7548"/>
    <cellStyle name="Accent6 117 2" xfId="7549"/>
    <cellStyle name="Accent6 118" xfId="7550"/>
    <cellStyle name="Accent6 118 2" xfId="7551"/>
    <cellStyle name="Accent6 119" xfId="7552"/>
    <cellStyle name="Accent6 119 2" xfId="7553"/>
    <cellStyle name="Accent6 12" xfId="7554"/>
    <cellStyle name="Accent6 12 2" xfId="7555"/>
    <cellStyle name="Accent6 12 2 2" xfId="7556"/>
    <cellStyle name="Accent6 12 3" xfId="7557"/>
    <cellStyle name="Accent6 120" xfId="7558"/>
    <cellStyle name="Accent6 120 2" xfId="7559"/>
    <cellStyle name="Accent6 121" xfId="7560"/>
    <cellStyle name="Accent6 121 2" xfId="7561"/>
    <cellStyle name="Accent6 122" xfId="7562"/>
    <cellStyle name="Accent6 122 2" xfId="7563"/>
    <cellStyle name="Accent6 123" xfId="7564"/>
    <cellStyle name="Accent6 123 2" xfId="7565"/>
    <cellStyle name="Accent6 124" xfId="7566"/>
    <cellStyle name="Accent6 124 2" xfId="7567"/>
    <cellStyle name="Accent6 125" xfId="7568"/>
    <cellStyle name="Accent6 125 2" xfId="7569"/>
    <cellStyle name="Accent6 126" xfId="7570"/>
    <cellStyle name="Accent6 127" xfId="7571"/>
    <cellStyle name="Accent6 128" xfId="7572"/>
    <cellStyle name="Accent6 129" xfId="7573"/>
    <cellStyle name="Accent6 13" xfId="7574"/>
    <cellStyle name="Accent6 13 2" xfId="7575"/>
    <cellStyle name="Accent6 13 2 2" xfId="7576"/>
    <cellStyle name="Accent6 13 3" xfId="7577"/>
    <cellStyle name="Accent6 130" xfId="7578"/>
    <cellStyle name="Accent6 131" xfId="7579"/>
    <cellStyle name="Accent6 132" xfId="7580"/>
    <cellStyle name="Accent6 133" xfId="7581"/>
    <cellStyle name="Accent6 134" xfId="7582"/>
    <cellStyle name="Accent6 135" xfId="7583"/>
    <cellStyle name="Accent6 136" xfId="7584"/>
    <cellStyle name="Accent6 137" xfId="7585"/>
    <cellStyle name="Accent6 138" xfId="7586"/>
    <cellStyle name="Accent6 139" xfId="7587"/>
    <cellStyle name="Accent6 14" xfId="7588"/>
    <cellStyle name="Accent6 14 2" xfId="7589"/>
    <cellStyle name="Accent6 14 2 2" xfId="7590"/>
    <cellStyle name="Accent6 14 3" xfId="7591"/>
    <cellStyle name="Accent6 140" xfId="7592"/>
    <cellStyle name="Accent6 141" xfId="7593"/>
    <cellStyle name="Accent6 142" xfId="7594"/>
    <cellStyle name="Accent6 143" xfId="7595"/>
    <cellStyle name="Accent6 144" xfId="7596"/>
    <cellStyle name="Accent6 145" xfId="7597"/>
    <cellStyle name="Accent6 146" xfId="7598"/>
    <cellStyle name="Accent6 147" xfId="7599"/>
    <cellStyle name="Accent6 148" xfId="7600"/>
    <cellStyle name="Accent6 149" xfId="7601"/>
    <cellStyle name="Accent6 15" xfId="7602"/>
    <cellStyle name="Accent6 15 2" xfId="7603"/>
    <cellStyle name="Accent6 15 2 2" xfId="7604"/>
    <cellStyle name="Accent6 15 3" xfId="7605"/>
    <cellStyle name="Accent6 150" xfId="7606"/>
    <cellStyle name="Accent6 151" xfId="7607"/>
    <cellStyle name="Accent6 152" xfId="7608"/>
    <cellStyle name="Accent6 153" xfId="7609"/>
    <cellStyle name="Accent6 154" xfId="7610"/>
    <cellStyle name="Accent6 155" xfId="7611"/>
    <cellStyle name="Accent6 156" xfId="7612"/>
    <cellStyle name="Accent6 157" xfId="7613"/>
    <cellStyle name="Accent6 158" xfId="7614"/>
    <cellStyle name="Accent6 159" xfId="7615"/>
    <cellStyle name="Accent6 16" xfId="7616"/>
    <cellStyle name="Accent6 16 2" xfId="7617"/>
    <cellStyle name="Accent6 16 2 2" xfId="7618"/>
    <cellStyle name="Accent6 16 3" xfId="7619"/>
    <cellStyle name="Accent6 160" xfId="7620"/>
    <cellStyle name="Accent6 161" xfId="7621"/>
    <cellStyle name="Accent6 162" xfId="7622"/>
    <cellStyle name="Accent6 163" xfId="7623"/>
    <cellStyle name="Accent6 164" xfId="7624"/>
    <cellStyle name="Accent6 165" xfId="7625"/>
    <cellStyle name="Accent6 166" xfId="7626"/>
    <cellStyle name="Accent6 167" xfId="7627"/>
    <cellStyle name="Accent6 168" xfId="7628"/>
    <cellStyle name="Accent6 169" xfId="7629"/>
    <cellStyle name="Accent6 17" xfId="7630"/>
    <cellStyle name="Accent6 17 2" xfId="7631"/>
    <cellStyle name="Accent6 17 2 2" xfId="7632"/>
    <cellStyle name="Accent6 17 3" xfId="7633"/>
    <cellStyle name="Accent6 170" xfId="7634"/>
    <cellStyle name="Accent6 171" xfId="7635"/>
    <cellStyle name="Accent6 172" xfId="7636"/>
    <cellStyle name="Accent6 173" xfId="7637"/>
    <cellStyle name="Accent6 174" xfId="7638"/>
    <cellStyle name="Accent6 175" xfId="7639"/>
    <cellStyle name="Accent6 176" xfId="7640"/>
    <cellStyle name="Accent6 177" xfId="7641"/>
    <cellStyle name="Accent6 178" xfId="7642"/>
    <cellStyle name="Accent6 179" xfId="7643"/>
    <cellStyle name="Accent6 18" xfId="7644"/>
    <cellStyle name="Accent6 18 2" xfId="7645"/>
    <cellStyle name="Accent6 18 2 2" xfId="7646"/>
    <cellStyle name="Accent6 18 3" xfId="7647"/>
    <cellStyle name="Accent6 19" xfId="7648"/>
    <cellStyle name="Accent6 19 2" xfId="7649"/>
    <cellStyle name="Accent6 19 2 2" xfId="7650"/>
    <cellStyle name="Accent6 19 3" xfId="7651"/>
    <cellStyle name="Accent6 2" xfId="7652"/>
    <cellStyle name="Accent6 2 10" xfId="7653"/>
    <cellStyle name="Accent6 2 10 2" xfId="7654"/>
    <cellStyle name="Accent6 2 11" xfId="7655"/>
    <cellStyle name="Accent6 2 12" xfId="7656"/>
    <cellStyle name="Accent6 2 2" xfId="7657"/>
    <cellStyle name="Accent6 2 2 2" xfId="7658"/>
    <cellStyle name="Accent6 2 2 2 2" xfId="7659"/>
    <cellStyle name="Accent6 2 2 3" xfId="7660"/>
    <cellStyle name="Accent6 2 2 3 2" xfId="7661"/>
    <cellStyle name="Accent6 2 2 3 2 2" xfId="7662"/>
    <cellStyle name="Accent6 2 2 3 3" xfId="7663"/>
    <cellStyle name="Accent6 2 2 4" xfId="7664"/>
    <cellStyle name="Accent6 2 3" xfId="7665"/>
    <cellStyle name="Accent6 2 3 2" xfId="7666"/>
    <cellStyle name="Accent6 2 3 2 2" xfId="7667"/>
    <cellStyle name="Accent6 2 3 3" xfId="7668"/>
    <cellStyle name="Accent6 2 3 3 2" xfId="7669"/>
    <cellStyle name="Accent6 2 3 3 2 2" xfId="7670"/>
    <cellStyle name="Accent6 2 3 3 3" xfId="7671"/>
    <cellStyle name="Accent6 2 3 4" xfId="7672"/>
    <cellStyle name="Accent6 2 4" xfId="7673"/>
    <cellStyle name="Accent6 2 4 2" xfId="7674"/>
    <cellStyle name="Accent6 2 4 2 2" xfId="7675"/>
    <cellStyle name="Accent6 2 4 3" xfId="7676"/>
    <cellStyle name="Accent6 2 5" xfId="7677"/>
    <cellStyle name="Accent6 2 5 2" xfId="7678"/>
    <cellStyle name="Accent6 2 5 2 2" xfId="7679"/>
    <cellStyle name="Accent6 2 5 3" xfId="7680"/>
    <cellStyle name="Accent6 2 5 3 2" xfId="7681"/>
    <cellStyle name="Accent6 2 5 3 2 2" xfId="7682"/>
    <cellStyle name="Accent6 2 5 3 3" xfId="7683"/>
    <cellStyle name="Accent6 2 5 4" xfId="7684"/>
    <cellStyle name="Accent6 2 6" xfId="7685"/>
    <cellStyle name="Accent6 2 6 2" xfId="7686"/>
    <cellStyle name="Accent6 2 6 2 2" xfId="7687"/>
    <cellStyle name="Accent6 2 6 3" xfId="7688"/>
    <cellStyle name="Accent6 2 6 3 2" xfId="7689"/>
    <cellStyle name="Accent6 2 6 4" xfId="7690"/>
    <cellStyle name="Accent6 2 7" xfId="7691"/>
    <cellStyle name="Accent6 2 7 2" xfId="7692"/>
    <cellStyle name="Accent6 2 8" xfId="7693"/>
    <cellStyle name="Accent6 2 8 2" xfId="7694"/>
    <cellStyle name="Accent6 2 8 2 2" xfId="7695"/>
    <cellStyle name="Accent6 2 8 3" xfId="7696"/>
    <cellStyle name="Accent6 2 9" xfId="7697"/>
    <cellStyle name="Accent6 2 9 2" xfId="7698"/>
    <cellStyle name="Accent6 2 9 2 2" xfId="7699"/>
    <cellStyle name="Accent6 2 9 3" xfId="7700"/>
    <cellStyle name="Accent6 20" xfId="7701"/>
    <cellStyle name="Accent6 20 2" xfId="7702"/>
    <cellStyle name="Accent6 20 2 2" xfId="7703"/>
    <cellStyle name="Accent6 20 3" xfId="7704"/>
    <cellStyle name="Accent6 21" xfId="7705"/>
    <cellStyle name="Accent6 21 2" xfId="7706"/>
    <cellStyle name="Accent6 21 2 2" xfId="7707"/>
    <cellStyle name="Accent6 21 3" xfId="7708"/>
    <cellStyle name="Accent6 22" xfId="7709"/>
    <cellStyle name="Accent6 22 2" xfId="7710"/>
    <cellStyle name="Accent6 22 2 2" xfId="7711"/>
    <cellStyle name="Accent6 22 3" xfId="7712"/>
    <cellStyle name="Accent6 23" xfId="7713"/>
    <cellStyle name="Accent6 23 2" xfId="7714"/>
    <cellStyle name="Accent6 23 2 2" xfId="7715"/>
    <cellStyle name="Accent6 23 3" xfId="7716"/>
    <cellStyle name="Accent6 24" xfId="7717"/>
    <cellStyle name="Accent6 24 2" xfId="7718"/>
    <cellStyle name="Accent6 24 2 2" xfId="7719"/>
    <cellStyle name="Accent6 24 3" xfId="7720"/>
    <cellStyle name="Accent6 25" xfId="7721"/>
    <cellStyle name="Accent6 25 2" xfId="7722"/>
    <cellStyle name="Accent6 25 2 2" xfId="7723"/>
    <cellStyle name="Accent6 25 3" xfId="7724"/>
    <cellStyle name="Accent6 26" xfId="7725"/>
    <cellStyle name="Accent6 26 2" xfId="7726"/>
    <cellStyle name="Accent6 26 2 2" xfId="7727"/>
    <cellStyle name="Accent6 26 3" xfId="7728"/>
    <cellStyle name="Accent6 27" xfId="7729"/>
    <cellStyle name="Accent6 27 2" xfId="7730"/>
    <cellStyle name="Accent6 27 2 2" xfId="7731"/>
    <cellStyle name="Accent6 27 3" xfId="7732"/>
    <cellStyle name="Accent6 28" xfId="7733"/>
    <cellStyle name="Accent6 28 2" xfId="7734"/>
    <cellStyle name="Accent6 28 2 2" xfId="7735"/>
    <cellStyle name="Accent6 28 3" xfId="7736"/>
    <cellStyle name="Accent6 29" xfId="7737"/>
    <cellStyle name="Accent6 29 2" xfId="7738"/>
    <cellStyle name="Accent6 29 2 2" xfId="7739"/>
    <cellStyle name="Accent6 29 3" xfId="7740"/>
    <cellStyle name="Accent6 3" xfId="7741"/>
    <cellStyle name="Accent6 3 10" xfId="7742"/>
    <cellStyle name="Accent6 3 10 2" xfId="7743"/>
    <cellStyle name="Accent6 3 10 2 2" xfId="7744"/>
    <cellStyle name="Accent6 3 10 3" xfId="7745"/>
    <cellStyle name="Accent6 3 11" xfId="7746"/>
    <cellStyle name="Accent6 3 11 2" xfId="7747"/>
    <cellStyle name="Accent6 3 12" xfId="7748"/>
    <cellStyle name="Accent6 3 2" xfId="7749"/>
    <cellStyle name="Accent6 3 2 2" xfId="7750"/>
    <cellStyle name="Accent6 3 2 2 2" xfId="7751"/>
    <cellStyle name="Accent6 3 2 3" xfId="7752"/>
    <cellStyle name="Accent6 3 2 3 2" xfId="7753"/>
    <cellStyle name="Accent6 3 2 3 2 2" xfId="7754"/>
    <cellStyle name="Accent6 3 2 3 3" xfId="7755"/>
    <cellStyle name="Accent6 3 2 4" xfId="7756"/>
    <cellStyle name="Accent6 3 3" xfId="7757"/>
    <cellStyle name="Accent6 3 3 2" xfId="7758"/>
    <cellStyle name="Accent6 3 3 2 2" xfId="7759"/>
    <cellStyle name="Accent6 3 3 3" xfId="7760"/>
    <cellStyle name="Accent6 3 3 3 2" xfId="7761"/>
    <cellStyle name="Accent6 3 3 3 2 2" xfId="7762"/>
    <cellStyle name="Accent6 3 3 3 3" xfId="7763"/>
    <cellStyle name="Accent6 3 3 4" xfId="7764"/>
    <cellStyle name="Accent6 3 4" xfId="7765"/>
    <cellStyle name="Accent6 3 4 2" xfId="7766"/>
    <cellStyle name="Accent6 3 4 2 2" xfId="7767"/>
    <cellStyle name="Accent6 3 4 3" xfId="7768"/>
    <cellStyle name="Accent6 3 5" xfId="7769"/>
    <cellStyle name="Accent6 3 5 2" xfId="7770"/>
    <cellStyle name="Accent6 3 5 2 2" xfId="7771"/>
    <cellStyle name="Accent6 3 5 3" xfId="7772"/>
    <cellStyle name="Accent6 3 5 3 2" xfId="7773"/>
    <cellStyle name="Accent6 3 5 3 2 2" xfId="7774"/>
    <cellStyle name="Accent6 3 5 3 3" xfId="7775"/>
    <cellStyle name="Accent6 3 5 4" xfId="7776"/>
    <cellStyle name="Accent6 3 6" xfId="7777"/>
    <cellStyle name="Accent6 3 6 2" xfId="7778"/>
    <cellStyle name="Accent6 3 7" xfId="7779"/>
    <cellStyle name="Accent6 3 7 2" xfId="7780"/>
    <cellStyle name="Accent6 3 8" xfId="7781"/>
    <cellStyle name="Accent6 3 8 2" xfId="7782"/>
    <cellStyle name="Accent6 3 8 2 2" xfId="7783"/>
    <cellStyle name="Accent6 3 8 3" xfId="7784"/>
    <cellStyle name="Accent6 3 9" xfId="7785"/>
    <cellStyle name="Accent6 3 9 2" xfId="7786"/>
    <cellStyle name="Accent6 3 9 2 2" xfId="7787"/>
    <cellStyle name="Accent6 3 9 3" xfId="7788"/>
    <cellStyle name="Accent6 30" xfId="7789"/>
    <cellStyle name="Accent6 30 2" xfId="7790"/>
    <cellStyle name="Accent6 30 2 2" xfId="7791"/>
    <cellStyle name="Accent6 30 3" xfId="7792"/>
    <cellStyle name="Accent6 31" xfId="7793"/>
    <cellStyle name="Accent6 31 2" xfId="7794"/>
    <cellStyle name="Accent6 31 2 2" xfId="7795"/>
    <cellStyle name="Accent6 31 3" xfId="7796"/>
    <cellStyle name="Accent6 32" xfId="7797"/>
    <cellStyle name="Accent6 32 2" xfId="7798"/>
    <cellStyle name="Accent6 32 2 2" xfId="7799"/>
    <cellStyle name="Accent6 32 3" xfId="7800"/>
    <cellStyle name="Accent6 33" xfId="7801"/>
    <cellStyle name="Accent6 33 2" xfId="7802"/>
    <cellStyle name="Accent6 33 2 2" xfId="7803"/>
    <cellStyle name="Accent6 33 3" xfId="7804"/>
    <cellStyle name="Accent6 34" xfId="7805"/>
    <cellStyle name="Accent6 34 2" xfId="7806"/>
    <cellStyle name="Accent6 34 2 2" xfId="7807"/>
    <cellStyle name="Accent6 34 3" xfId="7808"/>
    <cellStyle name="Accent6 35" xfId="7809"/>
    <cellStyle name="Accent6 35 2" xfId="7810"/>
    <cellStyle name="Accent6 35 2 2" xfId="7811"/>
    <cellStyle name="Accent6 35 3" xfId="7812"/>
    <cellStyle name="Accent6 36" xfId="7813"/>
    <cellStyle name="Accent6 36 2" xfId="7814"/>
    <cellStyle name="Accent6 36 2 2" xfId="7815"/>
    <cellStyle name="Accent6 36 3" xfId="7816"/>
    <cellStyle name="Accent6 37" xfId="7817"/>
    <cellStyle name="Accent6 37 2" xfId="7818"/>
    <cellStyle name="Accent6 37 2 2" xfId="7819"/>
    <cellStyle name="Accent6 37 3" xfId="7820"/>
    <cellStyle name="Accent6 38" xfId="7821"/>
    <cellStyle name="Accent6 38 2" xfId="7822"/>
    <cellStyle name="Accent6 38 2 2" xfId="7823"/>
    <cellStyle name="Accent6 38 3" xfId="7824"/>
    <cellStyle name="Accent6 39" xfId="7825"/>
    <cellStyle name="Accent6 39 2" xfId="7826"/>
    <cellStyle name="Accent6 39 2 2" xfId="7827"/>
    <cellStyle name="Accent6 39 3" xfId="7828"/>
    <cellStyle name="Accent6 4" xfId="7829"/>
    <cellStyle name="Accent6 4 2" xfId="7830"/>
    <cellStyle name="Accent6 4 2 2" xfId="7831"/>
    <cellStyle name="Accent6 4 2 2 2" xfId="7832"/>
    <cellStyle name="Accent6 4 2 3" xfId="7833"/>
    <cellStyle name="Accent6 4 2 3 2" xfId="7834"/>
    <cellStyle name="Accent6 4 2 3 2 2" xfId="7835"/>
    <cellStyle name="Accent6 4 2 3 3" xfId="7836"/>
    <cellStyle name="Accent6 4 2 4" xfId="7837"/>
    <cellStyle name="Accent6 4 3" xfId="7838"/>
    <cellStyle name="Accent6 4 3 2" xfId="7839"/>
    <cellStyle name="Accent6 4 3 2 2" xfId="7840"/>
    <cellStyle name="Accent6 4 3 3" xfId="7841"/>
    <cellStyle name="Accent6 4 3 3 2" xfId="7842"/>
    <cellStyle name="Accent6 4 3 3 2 2" xfId="7843"/>
    <cellStyle name="Accent6 4 3 3 3" xfId="7844"/>
    <cellStyle name="Accent6 4 3 4" xfId="7845"/>
    <cellStyle name="Accent6 4 4" xfId="7846"/>
    <cellStyle name="Accent6 4 4 2" xfId="7847"/>
    <cellStyle name="Accent6 4 4 2 2" xfId="7848"/>
    <cellStyle name="Accent6 4 4 3" xfId="7849"/>
    <cellStyle name="Accent6 4 5" xfId="7850"/>
    <cellStyle name="Accent6 4 5 2" xfId="7851"/>
    <cellStyle name="Accent6 4 6" xfId="7852"/>
    <cellStyle name="Accent6 4 6 2" xfId="7853"/>
    <cellStyle name="Accent6 4 6 2 2" xfId="7854"/>
    <cellStyle name="Accent6 4 6 3" xfId="7855"/>
    <cellStyle name="Accent6 4 7" xfId="7856"/>
    <cellStyle name="Accent6 4 7 2" xfId="7857"/>
    <cellStyle name="Accent6 4 7 2 2" xfId="7858"/>
    <cellStyle name="Accent6 4 7 3" xfId="7859"/>
    <cellStyle name="Accent6 4 8" xfId="7860"/>
    <cellStyle name="Accent6 40" xfId="7861"/>
    <cellStyle name="Accent6 40 2" xfId="7862"/>
    <cellStyle name="Accent6 40 2 2" xfId="7863"/>
    <cellStyle name="Accent6 40 3" xfId="7864"/>
    <cellStyle name="Accent6 41" xfId="7865"/>
    <cellStyle name="Accent6 41 2" xfId="7866"/>
    <cellStyle name="Accent6 41 2 2" xfId="7867"/>
    <cellStyle name="Accent6 41 3" xfId="7868"/>
    <cellStyle name="Accent6 42" xfId="7869"/>
    <cellStyle name="Accent6 42 2" xfId="7870"/>
    <cellStyle name="Accent6 42 2 2" xfId="7871"/>
    <cellStyle name="Accent6 42 3" xfId="7872"/>
    <cellStyle name="Accent6 43" xfId="7873"/>
    <cellStyle name="Accent6 43 2" xfId="7874"/>
    <cellStyle name="Accent6 43 2 2" xfId="7875"/>
    <cellStyle name="Accent6 43 3" xfId="7876"/>
    <cellStyle name="Accent6 44" xfId="7877"/>
    <cellStyle name="Accent6 44 2" xfId="7878"/>
    <cellStyle name="Accent6 44 2 2" xfId="7879"/>
    <cellStyle name="Accent6 44 3" xfId="7880"/>
    <cellStyle name="Accent6 45" xfId="7881"/>
    <cellStyle name="Accent6 45 2" xfId="7882"/>
    <cellStyle name="Accent6 45 2 2" xfId="7883"/>
    <cellStyle name="Accent6 45 3" xfId="7884"/>
    <cellStyle name="Accent6 46" xfId="7885"/>
    <cellStyle name="Accent6 46 2" xfId="7886"/>
    <cellStyle name="Accent6 46 2 2" xfId="7887"/>
    <cellStyle name="Accent6 46 3" xfId="7888"/>
    <cellStyle name="Accent6 47" xfId="7889"/>
    <cellStyle name="Accent6 47 2" xfId="7890"/>
    <cellStyle name="Accent6 47 2 2" xfId="7891"/>
    <cellStyle name="Accent6 47 3" xfId="7892"/>
    <cellStyle name="Accent6 48" xfId="7893"/>
    <cellStyle name="Accent6 48 2" xfId="7894"/>
    <cellStyle name="Accent6 48 2 2" xfId="7895"/>
    <cellStyle name="Accent6 48 3" xfId="7896"/>
    <cellStyle name="Accent6 48 3 2" xfId="7897"/>
    <cellStyle name="Accent6 48 3 2 2" xfId="7898"/>
    <cellStyle name="Accent6 48 3 3" xfId="7899"/>
    <cellStyle name="Accent6 48 4" xfId="7900"/>
    <cellStyle name="Accent6 49" xfId="7901"/>
    <cellStyle name="Accent6 49 2" xfId="7902"/>
    <cellStyle name="Accent6 49 2 2" xfId="7903"/>
    <cellStyle name="Accent6 49 3" xfId="7904"/>
    <cellStyle name="Accent6 49 3 2" xfId="7905"/>
    <cellStyle name="Accent6 49 3 2 2" xfId="7906"/>
    <cellStyle name="Accent6 49 3 3" xfId="7907"/>
    <cellStyle name="Accent6 49 4" xfId="7908"/>
    <cellStyle name="Accent6 5" xfId="7909"/>
    <cellStyle name="Accent6 5 2" xfId="7910"/>
    <cellStyle name="Accent6 5 2 2" xfId="7911"/>
    <cellStyle name="Accent6 5 2 2 2" xfId="7912"/>
    <cellStyle name="Accent6 5 2 3" xfId="7913"/>
    <cellStyle name="Accent6 5 2 3 2" xfId="7914"/>
    <cellStyle name="Accent6 5 2 3 2 2" xfId="7915"/>
    <cellStyle name="Accent6 5 2 3 3" xfId="7916"/>
    <cellStyle name="Accent6 5 2 4" xfId="7917"/>
    <cellStyle name="Accent6 5 3" xfId="7918"/>
    <cellStyle name="Accent6 5 3 2" xfId="7919"/>
    <cellStyle name="Accent6 5 3 2 2" xfId="7920"/>
    <cellStyle name="Accent6 5 3 3" xfId="7921"/>
    <cellStyle name="Accent6 5 3 3 2" xfId="7922"/>
    <cellStyle name="Accent6 5 3 3 2 2" xfId="7923"/>
    <cellStyle name="Accent6 5 3 3 3" xfId="7924"/>
    <cellStyle name="Accent6 5 3 4" xfId="7925"/>
    <cellStyle name="Accent6 5 4" xfId="7926"/>
    <cellStyle name="Accent6 5 4 2" xfId="7927"/>
    <cellStyle name="Accent6 5 5" xfId="7928"/>
    <cellStyle name="Accent6 5 5 2" xfId="7929"/>
    <cellStyle name="Accent6 5 5 2 2" xfId="7930"/>
    <cellStyle name="Accent6 5 5 3" xfId="7931"/>
    <cellStyle name="Accent6 5 6" xfId="7932"/>
    <cellStyle name="Accent6 5 6 2" xfId="7933"/>
    <cellStyle name="Accent6 5 7" xfId="7934"/>
    <cellStyle name="Accent6 50" xfId="7935"/>
    <cellStyle name="Accent6 50 2" xfId="7936"/>
    <cellStyle name="Accent6 50 2 2" xfId="7937"/>
    <cellStyle name="Accent6 50 3" xfId="7938"/>
    <cellStyle name="Accent6 50 3 2" xfId="7939"/>
    <cellStyle name="Accent6 50 3 2 2" xfId="7940"/>
    <cellStyle name="Accent6 50 3 3" xfId="7941"/>
    <cellStyle name="Accent6 50 4" xfId="7942"/>
    <cellStyle name="Accent6 51" xfId="7943"/>
    <cellStyle name="Accent6 51 2" xfId="7944"/>
    <cellStyle name="Accent6 51 2 2" xfId="7945"/>
    <cellStyle name="Accent6 51 3" xfId="7946"/>
    <cellStyle name="Accent6 51 3 2" xfId="7947"/>
    <cellStyle name="Accent6 51 3 2 2" xfId="7948"/>
    <cellStyle name="Accent6 51 3 3" xfId="7949"/>
    <cellStyle name="Accent6 51 4" xfId="7950"/>
    <cellStyle name="Accent6 52" xfId="7951"/>
    <cellStyle name="Accent6 52 2" xfId="7952"/>
    <cellStyle name="Accent6 52 2 2" xfId="7953"/>
    <cellStyle name="Accent6 52 3" xfId="7954"/>
    <cellStyle name="Accent6 53" xfId="7955"/>
    <cellStyle name="Accent6 53 2" xfId="7956"/>
    <cellStyle name="Accent6 53 2 2" xfId="7957"/>
    <cellStyle name="Accent6 53 3" xfId="7958"/>
    <cellStyle name="Accent6 54" xfId="7959"/>
    <cellStyle name="Accent6 54 2" xfId="7960"/>
    <cellStyle name="Accent6 54 2 2" xfId="7961"/>
    <cellStyle name="Accent6 54 3" xfId="7962"/>
    <cellStyle name="Accent6 55" xfId="7963"/>
    <cellStyle name="Accent6 55 2" xfId="7964"/>
    <cellStyle name="Accent6 55 2 2" xfId="7965"/>
    <cellStyle name="Accent6 55 3" xfId="7966"/>
    <cellStyle name="Accent6 56" xfId="7967"/>
    <cellStyle name="Accent6 56 2" xfId="7968"/>
    <cellStyle name="Accent6 56 2 2" xfId="7969"/>
    <cellStyle name="Accent6 56 3" xfId="7970"/>
    <cellStyle name="Accent6 57" xfId="7971"/>
    <cellStyle name="Accent6 57 2" xfId="7972"/>
    <cellStyle name="Accent6 57 2 2" xfId="7973"/>
    <cellStyle name="Accent6 57 3" xfId="7974"/>
    <cellStyle name="Accent6 58" xfId="7975"/>
    <cellStyle name="Accent6 58 2" xfId="7976"/>
    <cellStyle name="Accent6 58 2 2" xfId="7977"/>
    <cellStyle name="Accent6 58 3" xfId="7978"/>
    <cellStyle name="Accent6 58 3 2" xfId="7979"/>
    <cellStyle name="Accent6 58 3 2 2" xfId="7980"/>
    <cellStyle name="Accent6 58 3 3" xfId="7981"/>
    <cellStyle name="Accent6 58 4" xfId="7982"/>
    <cellStyle name="Accent6 59" xfId="7983"/>
    <cellStyle name="Accent6 59 2" xfId="7984"/>
    <cellStyle name="Accent6 59 2 2" xfId="7985"/>
    <cellStyle name="Accent6 59 3" xfId="7986"/>
    <cellStyle name="Accent6 59 3 2" xfId="7987"/>
    <cellStyle name="Accent6 59 3 2 2" xfId="7988"/>
    <cellStyle name="Accent6 59 3 3" xfId="7989"/>
    <cellStyle name="Accent6 59 4" xfId="7990"/>
    <cellStyle name="Accent6 6" xfId="7991"/>
    <cellStyle name="Accent6 6 2" xfId="7992"/>
    <cellStyle name="Accent6 6 2 2" xfId="7993"/>
    <cellStyle name="Accent6 6 2 2 2" xfId="7994"/>
    <cellStyle name="Accent6 6 2 3" xfId="7995"/>
    <cellStyle name="Accent6 6 2 3 2" xfId="7996"/>
    <cellStyle name="Accent6 6 2 3 2 2" xfId="7997"/>
    <cellStyle name="Accent6 6 2 3 3" xfId="7998"/>
    <cellStyle name="Accent6 6 2 4" xfId="7999"/>
    <cellStyle name="Accent6 6 3" xfId="8000"/>
    <cellStyle name="Accent6 6 3 2" xfId="8001"/>
    <cellStyle name="Accent6 6 4" xfId="8002"/>
    <cellStyle name="Accent6 6 4 2" xfId="8003"/>
    <cellStyle name="Accent6 6 4 2 2" xfId="8004"/>
    <cellStyle name="Accent6 6 4 3" xfId="8005"/>
    <cellStyle name="Accent6 6 5" xfId="8006"/>
    <cellStyle name="Accent6 60" xfId="8007"/>
    <cellStyle name="Accent6 60 2" xfId="8008"/>
    <cellStyle name="Accent6 60 2 2" xfId="8009"/>
    <cellStyle name="Accent6 60 3" xfId="8010"/>
    <cellStyle name="Accent6 60 3 2" xfId="8011"/>
    <cellStyle name="Accent6 60 3 2 2" xfId="8012"/>
    <cellStyle name="Accent6 60 3 3" xfId="8013"/>
    <cellStyle name="Accent6 60 4" xfId="8014"/>
    <cellStyle name="Accent6 61" xfId="8015"/>
    <cellStyle name="Accent6 61 2" xfId="8016"/>
    <cellStyle name="Accent6 61 2 2" xfId="8017"/>
    <cellStyle name="Accent6 61 3" xfId="8018"/>
    <cellStyle name="Accent6 61 3 2" xfId="8019"/>
    <cellStyle name="Accent6 61 3 2 2" xfId="8020"/>
    <cellStyle name="Accent6 61 3 3" xfId="8021"/>
    <cellStyle name="Accent6 61 4" xfId="8022"/>
    <cellStyle name="Accent6 62" xfId="8023"/>
    <cellStyle name="Accent6 62 2" xfId="8024"/>
    <cellStyle name="Accent6 62 2 2" xfId="8025"/>
    <cellStyle name="Accent6 62 3" xfId="8026"/>
    <cellStyle name="Accent6 62 3 2" xfId="8027"/>
    <cellStyle name="Accent6 62 3 2 2" xfId="8028"/>
    <cellStyle name="Accent6 62 3 3" xfId="8029"/>
    <cellStyle name="Accent6 62 4" xfId="8030"/>
    <cellStyle name="Accent6 63" xfId="8031"/>
    <cellStyle name="Accent6 63 2" xfId="8032"/>
    <cellStyle name="Accent6 63 2 2" xfId="8033"/>
    <cellStyle name="Accent6 63 3" xfId="8034"/>
    <cellStyle name="Accent6 63 3 2" xfId="8035"/>
    <cellStyle name="Accent6 63 3 2 2" xfId="8036"/>
    <cellStyle name="Accent6 63 3 3" xfId="8037"/>
    <cellStyle name="Accent6 63 4" xfId="8038"/>
    <cellStyle name="Accent6 64" xfId="8039"/>
    <cellStyle name="Accent6 64 2" xfId="8040"/>
    <cellStyle name="Accent6 64 2 2" xfId="8041"/>
    <cellStyle name="Accent6 64 3" xfId="8042"/>
    <cellStyle name="Accent6 64 3 2" xfId="8043"/>
    <cellStyle name="Accent6 64 3 2 2" xfId="8044"/>
    <cellStyle name="Accent6 64 3 3" xfId="8045"/>
    <cellStyle name="Accent6 64 4" xfId="8046"/>
    <cellStyle name="Accent6 65" xfId="8047"/>
    <cellStyle name="Accent6 65 2" xfId="8048"/>
    <cellStyle name="Accent6 65 2 2" xfId="8049"/>
    <cellStyle name="Accent6 65 3" xfId="8050"/>
    <cellStyle name="Accent6 65 3 2" xfId="8051"/>
    <cellStyle name="Accent6 65 3 2 2" xfId="8052"/>
    <cellStyle name="Accent6 65 3 3" xfId="8053"/>
    <cellStyle name="Accent6 65 4" xfId="8054"/>
    <cellStyle name="Accent6 66" xfId="8055"/>
    <cellStyle name="Accent6 66 2" xfId="8056"/>
    <cellStyle name="Accent6 66 2 2" xfId="8057"/>
    <cellStyle name="Accent6 66 3" xfId="8058"/>
    <cellStyle name="Accent6 66 3 2" xfId="8059"/>
    <cellStyle name="Accent6 66 3 2 2" xfId="8060"/>
    <cellStyle name="Accent6 66 3 3" xfId="8061"/>
    <cellStyle name="Accent6 66 4" xfId="8062"/>
    <cellStyle name="Accent6 67" xfId="8063"/>
    <cellStyle name="Accent6 67 2" xfId="8064"/>
    <cellStyle name="Accent6 67 2 2" xfId="8065"/>
    <cellStyle name="Accent6 67 3" xfId="8066"/>
    <cellStyle name="Accent6 67 3 2" xfId="8067"/>
    <cellStyle name="Accent6 67 3 2 2" xfId="8068"/>
    <cellStyle name="Accent6 67 3 3" xfId="8069"/>
    <cellStyle name="Accent6 67 4" xfId="8070"/>
    <cellStyle name="Accent6 68" xfId="8071"/>
    <cellStyle name="Accent6 68 2" xfId="8072"/>
    <cellStyle name="Accent6 68 2 2" xfId="8073"/>
    <cellStyle name="Accent6 68 3" xfId="8074"/>
    <cellStyle name="Accent6 68 3 2" xfId="8075"/>
    <cellStyle name="Accent6 68 3 2 2" xfId="8076"/>
    <cellStyle name="Accent6 68 3 3" xfId="8077"/>
    <cellStyle name="Accent6 68 4" xfId="8078"/>
    <cellStyle name="Accent6 69" xfId="8079"/>
    <cellStyle name="Accent6 69 2" xfId="8080"/>
    <cellStyle name="Accent6 69 2 2" xfId="8081"/>
    <cellStyle name="Accent6 69 3" xfId="8082"/>
    <cellStyle name="Accent6 69 3 2" xfId="8083"/>
    <cellStyle name="Accent6 69 3 2 2" xfId="8084"/>
    <cellStyle name="Accent6 69 3 3" xfId="8085"/>
    <cellStyle name="Accent6 69 4" xfId="8086"/>
    <cellStyle name="Accent6 7" xfId="8087"/>
    <cellStyle name="Accent6 7 2" xfId="8088"/>
    <cellStyle name="Accent6 7 2 2" xfId="8089"/>
    <cellStyle name="Accent6 7 2 2 2" xfId="8090"/>
    <cellStyle name="Accent6 7 2 3" xfId="8091"/>
    <cellStyle name="Accent6 7 2 3 2" xfId="8092"/>
    <cellStyle name="Accent6 7 2 3 2 2" xfId="8093"/>
    <cellStyle name="Accent6 7 2 3 3" xfId="8094"/>
    <cellStyle name="Accent6 7 2 4" xfId="8095"/>
    <cellStyle name="Accent6 7 3" xfId="8096"/>
    <cellStyle name="Accent6 7 3 2" xfId="8097"/>
    <cellStyle name="Accent6 7 4" xfId="8098"/>
    <cellStyle name="Accent6 7 4 2" xfId="8099"/>
    <cellStyle name="Accent6 7 4 2 2" xfId="8100"/>
    <cellStyle name="Accent6 7 4 3" xfId="8101"/>
    <cellStyle name="Accent6 7 5" xfId="8102"/>
    <cellStyle name="Accent6 70" xfId="8103"/>
    <cellStyle name="Accent6 70 2" xfId="8104"/>
    <cellStyle name="Accent6 70 2 2" xfId="8105"/>
    <cellStyle name="Accent6 70 3" xfId="8106"/>
    <cellStyle name="Accent6 70 3 2" xfId="8107"/>
    <cellStyle name="Accent6 70 3 2 2" xfId="8108"/>
    <cellStyle name="Accent6 70 3 3" xfId="8109"/>
    <cellStyle name="Accent6 70 4" xfId="8110"/>
    <cellStyle name="Accent6 71" xfId="8111"/>
    <cellStyle name="Accent6 71 2" xfId="8112"/>
    <cellStyle name="Accent6 71 2 2" xfId="8113"/>
    <cellStyle name="Accent6 71 3" xfId="8114"/>
    <cellStyle name="Accent6 71 3 2" xfId="8115"/>
    <cellStyle name="Accent6 71 3 2 2" xfId="8116"/>
    <cellStyle name="Accent6 71 3 3" xfId="8117"/>
    <cellStyle name="Accent6 71 4" xfId="8118"/>
    <cellStyle name="Accent6 72" xfId="8119"/>
    <cellStyle name="Accent6 72 2" xfId="8120"/>
    <cellStyle name="Accent6 72 2 2" xfId="8121"/>
    <cellStyle name="Accent6 72 3" xfId="8122"/>
    <cellStyle name="Accent6 72 3 2" xfId="8123"/>
    <cellStyle name="Accent6 72 3 2 2" xfId="8124"/>
    <cellStyle name="Accent6 72 3 3" xfId="8125"/>
    <cellStyle name="Accent6 72 4" xfId="8126"/>
    <cellStyle name="Accent6 73" xfId="8127"/>
    <cellStyle name="Accent6 73 2" xfId="8128"/>
    <cellStyle name="Accent6 73 2 2" xfId="8129"/>
    <cellStyle name="Accent6 73 3" xfId="8130"/>
    <cellStyle name="Accent6 73 3 2" xfId="8131"/>
    <cellStyle name="Accent6 73 3 2 2" xfId="8132"/>
    <cellStyle name="Accent6 73 3 3" xfId="8133"/>
    <cellStyle name="Accent6 73 4" xfId="8134"/>
    <cellStyle name="Accent6 74" xfId="8135"/>
    <cellStyle name="Accent6 74 2" xfId="8136"/>
    <cellStyle name="Accent6 74 2 2" xfId="8137"/>
    <cellStyle name="Accent6 74 3" xfId="8138"/>
    <cellStyle name="Accent6 74 3 2" xfId="8139"/>
    <cellStyle name="Accent6 74 3 2 2" xfId="8140"/>
    <cellStyle name="Accent6 74 3 3" xfId="8141"/>
    <cellStyle name="Accent6 74 4" xfId="8142"/>
    <cellStyle name="Accent6 75" xfId="8143"/>
    <cellStyle name="Accent6 75 2" xfId="8144"/>
    <cellStyle name="Accent6 75 2 2" xfId="8145"/>
    <cellStyle name="Accent6 75 3" xfId="8146"/>
    <cellStyle name="Accent6 75 3 2" xfId="8147"/>
    <cellStyle name="Accent6 75 3 2 2" xfId="8148"/>
    <cellStyle name="Accent6 75 3 3" xfId="8149"/>
    <cellStyle name="Accent6 75 4" xfId="8150"/>
    <cellStyle name="Accent6 76" xfId="8151"/>
    <cellStyle name="Accent6 76 2" xfId="8152"/>
    <cellStyle name="Accent6 76 2 2" xfId="8153"/>
    <cellStyle name="Accent6 76 3" xfId="8154"/>
    <cellStyle name="Accent6 76 3 2" xfId="8155"/>
    <cellStyle name="Accent6 76 3 2 2" xfId="8156"/>
    <cellStyle name="Accent6 76 3 3" xfId="8157"/>
    <cellStyle name="Accent6 76 4" xfId="8158"/>
    <cellStyle name="Accent6 77" xfId="8159"/>
    <cellStyle name="Accent6 77 2" xfId="8160"/>
    <cellStyle name="Accent6 77 2 2" xfId="8161"/>
    <cellStyle name="Accent6 77 3" xfId="8162"/>
    <cellStyle name="Accent6 77 3 2" xfId="8163"/>
    <cellStyle name="Accent6 77 3 2 2" xfId="8164"/>
    <cellStyle name="Accent6 77 3 3" xfId="8165"/>
    <cellStyle name="Accent6 77 4" xfId="8166"/>
    <cellStyle name="Accent6 78" xfId="8167"/>
    <cellStyle name="Accent6 78 2" xfId="8168"/>
    <cellStyle name="Accent6 78 2 2" xfId="8169"/>
    <cellStyle name="Accent6 78 3" xfId="8170"/>
    <cellStyle name="Accent6 78 3 2" xfId="8171"/>
    <cellStyle name="Accent6 78 3 2 2" xfId="8172"/>
    <cellStyle name="Accent6 78 3 3" xfId="8173"/>
    <cellStyle name="Accent6 78 4" xfId="8174"/>
    <cellStyle name="Accent6 79" xfId="8175"/>
    <cellStyle name="Accent6 79 2" xfId="8176"/>
    <cellStyle name="Accent6 79 2 2" xfId="8177"/>
    <cellStyle name="Accent6 79 3" xfId="8178"/>
    <cellStyle name="Accent6 79 3 2" xfId="8179"/>
    <cellStyle name="Accent6 79 3 2 2" xfId="8180"/>
    <cellStyle name="Accent6 79 3 3" xfId="8181"/>
    <cellStyle name="Accent6 79 4" xfId="8182"/>
    <cellStyle name="Accent6 8" xfId="8183"/>
    <cellStyle name="Accent6 8 2" xfId="8184"/>
    <cellStyle name="Accent6 8 2 2" xfId="8185"/>
    <cellStyle name="Accent6 8 3" xfId="8186"/>
    <cellStyle name="Accent6 80" xfId="8187"/>
    <cellStyle name="Accent6 80 2" xfId="8188"/>
    <cellStyle name="Accent6 80 2 2" xfId="8189"/>
    <cellStyle name="Accent6 80 3" xfId="8190"/>
    <cellStyle name="Accent6 80 3 2" xfId="8191"/>
    <cellStyle name="Accent6 80 3 2 2" xfId="8192"/>
    <cellStyle name="Accent6 80 3 3" xfId="8193"/>
    <cellStyle name="Accent6 80 4" xfId="8194"/>
    <cellStyle name="Accent6 81" xfId="8195"/>
    <cellStyle name="Accent6 81 2" xfId="8196"/>
    <cellStyle name="Accent6 81 2 2" xfId="8197"/>
    <cellStyle name="Accent6 81 3" xfId="8198"/>
    <cellStyle name="Accent6 81 3 2" xfId="8199"/>
    <cellStyle name="Accent6 81 3 2 2" xfId="8200"/>
    <cellStyle name="Accent6 81 3 3" xfId="8201"/>
    <cellStyle name="Accent6 81 4" xfId="8202"/>
    <cellStyle name="Accent6 82" xfId="8203"/>
    <cellStyle name="Accent6 82 2" xfId="8204"/>
    <cellStyle name="Accent6 82 2 2" xfId="8205"/>
    <cellStyle name="Accent6 82 3" xfId="8206"/>
    <cellStyle name="Accent6 82 3 2" xfId="8207"/>
    <cellStyle name="Accent6 82 3 2 2" xfId="8208"/>
    <cellStyle name="Accent6 82 3 3" xfId="8209"/>
    <cellStyle name="Accent6 82 4" xfId="8210"/>
    <cellStyle name="Accent6 83" xfId="8211"/>
    <cellStyle name="Accent6 83 2" xfId="8212"/>
    <cellStyle name="Accent6 83 2 2" xfId="8213"/>
    <cellStyle name="Accent6 83 3" xfId="8214"/>
    <cellStyle name="Accent6 83 3 2" xfId="8215"/>
    <cellStyle name="Accent6 83 3 2 2" xfId="8216"/>
    <cellStyle name="Accent6 83 3 3" xfId="8217"/>
    <cellStyle name="Accent6 83 4" xfId="8218"/>
    <cellStyle name="Accent6 84" xfId="8219"/>
    <cellStyle name="Accent6 84 2" xfId="8220"/>
    <cellStyle name="Accent6 84 2 2" xfId="8221"/>
    <cellStyle name="Accent6 84 3" xfId="8222"/>
    <cellStyle name="Accent6 85" xfId="8223"/>
    <cellStyle name="Accent6 85 2" xfId="8224"/>
    <cellStyle name="Accent6 85 2 2" xfId="8225"/>
    <cellStyle name="Accent6 85 3" xfId="8226"/>
    <cellStyle name="Accent6 86" xfId="8227"/>
    <cellStyle name="Accent6 86 2" xfId="8228"/>
    <cellStyle name="Accent6 86 2 2" xfId="8229"/>
    <cellStyle name="Accent6 86 3" xfId="8230"/>
    <cellStyle name="Accent6 87" xfId="8231"/>
    <cellStyle name="Accent6 87 2" xfId="8232"/>
    <cellStyle name="Accent6 87 2 2" xfId="8233"/>
    <cellStyle name="Accent6 87 3" xfId="8234"/>
    <cellStyle name="Accent6 88" xfId="8235"/>
    <cellStyle name="Accent6 88 2" xfId="8236"/>
    <cellStyle name="Accent6 88 2 2" xfId="8237"/>
    <cellStyle name="Accent6 88 3" xfId="8238"/>
    <cellStyle name="Accent6 89" xfId="8239"/>
    <cellStyle name="Accent6 89 2" xfId="8240"/>
    <cellStyle name="Accent6 89 2 2" xfId="8241"/>
    <cellStyle name="Accent6 89 3" xfId="8242"/>
    <cellStyle name="Accent6 9" xfId="8243"/>
    <cellStyle name="Accent6 9 2" xfId="8244"/>
    <cellStyle name="Accent6 9 2 2" xfId="8245"/>
    <cellStyle name="Accent6 9 3" xfId="8246"/>
    <cellStyle name="Accent6 90" xfId="8247"/>
    <cellStyle name="Accent6 90 2" xfId="8248"/>
    <cellStyle name="Accent6 90 2 2" xfId="8249"/>
    <cellStyle name="Accent6 90 3" xfId="8250"/>
    <cellStyle name="Accent6 91" xfId="8251"/>
    <cellStyle name="Accent6 91 2" xfId="8252"/>
    <cellStyle name="Accent6 91 2 2" xfId="8253"/>
    <cellStyle name="Accent6 91 3" xfId="8254"/>
    <cellStyle name="Accent6 92" xfId="8255"/>
    <cellStyle name="Accent6 92 2" xfId="8256"/>
    <cellStyle name="Accent6 92 2 2" xfId="8257"/>
    <cellStyle name="Accent6 92 3" xfId="8258"/>
    <cellStyle name="Accent6 93" xfId="8259"/>
    <cellStyle name="Accent6 93 2" xfId="8260"/>
    <cellStyle name="Accent6 93 2 2" xfId="8261"/>
    <cellStyle name="Accent6 93 3" xfId="8262"/>
    <cellStyle name="Accent6 94" xfId="8263"/>
    <cellStyle name="Accent6 94 2" xfId="8264"/>
    <cellStyle name="Accent6 94 2 2" xfId="8265"/>
    <cellStyle name="Accent6 94 3" xfId="8266"/>
    <cellStyle name="Accent6 95" xfId="8267"/>
    <cellStyle name="Accent6 95 2" xfId="8268"/>
    <cellStyle name="Accent6 95 2 2" xfId="8269"/>
    <cellStyle name="Accent6 95 3" xfId="8270"/>
    <cellStyle name="Accent6 96" xfId="8271"/>
    <cellStyle name="Accent6 96 2" xfId="8272"/>
    <cellStyle name="Accent6 96 2 2" xfId="8273"/>
    <cellStyle name="Accent6 96 3" xfId="8274"/>
    <cellStyle name="Accent6 97" xfId="8275"/>
    <cellStyle name="Accent6 97 2" xfId="8276"/>
    <cellStyle name="Accent6 97 2 2" xfId="8277"/>
    <cellStyle name="Accent6 97 3" xfId="8278"/>
    <cellStyle name="Accent6 98" xfId="8279"/>
    <cellStyle name="Accent6 98 2" xfId="8280"/>
    <cellStyle name="Accent6 98 2 2" xfId="8281"/>
    <cellStyle name="Accent6 98 3" xfId="8282"/>
    <cellStyle name="Accent6 99" xfId="8283"/>
    <cellStyle name="Accent6 99 2" xfId="8284"/>
    <cellStyle name="Accent6 99 2 2" xfId="8285"/>
    <cellStyle name="Accent6 99 3" xfId="8286"/>
    <cellStyle name="active" xfId="8287"/>
    <cellStyle name="active 2" xfId="8288"/>
    <cellStyle name="active 2 2" xfId="8289"/>
    <cellStyle name="active 2 2 2" xfId="8290"/>
    <cellStyle name="active 2 3" xfId="8291"/>
    <cellStyle name="active 2 3 2" xfId="8292"/>
    <cellStyle name="active 2 3 2 2" xfId="8293"/>
    <cellStyle name="active 2 3 3" xfId="8294"/>
    <cellStyle name="active 2 4" xfId="8295"/>
    <cellStyle name="active 3" xfId="8296"/>
    <cellStyle name="active 3 2" xfId="8297"/>
    <cellStyle name="active 3 2 2" xfId="8298"/>
    <cellStyle name="active 3 3" xfId="8299"/>
    <cellStyle name="active 4" xfId="8300"/>
    <cellStyle name="active 4 2" xfId="8301"/>
    <cellStyle name="active 5" xfId="8302"/>
    <cellStyle name="active 5 2" xfId="8303"/>
    <cellStyle name="active 6" xfId="8304"/>
    <cellStyle name="Actual Date" xfId="8305"/>
    <cellStyle name="Actual Date 2" xfId="8306"/>
    <cellStyle name="Actual Date 2 2" xfId="8307"/>
    <cellStyle name="args.style" xfId="8308"/>
    <cellStyle name="args.style 2" xfId="8309"/>
    <cellStyle name="args.style 2 2" xfId="8310"/>
    <cellStyle name="args.style 2 2 2" xfId="8311"/>
    <cellStyle name="args.style 2 3" xfId="8312"/>
    <cellStyle name="args.style 2 3 2" xfId="8313"/>
    <cellStyle name="args.style 2 3 2 2" xfId="8314"/>
    <cellStyle name="args.style 2 3 3" xfId="8315"/>
    <cellStyle name="args.style 2 4" xfId="8316"/>
    <cellStyle name="args.style 3" xfId="8317"/>
    <cellStyle name="args.style 3 2" xfId="8318"/>
    <cellStyle name="args.style 3 2 2" xfId="8319"/>
    <cellStyle name="args.style 3 3" xfId="8320"/>
    <cellStyle name="args.style 4" xfId="8321"/>
    <cellStyle name="args.style 4 2" xfId="8322"/>
    <cellStyle name="args.style 4 2 2" xfId="8323"/>
    <cellStyle name="args.style 4 3" xfId="8324"/>
    <cellStyle name="args.style 5" xfId="8325"/>
    <cellStyle name="args.style 5 2" xfId="8326"/>
    <cellStyle name="args.style 6" xfId="8327"/>
    <cellStyle name="args.style 6 2" xfId="8328"/>
    <cellStyle name="args.style 7" xfId="8329"/>
    <cellStyle name="Bad 2" xfId="8330"/>
    <cellStyle name="Bad 2 10" xfId="8331"/>
    <cellStyle name="Bad 2 10 2" xfId="8332"/>
    <cellStyle name="Bad 2 11" xfId="8333"/>
    <cellStyle name="Bad 2 12" xfId="8334"/>
    <cellStyle name="Bad 2 2" xfId="8335"/>
    <cellStyle name="Bad 2 2 2" xfId="8336"/>
    <cellStyle name="Bad 2 2 2 2" xfId="8337"/>
    <cellStyle name="Bad 2 2 3" xfId="8338"/>
    <cellStyle name="Bad 2 2 3 2" xfId="8339"/>
    <cellStyle name="Bad 2 2 3 2 2" xfId="8340"/>
    <cellStyle name="Bad 2 2 3 3" xfId="8341"/>
    <cellStyle name="Bad 2 2 4" xfId="8342"/>
    <cellStyle name="Bad 2 2 4 2" xfId="8343"/>
    <cellStyle name="Bad 2 2 5" xfId="8344"/>
    <cellStyle name="Bad 2 3" xfId="8345"/>
    <cellStyle name="Bad 2 3 2" xfId="8346"/>
    <cellStyle name="Bad 2 3 2 2" xfId="8347"/>
    <cellStyle name="Bad 2 3 3" xfId="8348"/>
    <cellStyle name="Bad 2 3 3 2" xfId="8349"/>
    <cellStyle name="Bad 2 3 3 2 2" xfId="8350"/>
    <cellStyle name="Bad 2 3 3 3" xfId="8351"/>
    <cellStyle name="Bad 2 3 4" xfId="8352"/>
    <cellStyle name="Bad 2 4" xfId="8353"/>
    <cellStyle name="Bad 2 4 2" xfId="8354"/>
    <cellStyle name="Bad 2 4 2 2" xfId="8355"/>
    <cellStyle name="Bad 2 4 3" xfId="8356"/>
    <cellStyle name="Bad 2 5" xfId="8357"/>
    <cellStyle name="Bad 2 5 2" xfId="8358"/>
    <cellStyle name="Bad 2 5 2 2" xfId="8359"/>
    <cellStyle name="Bad 2 5 3" xfId="8360"/>
    <cellStyle name="Bad 2 5 3 2" xfId="8361"/>
    <cellStyle name="Bad 2 5 3 2 2" xfId="8362"/>
    <cellStyle name="Bad 2 5 3 3" xfId="8363"/>
    <cellStyle name="Bad 2 5 4" xfId="8364"/>
    <cellStyle name="Bad 2 6" xfId="8365"/>
    <cellStyle name="Bad 2 6 2" xfId="8366"/>
    <cellStyle name="Bad 2 6 2 2" xfId="8367"/>
    <cellStyle name="Bad 2 6 3" xfId="8368"/>
    <cellStyle name="Bad 2 6 3 2" xfId="8369"/>
    <cellStyle name="Bad 2 6 4" xfId="8370"/>
    <cellStyle name="Bad 2 7" xfId="8371"/>
    <cellStyle name="Bad 2 7 2" xfId="8372"/>
    <cellStyle name="Bad 2 8" xfId="8373"/>
    <cellStyle name="Bad 2 8 2" xfId="8374"/>
    <cellStyle name="Bad 2 8 2 2" xfId="8375"/>
    <cellStyle name="Bad 2 8 3" xfId="8376"/>
    <cellStyle name="Bad 2 9" xfId="8377"/>
    <cellStyle name="Bad 2 9 2" xfId="8378"/>
    <cellStyle name="Bad 2 9 2 2" xfId="8379"/>
    <cellStyle name="Bad 2 9 3" xfId="8380"/>
    <cellStyle name="Bad 3" xfId="8381"/>
    <cellStyle name="Bad 3 2" xfId="8382"/>
    <cellStyle name="Bad 3 2 2" xfId="8383"/>
    <cellStyle name="Bad 3 3" xfId="8384"/>
    <cellStyle name="Bad 3 3 2" xfId="8385"/>
    <cellStyle name="Bad 3 4" xfId="8386"/>
    <cellStyle name="Bad 3 4 2" xfId="8387"/>
    <cellStyle name="Bad 3 4 2 2" xfId="8388"/>
    <cellStyle name="Bad 3 4 3" xfId="8389"/>
    <cellStyle name="Bad 3 5" xfId="8390"/>
    <cellStyle name="Bad 4" xfId="8391"/>
    <cellStyle name="Bad 4 2" xfId="8392"/>
    <cellStyle name="Bad 4 2 2" xfId="8393"/>
    <cellStyle name="Bad 4 3" xfId="8394"/>
    <cellStyle name="Bad 4 3 2" xfId="8395"/>
    <cellStyle name="Bad 4 3 2 2" xfId="8396"/>
    <cellStyle name="Bad 4 3 3" xfId="8397"/>
    <cellStyle name="Bad 4 4" xfId="8398"/>
    <cellStyle name="Bad 5" xfId="8399"/>
    <cellStyle name="Bad 5 2" xfId="8400"/>
    <cellStyle name="Bad 5 2 2" xfId="8401"/>
    <cellStyle name="Bad 5 2 2 2" xfId="8402"/>
    <cellStyle name="Bad 5 2 2 2 2" xfId="8403"/>
    <cellStyle name="Bad 5 2 2 3" xfId="8404"/>
    <cellStyle name="Bad 5 2 2 3 2" xfId="8405"/>
    <cellStyle name="Bad 5 2 2 3 2 2" xfId="8406"/>
    <cellStyle name="Bad 5 2 2 3 3" xfId="8407"/>
    <cellStyle name="Bad 5 2 2 4" xfId="8408"/>
    <cellStyle name="Bad 5 2 3" xfId="8409"/>
    <cellStyle name="Bad 5 2 3 2" xfId="8410"/>
    <cellStyle name="Bad 5 2 4" xfId="8411"/>
    <cellStyle name="Bad 5 2 4 2" xfId="8412"/>
    <cellStyle name="Bad 5 2 4 2 2" xfId="8413"/>
    <cellStyle name="Bad 5 2 4 3" xfId="8414"/>
    <cellStyle name="Bad 5 2 5" xfId="8415"/>
    <cellStyle name="Bad 5 3" xfId="8416"/>
    <cellStyle name="Bad 5 3 2" xfId="8417"/>
    <cellStyle name="Bad 5 3 2 2" xfId="8418"/>
    <cellStyle name="Bad 5 3 3" xfId="8419"/>
    <cellStyle name="Bad 5 4" xfId="8420"/>
    <cellStyle name="Bad 5 4 2" xfId="8421"/>
    <cellStyle name="Bad 5 5" xfId="8422"/>
    <cellStyle name="Bad 5 5 2" xfId="8423"/>
    <cellStyle name="Bad 5 5 2 2" xfId="8424"/>
    <cellStyle name="Bad 5 5 3" xfId="8425"/>
    <cellStyle name="Bad 5 6" xfId="8426"/>
    <cellStyle name="Bad 6" xfId="8427"/>
    <cellStyle name="Bad 6 2" xfId="8428"/>
    <cellStyle name="Bad 6 2 2" xfId="8429"/>
    <cellStyle name="Bad 6 3" xfId="8430"/>
    <cellStyle name="Bad 7" xfId="8431"/>
    <cellStyle name="Bad 7 2" xfId="8432"/>
    <cellStyle name="Bad 8" xfId="8433"/>
    <cellStyle name="Bad 9" xfId="8434"/>
    <cellStyle name="Body" xfId="8435"/>
    <cellStyle name="Body 2" xfId="8436"/>
    <cellStyle name="Body 2 2" xfId="8437"/>
    <cellStyle name="Body 2 2 2" xfId="8438"/>
    <cellStyle name="Body 2 3" xfId="8439"/>
    <cellStyle name="Body 2 3 2" xfId="8440"/>
    <cellStyle name="Body 2 3 2 2" xfId="8441"/>
    <cellStyle name="Body 2 3 3" xfId="8442"/>
    <cellStyle name="Body 2 4" xfId="8443"/>
    <cellStyle name="Body 3" xfId="8444"/>
    <cellStyle name="Body 3 2" xfId="8445"/>
    <cellStyle name="Body 3 2 2" xfId="8446"/>
    <cellStyle name="Body 3 3" xfId="8447"/>
    <cellStyle name="Body 4" xfId="8448"/>
    <cellStyle name="Body 4 2" xfId="8449"/>
    <cellStyle name="Body 5" xfId="8450"/>
    <cellStyle name="Body 5 2" xfId="8451"/>
    <cellStyle name="Body 6" xfId="8452"/>
    <cellStyle name="BorderedPercent" xfId="8453"/>
    <cellStyle name="Boxed Integer" xfId="8454"/>
    <cellStyle name="Calc" xfId="8455"/>
    <cellStyle name="Calc Currency (0)" xfId="8456"/>
    <cellStyle name="Calc Currency (0) 2" xfId="8457"/>
    <cellStyle name="Calc Currency (0) 2 2" xfId="8458"/>
    <cellStyle name="Calc Currency (0) 3" xfId="8459"/>
    <cellStyle name="Calculation 10" xfId="8460"/>
    <cellStyle name="Calculation 2" xfId="8461"/>
    <cellStyle name="Calculation 2 10" xfId="8462"/>
    <cellStyle name="Calculation 2 10 2" xfId="8463"/>
    <cellStyle name="Calculation 2 10 3" xfId="8464"/>
    <cellStyle name="Calculation 2 11" xfId="8465"/>
    <cellStyle name="Calculation 2 11 2" xfId="8466"/>
    <cellStyle name="Calculation 2 12" xfId="8467"/>
    <cellStyle name="Calculation 2 13" xfId="8468"/>
    <cellStyle name="Calculation 2 2" xfId="8469"/>
    <cellStyle name="Calculation 2 2 2" xfId="8470"/>
    <cellStyle name="Calculation 2 2 2 2" xfId="8471"/>
    <cellStyle name="Calculation 2 2 3" xfId="8472"/>
    <cellStyle name="Calculation 2 2 3 2" xfId="8473"/>
    <cellStyle name="Calculation 2 2 3 2 2" xfId="8474"/>
    <cellStyle name="Calculation 2 2 3 3" xfId="8475"/>
    <cellStyle name="Calculation 2 2 4" xfId="8476"/>
    <cellStyle name="Calculation 2 3" xfId="8477"/>
    <cellStyle name="Calculation 2 3 2" xfId="8478"/>
    <cellStyle name="Calculation 2 3 2 2" xfId="8479"/>
    <cellStyle name="Calculation 2 3 2 2 2" xfId="8480"/>
    <cellStyle name="Calculation 2 3 2 3" xfId="8481"/>
    <cellStyle name="Calculation 2 3 3" xfId="8482"/>
    <cellStyle name="Calculation 2 3 3 2" xfId="8483"/>
    <cellStyle name="Calculation 2 3 3 2 2" xfId="8484"/>
    <cellStyle name="Calculation 2 3 3 2 2 2" xfId="8485"/>
    <cellStyle name="Calculation 2 3 3 2 3" xfId="8486"/>
    <cellStyle name="Calculation 2 3 3 3" xfId="8487"/>
    <cellStyle name="Calculation 2 3 3 3 2" xfId="8488"/>
    <cellStyle name="Calculation 2 3 3 4" xfId="8489"/>
    <cellStyle name="Calculation 2 3 4" xfId="8490"/>
    <cellStyle name="Calculation 2 3 4 2" xfId="8491"/>
    <cellStyle name="Calculation 2 3 5" xfId="8492"/>
    <cellStyle name="Calculation 2 4" xfId="8493"/>
    <cellStyle name="Calculation 2 4 2" xfId="8494"/>
    <cellStyle name="Calculation 2 4 2 2" xfId="8495"/>
    <cellStyle name="Calculation 2 4 2 2 2" xfId="8496"/>
    <cellStyle name="Calculation 2 4 2 3" xfId="8497"/>
    <cellStyle name="Calculation 2 4 3" xfId="8498"/>
    <cellStyle name="Calculation 2 4 3 2" xfId="8499"/>
    <cellStyle name="Calculation 2 4 4" xfId="8500"/>
    <cellStyle name="Calculation 2 5" xfId="8501"/>
    <cellStyle name="Calculation 2 5 2" xfId="8502"/>
    <cellStyle name="Calculation 2 5 2 2" xfId="8503"/>
    <cellStyle name="Calculation 2 5 2 2 2" xfId="8504"/>
    <cellStyle name="Calculation 2 5 2 3" xfId="8505"/>
    <cellStyle name="Calculation 2 5 3" xfId="8506"/>
    <cellStyle name="Calculation 2 5 3 2" xfId="8507"/>
    <cellStyle name="Calculation 2 5 3 2 2" xfId="8508"/>
    <cellStyle name="Calculation 2 5 3 2 2 2" xfId="8509"/>
    <cellStyle name="Calculation 2 5 3 2 3" xfId="8510"/>
    <cellStyle name="Calculation 2 5 3 3" xfId="8511"/>
    <cellStyle name="Calculation 2 5 3 3 2" xfId="8512"/>
    <cellStyle name="Calculation 2 5 3 4" xfId="8513"/>
    <cellStyle name="Calculation 2 5 4" xfId="8514"/>
    <cellStyle name="Calculation 2 5 4 2" xfId="8515"/>
    <cellStyle name="Calculation 2 5 5" xfId="8516"/>
    <cellStyle name="Calculation 2 6" xfId="8517"/>
    <cellStyle name="Calculation 2 6 2" xfId="8518"/>
    <cellStyle name="Calculation 2 6 2 2" xfId="8519"/>
    <cellStyle name="Calculation 2 6 2 2 2" xfId="8520"/>
    <cellStyle name="Calculation 2 6 2 3" xfId="8521"/>
    <cellStyle name="Calculation 2 6 3" xfId="8522"/>
    <cellStyle name="Calculation 2 6 3 2" xfId="8523"/>
    <cellStyle name="Calculation 2 6 3 2 2" xfId="8524"/>
    <cellStyle name="Calculation 2 6 3 2 2 2" xfId="8525"/>
    <cellStyle name="Calculation 2 6 3 2 2 2 2" xfId="8526"/>
    <cellStyle name="Calculation 2 6 3 2 2 3" xfId="8527"/>
    <cellStyle name="Calculation 2 6 3 2 3" xfId="8528"/>
    <cellStyle name="Calculation 2 6 3 2 3 2" xfId="8529"/>
    <cellStyle name="Calculation 2 6 3 2 4" xfId="8530"/>
    <cellStyle name="Calculation 2 6 3 3" xfId="8531"/>
    <cellStyle name="Calculation 2 6 3 3 2" xfId="8532"/>
    <cellStyle name="Calculation 2 6 3 3 2 2" xfId="8533"/>
    <cellStyle name="Calculation 2 6 3 3 3" xfId="8534"/>
    <cellStyle name="Calculation 2 6 3 4" xfId="8535"/>
    <cellStyle name="Calculation 2 6 3 4 2" xfId="8536"/>
    <cellStyle name="Calculation 2 6 3 5" xfId="8537"/>
    <cellStyle name="Calculation 2 6 4" xfId="8538"/>
    <cellStyle name="Calculation 2 6 4 2" xfId="8539"/>
    <cellStyle name="Calculation 2 6 4 2 2" xfId="8540"/>
    <cellStyle name="Calculation 2 6 4 2 2 2" xfId="8541"/>
    <cellStyle name="Calculation 2 6 4 2 3" xfId="8542"/>
    <cellStyle name="Calculation 2 6 4 3" xfId="8543"/>
    <cellStyle name="Calculation 2 6 4 3 2" xfId="8544"/>
    <cellStyle name="Calculation 2 6 4 4" xfId="8545"/>
    <cellStyle name="Calculation 2 6 5" xfId="8546"/>
    <cellStyle name="Calculation 2 6 5 2" xfId="8547"/>
    <cellStyle name="Calculation 2 6 5 2 2" xfId="8548"/>
    <cellStyle name="Calculation 2 6 5 3" xfId="8549"/>
    <cellStyle name="Calculation 2 6 6" xfId="8550"/>
    <cellStyle name="Calculation 2 6 6 2" xfId="8551"/>
    <cellStyle name="Calculation 2 6 7" xfId="8552"/>
    <cellStyle name="Calculation 2 7" xfId="8553"/>
    <cellStyle name="Calculation 2 7 2" xfId="8554"/>
    <cellStyle name="Calculation 2 7 2 2" xfId="8555"/>
    <cellStyle name="Calculation 2 7 3" xfId="8556"/>
    <cellStyle name="Calculation 2 8" xfId="8557"/>
    <cellStyle name="Calculation 2 8 2" xfId="8558"/>
    <cellStyle name="Calculation 2 8 2 2" xfId="8559"/>
    <cellStyle name="Calculation 2 8 2 2 2" xfId="8560"/>
    <cellStyle name="Calculation 2 8 2 3" xfId="8561"/>
    <cellStyle name="Calculation 2 8 3" xfId="8562"/>
    <cellStyle name="Calculation 2 8 3 2" xfId="8563"/>
    <cellStyle name="Calculation 2 8 4" xfId="8564"/>
    <cellStyle name="Calculation 2 9" xfId="8565"/>
    <cellStyle name="Calculation 2 9 2" xfId="8566"/>
    <cellStyle name="Calculation 2 9 2 2" xfId="8567"/>
    <cellStyle name="Calculation 2 9 2 2 2" xfId="8568"/>
    <cellStyle name="Calculation 2 9 2 3" xfId="8569"/>
    <cellStyle name="Calculation 2 9 3" xfId="8570"/>
    <cellStyle name="Calculation 2 9 3 2" xfId="8571"/>
    <cellStyle name="Calculation 2 9 4" xfId="8572"/>
    <cellStyle name="Calculation 2 9 4 2" xfId="8573"/>
    <cellStyle name="Calculation 2 9 5" xfId="8574"/>
    <cellStyle name="Calculation 3" xfId="8575"/>
    <cellStyle name="Calculation 3 2" xfId="8576"/>
    <cellStyle name="Calculation 3 2 2" xfId="8577"/>
    <cellStyle name="Calculation 3 2 2 2" xfId="8578"/>
    <cellStyle name="Calculation 3 2 3" xfId="8579"/>
    <cellStyle name="Calculation 3 3" xfId="8580"/>
    <cellStyle name="Calculation 3 3 2" xfId="8581"/>
    <cellStyle name="Calculation 3 4" xfId="8582"/>
    <cellStyle name="Calculation 3 4 2" xfId="8583"/>
    <cellStyle name="Calculation 3 4 2 2" xfId="8584"/>
    <cellStyle name="Calculation 3 4 3" xfId="8585"/>
    <cellStyle name="Calculation 3 5" xfId="8586"/>
    <cellStyle name="Calculation 4" xfId="8587"/>
    <cellStyle name="Calculation 4 2" xfId="8588"/>
    <cellStyle name="Calculation 4 2 2" xfId="8589"/>
    <cellStyle name="Calculation 4 3" xfId="8590"/>
    <cellStyle name="Calculation 4 3 2" xfId="8591"/>
    <cellStyle name="Calculation 4 3 2 2" xfId="8592"/>
    <cellStyle name="Calculation 4 3 3" xfId="8593"/>
    <cellStyle name="Calculation 4 4" xfId="8594"/>
    <cellStyle name="Calculation 5" xfId="8595"/>
    <cellStyle name="Calculation 5 2" xfId="8596"/>
    <cellStyle name="Calculation 5 2 2" xfId="8597"/>
    <cellStyle name="Calculation 5 2 2 2" xfId="8598"/>
    <cellStyle name="Calculation 5 2 3" xfId="8599"/>
    <cellStyle name="Calculation 5 3" xfId="8600"/>
    <cellStyle name="Calculation 5 3 2" xfId="8601"/>
    <cellStyle name="Calculation 5 3 2 2" xfId="8602"/>
    <cellStyle name="Calculation 5 3 2 2 2" xfId="8603"/>
    <cellStyle name="Calculation 5 3 2 3" xfId="8604"/>
    <cellStyle name="Calculation 5 3 3" xfId="8605"/>
    <cellStyle name="Calculation 5 3 3 2" xfId="8606"/>
    <cellStyle name="Calculation 5 3 4" xfId="8607"/>
    <cellStyle name="Calculation 5 4" xfId="8608"/>
    <cellStyle name="Calculation 5 4 2" xfId="8609"/>
    <cellStyle name="Calculation 5 5" xfId="8610"/>
    <cellStyle name="Calculation 6" xfId="8611"/>
    <cellStyle name="Calculation 6 2" xfId="8612"/>
    <cellStyle name="Calculation 6 2 2" xfId="8613"/>
    <cellStyle name="Calculation 6 2 2 2" xfId="8614"/>
    <cellStyle name="Calculation 6 2 3" xfId="8615"/>
    <cellStyle name="Calculation 6 3" xfId="8616"/>
    <cellStyle name="Calculation 6 3 2" xfId="8617"/>
    <cellStyle name="Calculation 6 4" xfId="8618"/>
    <cellStyle name="Calculation 7" xfId="8619"/>
    <cellStyle name="Calculation 7 2" xfId="8620"/>
    <cellStyle name="Calculation 8" xfId="8621"/>
    <cellStyle name="Calculation 8 2" xfId="8622"/>
    <cellStyle name="Calculation 9" xfId="8623"/>
    <cellStyle name="Center" xfId="8624"/>
    <cellStyle name="Center 2" xfId="8625"/>
    <cellStyle name="Center 2 2" xfId="8626"/>
    <cellStyle name="Center 3" xfId="8627"/>
    <cellStyle name="Center 3 2" xfId="8628"/>
    <cellStyle name="Center 3 2 2" xfId="8629"/>
    <cellStyle name="Center 3 3" xfId="8630"/>
    <cellStyle name="Center 4" xfId="8631"/>
    <cellStyle name="CenterWrap" xfId="8632"/>
    <cellStyle name="Cents" xfId="8633"/>
    <cellStyle name="Check Cell 2" xfId="8634"/>
    <cellStyle name="Check Cell 2 10" xfId="8635"/>
    <cellStyle name="Check Cell 2 10 2" xfId="8636"/>
    <cellStyle name="Check Cell 2 11" xfId="8637"/>
    <cellStyle name="Check Cell 2 12" xfId="8638"/>
    <cellStyle name="Check Cell 2 2" xfId="8639"/>
    <cellStyle name="Check Cell 2 2 2" xfId="8640"/>
    <cellStyle name="Check Cell 2 2 2 2" xfId="8641"/>
    <cellStyle name="Check Cell 2 2 3" xfId="8642"/>
    <cellStyle name="Check Cell 2 2 3 2" xfId="8643"/>
    <cellStyle name="Check Cell 2 2 3 2 2" xfId="8644"/>
    <cellStyle name="Check Cell 2 2 3 3" xfId="8645"/>
    <cellStyle name="Check Cell 2 2 4" xfId="8646"/>
    <cellStyle name="Check Cell 2 3" xfId="8647"/>
    <cellStyle name="Check Cell 2 3 2" xfId="8648"/>
    <cellStyle name="Check Cell 2 3 2 2" xfId="8649"/>
    <cellStyle name="Check Cell 2 3 3" xfId="8650"/>
    <cellStyle name="Check Cell 2 3 3 2" xfId="8651"/>
    <cellStyle name="Check Cell 2 3 3 2 2" xfId="8652"/>
    <cellStyle name="Check Cell 2 3 3 3" xfId="8653"/>
    <cellStyle name="Check Cell 2 3 4" xfId="8654"/>
    <cellStyle name="Check Cell 2 4" xfId="8655"/>
    <cellStyle name="Check Cell 2 4 2" xfId="8656"/>
    <cellStyle name="Check Cell 2 4 2 2" xfId="8657"/>
    <cellStyle name="Check Cell 2 4 3" xfId="8658"/>
    <cellStyle name="Check Cell 2 5" xfId="8659"/>
    <cellStyle name="Check Cell 2 5 2" xfId="8660"/>
    <cellStyle name="Check Cell 2 5 2 2" xfId="8661"/>
    <cellStyle name="Check Cell 2 5 3" xfId="8662"/>
    <cellStyle name="Check Cell 2 5 3 2" xfId="8663"/>
    <cellStyle name="Check Cell 2 5 3 2 2" xfId="8664"/>
    <cellStyle name="Check Cell 2 5 3 3" xfId="8665"/>
    <cellStyle name="Check Cell 2 5 4" xfId="8666"/>
    <cellStyle name="Check Cell 2 6" xfId="8667"/>
    <cellStyle name="Check Cell 2 6 2" xfId="8668"/>
    <cellStyle name="Check Cell 2 6 2 2" xfId="8669"/>
    <cellStyle name="Check Cell 2 6 3" xfId="8670"/>
    <cellStyle name="Check Cell 2 6 3 2" xfId="8671"/>
    <cellStyle name="Check Cell 2 6 4" xfId="8672"/>
    <cellStyle name="Check Cell 2 7" xfId="8673"/>
    <cellStyle name="Check Cell 2 7 2" xfId="8674"/>
    <cellStyle name="Check Cell 2 8" xfId="8675"/>
    <cellStyle name="Check Cell 2 8 2" xfId="8676"/>
    <cellStyle name="Check Cell 2 8 2 2" xfId="8677"/>
    <cellStyle name="Check Cell 2 8 3" xfId="8678"/>
    <cellStyle name="Check Cell 2 9" xfId="8679"/>
    <cellStyle name="Check Cell 2 9 2" xfId="8680"/>
    <cellStyle name="Check Cell 2 9 2 2" xfId="8681"/>
    <cellStyle name="Check Cell 2 9 3" xfId="8682"/>
    <cellStyle name="Check Cell 3" xfId="8683"/>
    <cellStyle name="Check Cell 3 2" xfId="8684"/>
    <cellStyle name="Check Cell 3 2 2" xfId="8685"/>
    <cellStyle name="Check Cell 3 3" xfId="8686"/>
    <cellStyle name="Check Cell 3 3 2" xfId="8687"/>
    <cellStyle name="Check Cell 3 4" xfId="8688"/>
    <cellStyle name="Check Cell 3 4 2" xfId="8689"/>
    <cellStyle name="Check Cell 3 4 2 2" xfId="8690"/>
    <cellStyle name="Check Cell 3 4 3" xfId="8691"/>
    <cellStyle name="Check Cell 3 5" xfId="8692"/>
    <cellStyle name="Check Cell 4" xfId="8693"/>
    <cellStyle name="Check Cell 4 2" xfId="8694"/>
    <cellStyle name="Check Cell 4 2 2" xfId="8695"/>
    <cellStyle name="Check Cell 4 3" xfId="8696"/>
    <cellStyle name="Check Cell 4 3 2" xfId="8697"/>
    <cellStyle name="Check Cell 4 3 2 2" xfId="8698"/>
    <cellStyle name="Check Cell 4 3 3" xfId="8699"/>
    <cellStyle name="Check Cell 4 4" xfId="8700"/>
    <cellStyle name="Check Cell 5" xfId="8701"/>
    <cellStyle name="Check Cell 5 2" xfId="8702"/>
    <cellStyle name="Check Cell 5 2 2" xfId="8703"/>
    <cellStyle name="Check Cell 5 3" xfId="8704"/>
    <cellStyle name="Check Cell 5 3 2" xfId="8705"/>
    <cellStyle name="Check Cell 5 3 2 2" xfId="8706"/>
    <cellStyle name="Check Cell 5 3 3" xfId="8707"/>
    <cellStyle name="Check Cell 5 4" xfId="8708"/>
    <cellStyle name="Check Cell 6" xfId="8709"/>
    <cellStyle name="Check Cell 6 2" xfId="8710"/>
    <cellStyle name="Check Cell 6 2 2" xfId="8711"/>
    <cellStyle name="Check Cell 6 3" xfId="8712"/>
    <cellStyle name="Check Cell 7" xfId="8713"/>
    <cellStyle name="Check Cell 7 2" xfId="8714"/>
    <cellStyle name="Check Cell 8" xfId="8715"/>
    <cellStyle name="Check Cell 9" xfId="8716"/>
    <cellStyle name="Comma" xfId="19" builtinId="3"/>
    <cellStyle name="Comma [0] 2" xfId="8717"/>
    <cellStyle name="Comma [0] 3" xfId="8718"/>
    <cellStyle name="Comma [0] 4" xfId="53887"/>
    <cellStyle name="Comma 10" xfId="8719"/>
    <cellStyle name="Comma 11" xfId="8720"/>
    <cellStyle name="Comma 12" xfId="8721"/>
    <cellStyle name="Comma 13" xfId="8722"/>
    <cellStyle name="Comma 14" xfId="8723"/>
    <cellStyle name="Comma 15" xfId="8724"/>
    <cellStyle name="Comma 16" xfId="8725"/>
    <cellStyle name="Comma 17" xfId="8726"/>
    <cellStyle name="Comma 176" xfId="8727"/>
    <cellStyle name="Comma 18" xfId="8728"/>
    <cellStyle name="Comma 19" xfId="8729"/>
    <cellStyle name="Comma 2" xfId="20"/>
    <cellStyle name="Comma 2 2" xfId="21"/>
    <cellStyle name="Comma 2 2 2" xfId="95"/>
    <cellStyle name="Comma 2 2 2 2" xfId="8730"/>
    <cellStyle name="Comma 2 2 3" xfId="8731"/>
    <cellStyle name="Comma 2 3" xfId="94"/>
    <cellStyle name="Comma 2 3 2" xfId="8733"/>
    <cellStyle name="Comma 2 3 3" xfId="8732"/>
    <cellStyle name="Comma 2 4" xfId="82"/>
    <cellStyle name="Comma 2 4 2" xfId="8735"/>
    <cellStyle name="Comma 2 4 3" xfId="8736"/>
    <cellStyle name="Comma 2 4 3 2" xfId="8737"/>
    <cellStyle name="Comma 2 4 4" xfId="8734"/>
    <cellStyle name="Comma 2 5" xfId="8738"/>
    <cellStyle name="Comma 20" xfId="8739"/>
    <cellStyle name="Comma 21" xfId="8740"/>
    <cellStyle name="Comma 22" xfId="8741"/>
    <cellStyle name="Comma 23" xfId="667"/>
    <cellStyle name="Comma 24" xfId="53870"/>
    <cellStyle name="Comma 25" xfId="53874"/>
    <cellStyle name="Comma 26" xfId="53877"/>
    <cellStyle name="Comma 27" xfId="53880"/>
    <cellStyle name="Comma 28" xfId="53883"/>
    <cellStyle name="Comma 29" xfId="53886"/>
    <cellStyle name="Comma 3" xfId="22"/>
    <cellStyle name="Comma 3 2" xfId="96"/>
    <cellStyle name="Comma 3 2 2" xfId="8743"/>
    <cellStyle name="Comma 3 2 2 2" xfId="8744"/>
    <cellStyle name="Comma 3 2 2 3" xfId="8745"/>
    <cellStyle name="Comma 3 2 2 3 2" xfId="8746"/>
    <cellStyle name="Comma 3 2 2 4" xfId="8747"/>
    <cellStyle name="Comma 3 2 2 4 2" xfId="8748"/>
    <cellStyle name="Comma 3 2 3" xfId="8749"/>
    <cellStyle name="Comma 3 2 3 2" xfId="8750"/>
    <cellStyle name="Comma 3 2 4" xfId="8751"/>
    <cellStyle name="Comma 3 2 5" xfId="8742"/>
    <cellStyle name="Comma 3 3" xfId="8752"/>
    <cellStyle name="Comma 3 3 2" xfId="8753"/>
    <cellStyle name="Comma 3 4" xfId="8754"/>
    <cellStyle name="Comma 3 4 2" xfId="8755"/>
    <cellStyle name="Comma 3 5" xfId="8756"/>
    <cellStyle name="Comma 3 5 2" xfId="8757"/>
    <cellStyle name="Comma 3 5 3" xfId="8758"/>
    <cellStyle name="Comma 3 5 3 2" xfId="8759"/>
    <cellStyle name="Comma 3 5 4" xfId="8760"/>
    <cellStyle name="Comma 3 5 4 2" xfId="8761"/>
    <cellStyle name="Comma 3 6" xfId="8762"/>
    <cellStyle name="Comma 3 6 2" xfId="8763"/>
    <cellStyle name="Comma 3 7" xfId="8764"/>
    <cellStyle name="Comma 3 8" xfId="670"/>
    <cellStyle name="Comma 30" xfId="53890"/>
    <cellStyle name="Comma 31" xfId="53891"/>
    <cellStyle name="Comma 4" xfId="93"/>
    <cellStyle name="Comma 4 2" xfId="8766"/>
    <cellStyle name="Comma 4 2 2" xfId="8767"/>
    <cellStyle name="Comma 4 3" xfId="8765"/>
    <cellStyle name="Comma 5" xfId="138"/>
    <cellStyle name="Comma 5 2" xfId="8768"/>
    <cellStyle name="Comma 5 2 2" xfId="8769"/>
    <cellStyle name="Comma 6" xfId="244"/>
    <cellStyle name="Comma 6 2" xfId="253"/>
    <cellStyle name="Comma 6 3" xfId="8770"/>
    <cellStyle name="Comma 7" xfId="8771"/>
    <cellStyle name="Comma 7 2" xfId="8772"/>
    <cellStyle name="Comma 7 3" xfId="8773"/>
    <cellStyle name="Comma 7 3 2" xfId="8774"/>
    <cellStyle name="Comma 7 4" xfId="8775"/>
    <cellStyle name="Comma 7 4 2" xfId="8776"/>
    <cellStyle name="Comma 8" xfId="132"/>
    <cellStyle name="Comma 8 2" xfId="8778"/>
    <cellStyle name="Comma 8 2 2" xfId="8779"/>
    <cellStyle name="Comma 8 3" xfId="8780"/>
    <cellStyle name="Comma 8 4" xfId="8781"/>
    <cellStyle name="Comma 8 4 2" xfId="8782"/>
    <cellStyle name="Comma 8 5" xfId="8783"/>
    <cellStyle name="Comma 8 6" xfId="8777"/>
    <cellStyle name="Comma 9" xfId="8784"/>
    <cellStyle name="Comma 9 2" xfId="8785"/>
    <cellStyle name="Comma 9 3" xfId="8786"/>
    <cellStyle name="Comma 9 3 2" xfId="8787"/>
    <cellStyle name="Comma 9 4" xfId="8788"/>
    <cellStyle name="Comma 9 4 2" xfId="8789"/>
    <cellStyle name="Copied" xfId="8790"/>
    <cellStyle name="Copied 2" xfId="8791"/>
    <cellStyle name="Copied 2 2" xfId="8792"/>
    <cellStyle name="Copied 2 2 2" xfId="8793"/>
    <cellStyle name="Copied 2 3" xfId="8794"/>
    <cellStyle name="Copied 2 3 2" xfId="8795"/>
    <cellStyle name="Copied 2 3 2 2" xfId="8796"/>
    <cellStyle name="Copied 2 3 3" xfId="8797"/>
    <cellStyle name="Copied 2 4" xfId="8798"/>
    <cellStyle name="Copied 3" xfId="8799"/>
    <cellStyle name="Copied 3 2" xfId="8800"/>
    <cellStyle name="Copied 3 2 2" xfId="8801"/>
    <cellStyle name="Copied 3 3" xfId="8802"/>
    <cellStyle name="Copied 4" xfId="8803"/>
    <cellStyle name="Copied 4 2" xfId="8804"/>
    <cellStyle name="Copied 4 2 2" xfId="8805"/>
    <cellStyle name="Copied 4 3" xfId="8806"/>
    <cellStyle name="Copied 5" xfId="8807"/>
    <cellStyle name="Copied 5 2" xfId="8808"/>
    <cellStyle name="Copied 6" xfId="8809"/>
    <cellStyle name="Copied 6 2" xfId="8810"/>
    <cellStyle name="Copied 7" xfId="8811"/>
    <cellStyle name="CostNoZero" xfId="8812"/>
    <cellStyle name="Currency" xfId="23" builtinId="4"/>
    <cellStyle name="Currency 10" xfId="53702"/>
    <cellStyle name="Currency 11" xfId="53872"/>
    <cellStyle name="Currency 2" xfId="97"/>
    <cellStyle name="Currency 2 2" xfId="8814"/>
    <cellStyle name="Currency 2 2 2" xfId="8815"/>
    <cellStyle name="Currency 2 2 2 2" xfId="8816"/>
    <cellStyle name="Currency 2 2 2 3" xfId="8817"/>
    <cellStyle name="Currency 2 2 2 3 2" xfId="8818"/>
    <cellStyle name="Currency 2 2 2 4" xfId="8819"/>
    <cellStyle name="Currency 2 2 2 4 2" xfId="8820"/>
    <cellStyle name="Currency 2 2 3" xfId="8821"/>
    <cellStyle name="Currency 2 2 3 2" xfId="8822"/>
    <cellStyle name="Currency 2 2 4" xfId="8823"/>
    <cellStyle name="Currency 2 3" xfId="8824"/>
    <cellStyle name="Currency 2 3 2" xfId="8825"/>
    <cellStyle name="Currency 2 3 3" xfId="8826"/>
    <cellStyle name="Currency 2 3 3 2" xfId="8827"/>
    <cellStyle name="Currency 2 3 4" xfId="8828"/>
    <cellStyle name="Currency 2 3 4 2" xfId="8829"/>
    <cellStyle name="Currency 2 4" xfId="8830"/>
    <cellStyle name="Currency 2 4 2" xfId="8831"/>
    <cellStyle name="Currency 2 5" xfId="8832"/>
    <cellStyle name="Currency 2 6" xfId="8833"/>
    <cellStyle name="Currency 2 7" xfId="8813"/>
    <cellStyle name="Currency 3" xfId="139"/>
    <cellStyle name="Currency 3 2" xfId="8835"/>
    <cellStyle name="Currency 3 2 2" xfId="8836"/>
    <cellStyle name="Currency 3 3" xfId="8837"/>
    <cellStyle name="Currency 3 3 2" xfId="8838"/>
    <cellStyle name="Currency 3 3 3" xfId="8839"/>
    <cellStyle name="Currency 3 3 3 2" xfId="8840"/>
    <cellStyle name="Currency 3 3 4" xfId="8841"/>
    <cellStyle name="Currency 3 3 4 2" xfId="8842"/>
    <cellStyle name="Currency 3 4" xfId="8843"/>
    <cellStyle name="Currency 3 5" xfId="8834"/>
    <cellStyle name="Currency 4" xfId="254"/>
    <cellStyle name="Currency 4 2" xfId="8845"/>
    <cellStyle name="Currency 4 2 2" xfId="8846"/>
    <cellStyle name="Currency 4 3" xfId="8847"/>
    <cellStyle name="Currency 4 3 2" xfId="8848"/>
    <cellStyle name="Currency 4 4" xfId="8844"/>
    <cellStyle name="Currency 5" xfId="8849"/>
    <cellStyle name="Currency 5 2" xfId="8850"/>
    <cellStyle name="Currency 6" xfId="8851"/>
    <cellStyle name="Currency 6 2" xfId="8852"/>
    <cellStyle name="Currency 6 2 2" xfId="8853"/>
    <cellStyle name="Currency 6 3" xfId="8854"/>
    <cellStyle name="Currency 6 3 2" xfId="8855"/>
    <cellStyle name="Currency 6 4" xfId="8856"/>
    <cellStyle name="Currency 7" xfId="8857"/>
    <cellStyle name="Currency 7 2" xfId="8858"/>
    <cellStyle name="Currency 8" xfId="8859"/>
    <cellStyle name="Currency 9" xfId="8860"/>
    <cellStyle name="Currency.00" xfId="8861"/>
    <cellStyle name="Date" xfId="8862"/>
    <cellStyle name="Date (m/d/yy)" xfId="8863"/>
    <cellStyle name="Date (m/d/yy) 2" xfId="8864"/>
    <cellStyle name="Date_~6497230" xfId="8865"/>
    <cellStyle name="Decimal" xfId="8866"/>
    <cellStyle name="Emphasis 1" xfId="24"/>
    <cellStyle name="Emphasis 1 10" xfId="8867"/>
    <cellStyle name="Emphasis 1 2" xfId="8868"/>
    <cellStyle name="Emphasis 1 2 2" xfId="8869"/>
    <cellStyle name="Emphasis 1 2 2 2" xfId="8870"/>
    <cellStyle name="Emphasis 1 2 3" xfId="8871"/>
    <cellStyle name="Emphasis 1 2 3 2" xfId="8872"/>
    <cellStyle name="Emphasis 1 2 3 2 2" xfId="8873"/>
    <cellStyle name="Emphasis 1 2 3 3" xfId="8874"/>
    <cellStyle name="Emphasis 1 2 4" xfId="8875"/>
    <cellStyle name="Emphasis 1 2 4 2" xfId="8876"/>
    <cellStyle name="Emphasis 1 2 4 2 2" xfId="8877"/>
    <cellStyle name="Emphasis 1 2 4 3" xfId="8878"/>
    <cellStyle name="Emphasis 1 2 5" xfId="8879"/>
    <cellStyle name="Emphasis 1 3" xfId="8880"/>
    <cellStyle name="Emphasis 1 3 2" xfId="8881"/>
    <cellStyle name="Emphasis 1 3 2 2" xfId="8882"/>
    <cellStyle name="Emphasis 1 3 3" xfId="8883"/>
    <cellStyle name="Emphasis 1 4" xfId="8884"/>
    <cellStyle name="Emphasis 1 4 2" xfId="8885"/>
    <cellStyle name="Emphasis 1 5" xfId="8886"/>
    <cellStyle name="Emphasis 1 5 2" xfId="8887"/>
    <cellStyle name="Emphasis 1 6" xfId="8888"/>
    <cellStyle name="Emphasis 1 6 2" xfId="8889"/>
    <cellStyle name="Emphasis 1 6 2 2" xfId="8890"/>
    <cellStyle name="Emphasis 1 6 3" xfId="8891"/>
    <cellStyle name="Emphasis 1 7" xfId="8892"/>
    <cellStyle name="Emphasis 1 7 2" xfId="8893"/>
    <cellStyle name="Emphasis 1 8" xfId="8894"/>
    <cellStyle name="Emphasis 1 8 2" xfId="8895"/>
    <cellStyle name="Emphasis 1 9" xfId="8896"/>
    <cellStyle name="Emphasis 2" xfId="25"/>
    <cellStyle name="Emphasis 2 10" xfId="8897"/>
    <cellStyle name="Emphasis 2 2" xfId="8898"/>
    <cellStyle name="Emphasis 2 2 2" xfId="8899"/>
    <cellStyle name="Emphasis 2 2 2 2" xfId="8900"/>
    <cellStyle name="Emphasis 2 2 3" xfId="8901"/>
    <cellStyle name="Emphasis 2 2 3 2" xfId="8902"/>
    <cellStyle name="Emphasis 2 2 3 2 2" xfId="8903"/>
    <cellStyle name="Emphasis 2 2 3 3" xfId="8904"/>
    <cellStyle name="Emphasis 2 2 4" xfId="8905"/>
    <cellStyle name="Emphasis 2 2 4 2" xfId="8906"/>
    <cellStyle name="Emphasis 2 2 4 2 2" xfId="8907"/>
    <cellStyle name="Emphasis 2 2 4 3" xfId="8908"/>
    <cellStyle name="Emphasis 2 2 5" xfId="8909"/>
    <cellStyle name="Emphasis 2 3" xfId="8910"/>
    <cellStyle name="Emphasis 2 3 2" xfId="8911"/>
    <cellStyle name="Emphasis 2 3 2 2" xfId="8912"/>
    <cellStyle name="Emphasis 2 3 3" xfId="8913"/>
    <cellStyle name="Emphasis 2 4" xfId="8914"/>
    <cellStyle name="Emphasis 2 4 2" xfId="8915"/>
    <cellStyle name="Emphasis 2 5" xfId="8916"/>
    <cellStyle name="Emphasis 2 5 2" xfId="8917"/>
    <cellStyle name="Emphasis 2 6" xfId="8918"/>
    <cellStyle name="Emphasis 2 6 2" xfId="8919"/>
    <cellStyle name="Emphasis 2 6 2 2" xfId="8920"/>
    <cellStyle name="Emphasis 2 6 3" xfId="8921"/>
    <cellStyle name="Emphasis 2 7" xfId="8922"/>
    <cellStyle name="Emphasis 2 7 2" xfId="8923"/>
    <cellStyle name="Emphasis 2 8" xfId="8924"/>
    <cellStyle name="Emphasis 2 8 2" xfId="8925"/>
    <cellStyle name="Emphasis 2 9" xfId="8926"/>
    <cellStyle name="Emphasis 3" xfId="26"/>
    <cellStyle name="Emphasis 3 2" xfId="8927"/>
    <cellStyle name="Emphasis 3 2 2" xfId="8928"/>
    <cellStyle name="Emphasis 3 2 2 2" xfId="8929"/>
    <cellStyle name="Emphasis 3 2 3" xfId="8930"/>
    <cellStyle name="Emphasis 3 2 3 2" xfId="8931"/>
    <cellStyle name="Emphasis 3 2 3 2 2" xfId="8932"/>
    <cellStyle name="Emphasis 3 2 3 3" xfId="8933"/>
    <cellStyle name="Emphasis 3 2 4" xfId="8934"/>
    <cellStyle name="Emphasis 3 3" xfId="8935"/>
    <cellStyle name="Emphasis 3 3 2" xfId="8936"/>
    <cellStyle name="Emphasis 3 3 2 2" xfId="8937"/>
    <cellStyle name="Emphasis 3 3 3" xfId="8938"/>
    <cellStyle name="Emphasis 3 4" xfId="8939"/>
    <cellStyle name="Emphasis 3 4 2" xfId="8940"/>
    <cellStyle name="Emphasis 3 5" xfId="8941"/>
    <cellStyle name="Emphasis 3 5 2" xfId="8942"/>
    <cellStyle name="Emphasis 3 6" xfId="8943"/>
    <cellStyle name="Emphasis 3 7" xfId="8944"/>
    <cellStyle name="Entered" xfId="8945"/>
    <cellStyle name="Entered 2" xfId="8946"/>
    <cellStyle name="Entered 2 2" xfId="8947"/>
    <cellStyle name="Entered 2 2 2" xfId="8948"/>
    <cellStyle name="Entered 2 3" xfId="8949"/>
    <cellStyle name="Entered 2 3 2" xfId="8950"/>
    <cellStyle name="Entered 2 3 2 2" xfId="8951"/>
    <cellStyle name="Entered 2 3 3" xfId="8952"/>
    <cellStyle name="Entered 2 4" xfId="8953"/>
    <cellStyle name="Entered 3" xfId="8954"/>
    <cellStyle name="Entered 3 2" xfId="8955"/>
    <cellStyle name="Entered 3 2 2" xfId="8956"/>
    <cellStyle name="Entered 3 3" xfId="8957"/>
    <cellStyle name="Entered 4" xfId="8958"/>
    <cellStyle name="Entered 4 2" xfId="8959"/>
    <cellStyle name="Entered 4 2 2" xfId="8960"/>
    <cellStyle name="Entered 4 3" xfId="8961"/>
    <cellStyle name="Entered 5" xfId="8962"/>
    <cellStyle name="Entered 5 2" xfId="8963"/>
    <cellStyle name="Entered 6" xfId="8964"/>
    <cellStyle name="Entered 6 2" xfId="8965"/>
    <cellStyle name="Entered 7" xfId="8966"/>
    <cellStyle name="Euro" xfId="8967"/>
    <cellStyle name="Euro 2" xfId="8968"/>
    <cellStyle name="Euro 2 2" xfId="8969"/>
    <cellStyle name="Euro 2 2 2" xfId="8970"/>
    <cellStyle name="Euro 2 2 2 2" xfId="8971"/>
    <cellStyle name="Euro 2 2 3" xfId="8972"/>
    <cellStyle name="Euro 2 3" xfId="8973"/>
    <cellStyle name="Euro 2 3 2" xfId="8974"/>
    <cellStyle name="Euro 2 3 2 2" xfId="8975"/>
    <cellStyle name="Euro 2 3 3" xfId="8976"/>
    <cellStyle name="Euro 2 4" xfId="8977"/>
    <cellStyle name="Euro 3" xfId="8978"/>
    <cellStyle name="Euro 3 2" xfId="8979"/>
    <cellStyle name="Euro 3 2 2" xfId="8980"/>
    <cellStyle name="Euro 3 3" xfId="8981"/>
    <cellStyle name="Euro 4" xfId="8982"/>
    <cellStyle name="Euro 4 2" xfId="8983"/>
    <cellStyle name="Euro 4 2 2" xfId="8984"/>
    <cellStyle name="Euro 4 3" xfId="8985"/>
    <cellStyle name="Euro 5" xfId="8986"/>
    <cellStyle name="Euro 5 2" xfId="8987"/>
    <cellStyle name="Euro 6" xfId="8988"/>
    <cellStyle name="Explanatory Text 2" xfId="8989"/>
    <cellStyle name="Explanatory Text 2 10" xfId="8990"/>
    <cellStyle name="Explanatory Text 2 2" xfId="8991"/>
    <cellStyle name="Explanatory Text 2 2 2" xfId="8992"/>
    <cellStyle name="Explanatory Text 2 2 2 2" xfId="8993"/>
    <cellStyle name="Explanatory Text 2 2 3" xfId="8994"/>
    <cellStyle name="Explanatory Text 2 2 3 2" xfId="8995"/>
    <cellStyle name="Explanatory Text 2 2 3 2 2" xfId="8996"/>
    <cellStyle name="Explanatory Text 2 2 3 3" xfId="8997"/>
    <cellStyle name="Explanatory Text 2 2 4" xfId="8998"/>
    <cellStyle name="Explanatory Text 2 3" xfId="8999"/>
    <cellStyle name="Explanatory Text 2 3 2" xfId="9000"/>
    <cellStyle name="Explanatory Text 2 3 2 2" xfId="9001"/>
    <cellStyle name="Explanatory Text 2 3 3" xfId="9002"/>
    <cellStyle name="Explanatory Text 2 3 3 2" xfId="9003"/>
    <cellStyle name="Explanatory Text 2 3 3 2 2" xfId="9004"/>
    <cellStyle name="Explanatory Text 2 3 3 3" xfId="9005"/>
    <cellStyle name="Explanatory Text 2 3 4" xfId="9006"/>
    <cellStyle name="Explanatory Text 2 4" xfId="9007"/>
    <cellStyle name="Explanatory Text 2 4 2" xfId="9008"/>
    <cellStyle name="Explanatory Text 2 4 2 2" xfId="9009"/>
    <cellStyle name="Explanatory Text 2 4 3" xfId="9010"/>
    <cellStyle name="Explanatory Text 2 5" xfId="9011"/>
    <cellStyle name="Explanatory Text 2 5 2" xfId="9012"/>
    <cellStyle name="Explanatory Text 2 5 2 2" xfId="9013"/>
    <cellStyle name="Explanatory Text 2 5 3" xfId="9014"/>
    <cellStyle name="Explanatory Text 2 5 3 2" xfId="9015"/>
    <cellStyle name="Explanatory Text 2 5 3 2 2" xfId="9016"/>
    <cellStyle name="Explanatory Text 2 5 3 3" xfId="9017"/>
    <cellStyle name="Explanatory Text 2 5 4" xfId="9018"/>
    <cellStyle name="Explanatory Text 2 6" xfId="9019"/>
    <cellStyle name="Explanatory Text 2 6 2" xfId="9020"/>
    <cellStyle name="Explanatory Text 2 7" xfId="9021"/>
    <cellStyle name="Explanatory Text 2 7 2" xfId="9022"/>
    <cellStyle name="Explanatory Text 2 8" xfId="9023"/>
    <cellStyle name="Explanatory Text 2 8 2" xfId="9024"/>
    <cellStyle name="Explanatory Text 2 8 2 2" xfId="9025"/>
    <cellStyle name="Explanatory Text 2 8 3" xfId="9026"/>
    <cellStyle name="Explanatory Text 2 9" xfId="9027"/>
    <cellStyle name="Explanatory Text 2 9 2" xfId="9028"/>
    <cellStyle name="Explanatory Text 2 9 2 2" xfId="9029"/>
    <cellStyle name="Explanatory Text 2 9 3" xfId="9030"/>
    <cellStyle name="Explanatory Text 3" xfId="9031"/>
    <cellStyle name="Explanatory Text 3 2" xfId="9032"/>
    <cellStyle name="Explanatory Text 3 2 2" xfId="9033"/>
    <cellStyle name="Explanatory Text 3 3" xfId="9034"/>
    <cellStyle name="Explanatory Text 3 3 2" xfId="9035"/>
    <cellStyle name="Explanatory Text 3 4" xfId="9036"/>
    <cellStyle name="Explanatory Text 3 4 2" xfId="9037"/>
    <cellStyle name="Explanatory Text 3 4 2 2" xfId="9038"/>
    <cellStyle name="Explanatory Text 3 4 3" xfId="9039"/>
    <cellStyle name="Explanatory Text 3 5" xfId="9040"/>
    <cellStyle name="Explanatory Text 4" xfId="9041"/>
    <cellStyle name="Explanatory Text 4 2" xfId="9042"/>
    <cellStyle name="Explanatory Text 4 2 2" xfId="9043"/>
    <cellStyle name="Explanatory Text 4 3" xfId="9044"/>
    <cellStyle name="Explanatory Text 4 3 2" xfId="9045"/>
    <cellStyle name="Explanatory Text 4 3 2 2" xfId="9046"/>
    <cellStyle name="Explanatory Text 4 3 3" xfId="9047"/>
    <cellStyle name="Explanatory Text 4 4" xfId="9048"/>
    <cellStyle name="Explanatory Text 5" xfId="9049"/>
    <cellStyle name="Explanatory Text 5 2" xfId="9050"/>
    <cellStyle name="Explanatory Text 5 2 2" xfId="9051"/>
    <cellStyle name="Explanatory Text 5 3" xfId="9052"/>
    <cellStyle name="Explanatory Text 5 3 2" xfId="9053"/>
    <cellStyle name="Explanatory Text 5 3 2 2" xfId="9054"/>
    <cellStyle name="Explanatory Text 5 3 3" xfId="9055"/>
    <cellStyle name="Explanatory Text 5 4" xfId="9056"/>
    <cellStyle name="Explanatory Text 6" xfId="9057"/>
    <cellStyle name="Explanatory Text 6 2" xfId="9058"/>
    <cellStyle name="Explanatory Text 6 2 2" xfId="9059"/>
    <cellStyle name="Explanatory Text 6 3" xfId="9060"/>
    <cellStyle name="Explanatory Text 7" xfId="9061"/>
    <cellStyle name="Explanatory Text 8" xfId="9062"/>
    <cellStyle name="Fixed" xfId="9063"/>
    <cellStyle name="Fixed 2" xfId="9064"/>
    <cellStyle name="Fixed 2 2" xfId="9065"/>
    <cellStyle name="Fixed 3" xfId="9066"/>
    <cellStyle name="Floating" xfId="9067"/>
    <cellStyle name="General" xfId="9068"/>
    <cellStyle name="General 2" xfId="9069"/>
    <cellStyle name="General 2 2" xfId="9070"/>
    <cellStyle name="General 2 2 2" xfId="9071"/>
    <cellStyle name="General 2 3" xfId="9072"/>
    <cellStyle name="General 3" xfId="9073"/>
    <cellStyle name="General 3 2" xfId="9074"/>
    <cellStyle name="General 3 2 2" xfId="9075"/>
    <cellStyle name="General 3 3" xfId="9076"/>
    <cellStyle name="General 3 3 2" xfId="9077"/>
    <cellStyle name="General 3 3 2 2" xfId="9078"/>
    <cellStyle name="General 3 3 3" xfId="9079"/>
    <cellStyle name="General 3 4" xfId="9080"/>
    <cellStyle name="General 4" xfId="9081"/>
    <cellStyle name="General 4 2" xfId="9082"/>
    <cellStyle name="General 4 2 2" xfId="9083"/>
    <cellStyle name="General 4 3" xfId="9084"/>
    <cellStyle name="General 5" xfId="9085"/>
    <cellStyle name="General2" xfId="9086"/>
    <cellStyle name="Good 2" xfId="9087"/>
    <cellStyle name="Good 2 10" xfId="9088"/>
    <cellStyle name="Good 2 10 2" xfId="9089"/>
    <cellStyle name="Good 2 11" xfId="9090"/>
    <cellStyle name="Good 2 12" xfId="9091"/>
    <cellStyle name="Good 2 2" xfId="9092"/>
    <cellStyle name="Good 2 2 2" xfId="9093"/>
    <cellStyle name="Good 2 2 2 2" xfId="9094"/>
    <cellStyle name="Good 2 2 3" xfId="9095"/>
    <cellStyle name="Good 2 2 3 2" xfId="9096"/>
    <cellStyle name="Good 2 2 3 2 2" xfId="9097"/>
    <cellStyle name="Good 2 2 3 3" xfId="9098"/>
    <cellStyle name="Good 2 2 4" xfId="9099"/>
    <cellStyle name="Good 2 2 4 2" xfId="9100"/>
    <cellStyle name="Good 2 2 5" xfId="9101"/>
    <cellStyle name="Good 2 3" xfId="9102"/>
    <cellStyle name="Good 2 3 2" xfId="9103"/>
    <cellStyle name="Good 2 3 2 2" xfId="9104"/>
    <cellStyle name="Good 2 3 3" xfId="9105"/>
    <cellStyle name="Good 2 3 3 2" xfId="9106"/>
    <cellStyle name="Good 2 3 3 2 2" xfId="9107"/>
    <cellStyle name="Good 2 3 3 3" xfId="9108"/>
    <cellStyle name="Good 2 3 4" xfId="9109"/>
    <cellStyle name="Good 2 4" xfId="9110"/>
    <cellStyle name="Good 2 4 2" xfId="9111"/>
    <cellStyle name="Good 2 4 2 2" xfId="9112"/>
    <cellStyle name="Good 2 4 3" xfId="9113"/>
    <cellStyle name="Good 2 5" xfId="9114"/>
    <cellStyle name="Good 2 5 2" xfId="9115"/>
    <cellStyle name="Good 2 5 2 2" xfId="9116"/>
    <cellStyle name="Good 2 5 3" xfId="9117"/>
    <cellStyle name="Good 2 5 3 2" xfId="9118"/>
    <cellStyle name="Good 2 5 3 2 2" xfId="9119"/>
    <cellStyle name="Good 2 5 3 3" xfId="9120"/>
    <cellStyle name="Good 2 5 4" xfId="9121"/>
    <cellStyle name="Good 2 6" xfId="9122"/>
    <cellStyle name="Good 2 6 2" xfId="9123"/>
    <cellStyle name="Good 2 6 2 2" xfId="9124"/>
    <cellStyle name="Good 2 6 3" xfId="9125"/>
    <cellStyle name="Good 2 6 3 2" xfId="9126"/>
    <cellStyle name="Good 2 6 3 2 2" xfId="9127"/>
    <cellStyle name="Good 2 6 3 3" xfId="9128"/>
    <cellStyle name="Good 2 6 4" xfId="9129"/>
    <cellStyle name="Good 2 6 4 2" xfId="9130"/>
    <cellStyle name="Good 2 6 5" xfId="9131"/>
    <cellStyle name="Good 2 7" xfId="9132"/>
    <cellStyle name="Good 2 7 2" xfId="9133"/>
    <cellStyle name="Good 2 8" xfId="9134"/>
    <cellStyle name="Good 2 8 2" xfId="9135"/>
    <cellStyle name="Good 2 8 2 2" xfId="9136"/>
    <cellStyle name="Good 2 8 3" xfId="9137"/>
    <cellStyle name="Good 2 9" xfId="9138"/>
    <cellStyle name="Good 2 9 2" xfId="9139"/>
    <cellStyle name="Good 2 9 2 2" xfId="9140"/>
    <cellStyle name="Good 2 9 3" xfId="9141"/>
    <cellStyle name="Good 3" xfId="9142"/>
    <cellStyle name="Good 3 2" xfId="9143"/>
    <cellStyle name="Good 3 2 2" xfId="9144"/>
    <cellStyle name="Good 3 3" xfId="9145"/>
    <cellStyle name="Good 3 3 2" xfId="9146"/>
    <cellStyle name="Good 3 4" xfId="9147"/>
    <cellStyle name="Good 3 4 2" xfId="9148"/>
    <cellStyle name="Good 3 4 2 2" xfId="9149"/>
    <cellStyle name="Good 3 4 3" xfId="9150"/>
    <cellStyle name="Good 3 5" xfId="9151"/>
    <cellStyle name="Good 4" xfId="9152"/>
    <cellStyle name="Good 4 2" xfId="9153"/>
    <cellStyle name="Good 4 2 2" xfId="9154"/>
    <cellStyle name="Good 4 3" xfId="9155"/>
    <cellStyle name="Good 4 3 2" xfId="9156"/>
    <cellStyle name="Good 4 3 2 2" xfId="9157"/>
    <cellStyle name="Good 4 3 3" xfId="9158"/>
    <cellStyle name="Good 4 4" xfId="9159"/>
    <cellStyle name="Good 5" xfId="9160"/>
    <cellStyle name="Good 5 2" xfId="9161"/>
    <cellStyle name="Good 5 2 2" xfId="9162"/>
    <cellStyle name="Good 5 3" xfId="9163"/>
    <cellStyle name="Good 5 3 2" xfId="9164"/>
    <cellStyle name="Good 5 3 2 2" xfId="9165"/>
    <cellStyle name="Good 5 3 3" xfId="9166"/>
    <cellStyle name="Good 5 4" xfId="9167"/>
    <cellStyle name="Good 6" xfId="9168"/>
    <cellStyle name="Good 6 2" xfId="9169"/>
    <cellStyle name="Good 6 2 2" xfId="9170"/>
    <cellStyle name="Good 6 3" xfId="9171"/>
    <cellStyle name="Good 7" xfId="9172"/>
    <cellStyle name="Good 7 2" xfId="9173"/>
    <cellStyle name="Good 8" xfId="9174"/>
    <cellStyle name="Good 9" xfId="9175"/>
    <cellStyle name="Grey" xfId="9176"/>
    <cellStyle name="Grey 2" xfId="9177"/>
    <cellStyle name="HEADER" xfId="9178"/>
    <cellStyle name="HEADER 2" xfId="9179"/>
    <cellStyle name="HEADER 2 2" xfId="9180"/>
    <cellStyle name="HEADER 2 2 2" xfId="9181"/>
    <cellStyle name="HEADER 2 2 2 2" xfId="9182"/>
    <cellStyle name="HEADER 2 2 3" xfId="9183"/>
    <cellStyle name="HEADER 2 2 3 2" xfId="9184"/>
    <cellStyle name="HEADER 2 2 3 2 2" xfId="9185"/>
    <cellStyle name="HEADER 2 2 3 3" xfId="9186"/>
    <cellStyle name="HEADER 2 2 4" xfId="9187"/>
    <cellStyle name="HEADER 2 3" xfId="9188"/>
    <cellStyle name="HEADER 2 3 2" xfId="9189"/>
    <cellStyle name="HEADER 2 4" xfId="9190"/>
    <cellStyle name="HEADER 3" xfId="9191"/>
    <cellStyle name="HEADER 3 2" xfId="9192"/>
    <cellStyle name="HEADER 4" xfId="9193"/>
    <cellStyle name="HEADER 4 2" xfId="9194"/>
    <cellStyle name="HEADER 5" xfId="9195"/>
    <cellStyle name="Header1" xfId="9196"/>
    <cellStyle name="Header1 2" xfId="9197"/>
    <cellStyle name="Header1 2 2" xfId="9198"/>
    <cellStyle name="Header1 2 2 2" xfId="9199"/>
    <cellStyle name="Header1 2 3" xfId="9200"/>
    <cellStyle name="Header1 2 3 2" xfId="9201"/>
    <cellStyle name="Header1 2 3 2 2" xfId="9202"/>
    <cellStyle name="Header1 2 3 3" xfId="9203"/>
    <cellStyle name="Header1 2 4" xfId="9204"/>
    <cellStyle name="Header1 3" xfId="9205"/>
    <cellStyle name="Header1 3 2" xfId="9206"/>
    <cellStyle name="Header1 3 2 2" xfId="9207"/>
    <cellStyle name="Header1 3 3" xfId="9208"/>
    <cellStyle name="Header1 4" xfId="9209"/>
    <cellStyle name="Header1 4 2" xfId="9210"/>
    <cellStyle name="Header1 5" xfId="9211"/>
    <cellStyle name="Header1 5 2" xfId="9212"/>
    <cellStyle name="Header1 6" xfId="9213"/>
    <cellStyle name="Header2" xfId="9214"/>
    <cellStyle name="Header2 2" xfId="9215"/>
    <cellStyle name="Header2 2 2" xfId="9216"/>
    <cellStyle name="Header2 2 2 2" xfId="9217"/>
    <cellStyle name="Header2 2 2 2 2" xfId="9218"/>
    <cellStyle name="Header2 2 2 2 2 2" xfId="9219"/>
    <cellStyle name="Header2 2 2 2 2 2 2" xfId="9220"/>
    <cellStyle name="Header2 2 2 2 2 2 2 2" xfId="9221"/>
    <cellStyle name="Header2 2 2 2 2 2 2 3" xfId="9222"/>
    <cellStyle name="Header2 2 2 2 2 2 3" xfId="9223"/>
    <cellStyle name="Header2 2 2 2 2 3" xfId="9224"/>
    <cellStyle name="Header2 2 2 2 3" xfId="9225"/>
    <cellStyle name="Header2 2 2 2 3 2" xfId="9226"/>
    <cellStyle name="Header2 2 2 2 3 2 2" xfId="9227"/>
    <cellStyle name="Header2 2 2 2 3 2 2 2" xfId="9228"/>
    <cellStyle name="Header2 2 2 2 3 2 2 3" xfId="9229"/>
    <cellStyle name="Header2 2 2 2 3 2 3" xfId="9230"/>
    <cellStyle name="Header2 2 2 2 3 3" xfId="9231"/>
    <cellStyle name="Header2 2 2 2 3 3 2" xfId="9232"/>
    <cellStyle name="Header2 2 2 2 3 3 3" xfId="9233"/>
    <cellStyle name="Header2 2 2 2 3 4" xfId="9234"/>
    <cellStyle name="Header2 2 2 2 4" xfId="9235"/>
    <cellStyle name="Header2 2 2 2 4 2" xfId="9236"/>
    <cellStyle name="Header2 2 2 2 4 2 2" xfId="9237"/>
    <cellStyle name="Header2 2 2 2 4 2 3" xfId="9238"/>
    <cellStyle name="Header2 2 2 2 4 3" xfId="9239"/>
    <cellStyle name="Header2 2 2 2 5" xfId="9240"/>
    <cellStyle name="Header2 2 2 2 5 2" xfId="9241"/>
    <cellStyle name="Header2 2 2 2 5 3" xfId="9242"/>
    <cellStyle name="Header2 2 2 2 6" xfId="9243"/>
    <cellStyle name="Header2 2 2 3" xfId="9244"/>
    <cellStyle name="Header2 2 3" xfId="9245"/>
    <cellStyle name="Header2 2 3 2" xfId="9246"/>
    <cellStyle name="Header2 2 3 2 2" xfId="9247"/>
    <cellStyle name="Header2 2 3 2 2 2" xfId="9248"/>
    <cellStyle name="Header2 2 3 2 2 2 2" xfId="9249"/>
    <cellStyle name="Header2 2 3 2 2 2 2 2" xfId="9250"/>
    <cellStyle name="Header2 2 3 2 2 2 2 2 2" xfId="9251"/>
    <cellStyle name="Header2 2 3 2 2 2 2 2 3" xfId="9252"/>
    <cellStyle name="Header2 2 3 2 2 2 2 3" xfId="9253"/>
    <cellStyle name="Header2 2 3 2 2 2 3" xfId="9254"/>
    <cellStyle name="Header2 2 3 2 2 3" xfId="9255"/>
    <cellStyle name="Header2 2 3 2 2 3 2" xfId="9256"/>
    <cellStyle name="Header2 2 3 2 2 3 2 2" xfId="9257"/>
    <cellStyle name="Header2 2 3 2 2 3 2 2 2" xfId="9258"/>
    <cellStyle name="Header2 2 3 2 2 3 2 2 3" xfId="9259"/>
    <cellStyle name="Header2 2 3 2 2 3 2 3" xfId="9260"/>
    <cellStyle name="Header2 2 3 2 2 3 3" xfId="9261"/>
    <cellStyle name="Header2 2 3 2 2 3 3 2" xfId="9262"/>
    <cellStyle name="Header2 2 3 2 2 3 3 3" xfId="9263"/>
    <cellStyle name="Header2 2 3 2 2 3 4" xfId="9264"/>
    <cellStyle name="Header2 2 3 2 2 4" xfId="9265"/>
    <cellStyle name="Header2 2 3 2 2 4 2" xfId="9266"/>
    <cellStyle name="Header2 2 3 2 2 4 2 2" xfId="9267"/>
    <cellStyle name="Header2 2 3 2 2 4 2 3" xfId="9268"/>
    <cellStyle name="Header2 2 3 2 2 4 3" xfId="9269"/>
    <cellStyle name="Header2 2 3 2 2 5" xfId="9270"/>
    <cellStyle name="Header2 2 3 2 2 5 2" xfId="9271"/>
    <cellStyle name="Header2 2 3 2 2 5 3" xfId="9272"/>
    <cellStyle name="Header2 2 3 2 2 6" xfId="9273"/>
    <cellStyle name="Header2 2 3 2 3" xfId="9274"/>
    <cellStyle name="Header2 2 3 3" xfId="9275"/>
    <cellStyle name="Header2 2 3 3 2" xfId="9276"/>
    <cellStyle name="Header2 2 3 3 2 2" xfId="9277"/>
    <cellStyle name="Header2 2 3 3 2 2 2" xfId="9278"/>
    <cellStyle name="Header2 2 3 3 2 2 2 2" xfId="9279"/>
    <cellStyle name="Header2 2 3 3 2 2 2 3" xfId="9280"/>
    <cellStyle name="Header2 2 3 3 2 2 3" xfId="9281"/>
    <cellStyle name="Header2 2 3 3 2 3" xfId="9282"/>
    <cellStyle name="Header2 2 3 3 3" xfId="9283"/>
    <cellStyle name="Header2 2 3 3 3 2" xfId="9284"/>
    <cellStyle name="Header2 2 3 3 3 2 2" xfId="9285"/>
    <cellStyle name="Header2 2 3 3 3 2 2 2" xfId="9286"/>
    <cellStyle name="Header2 2 3 3 3 2 2 3" xfId="9287"/>
    <cellStyle name="Header2 2 3 3 3 2 3" xfId="9288"/>
    <cellStyle name="Header2 2 3 3 3 3" xfId="9289"/>
    <cellStyle name="Header2 2 3 3 3 3 2" xfId="9290"/>
    <cellStyle name="Header2 2 3 3 3 3 3" xfId="9291"/>
    <cellStyle name="Header2 2 3 3 3 4" xfId="9292"/>
    <cellStyle name="Header2 2 3 3 4" xfId="9293"/>
    <cellStyle name="Header2 2 3 3 4 2" xfId="9294"/>
    <cellStyle name="Header2 2 3 3 4 2 2" xfId="9295"/>
    <cellStyle name="Header2 2 3 3 4 2 3" xfId="9296"/>
    <cellStyle name="Header2 2 3 3 4 3" xfId="9297"/>
    <cellStyle name="Header2 2 3 3 5" xfId="9298"/>
    <cellStyle name="Header2 2 3 3 5 2" xfId="9299"/>
    <cellStyle name="Header2 2 3 3 5 3" xfId="9300"/>
    <cellStyle name="Header2 2 3 3 6" xfId="9301"/>
    <cellStyle name="Header2 2 3 4" xfId="9302"/>
    <cellStyle name="Header2 2 4" xfId="9303"/>
    <cellStyle name="Header2 2 4 2" xfId="9304"/>
    <cellStyle name="Header2 2 4 2 2" xfId="9305"/>
    <cellStyle name="Header2 2 4 2 2 2" xfId="9306"/>
    <cellStyle name="Header2 2 4 2 2 2 2" xfId="9307"/>
    <cellStyle name="Header2 2 4 2 2 2 3" xfId="9308"/>
    <cellStyle name="Header2 2 4 2 2 3" xfId="9309"/>
    <cellStyle name="Header2 2 4 2 3" xfId="9310"/>
    <cellStyle name="Header2 2 4 3" xfId="9311"/>
    <cellStyle name="Header2 2 4 3 2" xfId="9312"/>
    <cellStyle name="Header2 2 4 3 2 2" xfId="9313"/>
    <cellStyle name="Header2 2 4 3 2 2 2" xfId="9314"/>
    <cellStyle name="Header2 2 4 3 2 2 3" xfId="9315"/>
    <cellStyle name="Header2 2 4 3 2 3" xfId="9316"/>
    <cellStyle name="Header2 2 4 3 3" xfId="9317"/>
    <cellStyle name="Header2 2 4 3 3 2" xfId="9318"/>
    <cellStyle name="Header2 2 4 3 3 3" xfId="9319"/>
    <cellStyle name="Header2 2 4 3 4" xfId="9320"/>
    <cellStyle name="Header2 2 4 4" xfId="9321"/>
    <cellStyle name="Header2 2 4 4 2" xfId="9322"/>
    <cellStyle name="Header2 2 4 4 2 2" xfId="9323"/>
    <cellStyle name="Header2 2 4 4 2 3" xfId="9324"/>
    <cellStyle name="Header2 2 4 4 3" xfId="9325"/>
    <cellStyle name="Header2 2 4 5" xfId="9326"/>
    <cellStyle name="Header2 2 4 5 2" xfId="9327"/>
    <cellStyle name="Header2 2 4 5 3" xfId="9328"/>
    <cellStyle name="Header2 2 4 6" xfId="9329"/>
    <cellStyle name="Header2 2 5" xfId="9330"/>
    <cellStyle name="Header2 3" xfId="9331"/>
    <cellStyle name="Header2 3 2" xfId="9332"/>
    <cellStyle name="Header2 3 2 2" xfId="9333"/>
    <cellStyle name="Header2 3 2 2 2" xfId="9334"/>
    <cellStyle name="Header2 3 2 2 2 2" xfId="9335"/>
    <cellStyle name="Header2 3 2 2 2 2 2" xfId="9336"/>
    <cellStyle name="Header2 3 2 2 2 2 2 2" xfId="9337"/>
    <cellStyle name="Header2 3 2 2 2 2 2 3" xfId="9338"/>
    <cellStyle name="Header2 3 2 2 2 2 3" xfId="9339"/>
    <cellStyle name="Header2 3 2 2 2 3" xfId="9340"/>
    <cellStyle name="Header2 3 2 2 3" xfId="9341"/>
    <cellStyle name="Header2 3 2 2 3 2" xfId="9342"/>
    <cellStyle name="Header2 3 2 2 3 2 2" xfId="9343"/>
    <cellStyle name="Header2 3 2 2 3 2 2 2" xfId="9344"/>
    <cellStyle name="Header2 3 2 2 3 2 2 3" xfId="9345"/>
    <cellStyle name="Header2 3 2 2 3 2 3" xfId="9346"/>
    <cellStyle name="Header2 3 2 2 3 3" xfId="9347"/>
    <cellStyle name="Header2 3 2 2 3 3 2" xfId="9348"/>
    <cellStyle name="Header2 3 2 2 3 3 3" xfId="9349"/>
    <cellStyle name="Header2 3 2 2 3 4" xfId="9350"/>
    <cellStyle name="Header2 3 2 2 4" xfId="9351"/>
    <cellStyle name="Header2 3 2 2 4 2" xfId="9352"/>
    <cellStyle name="Header2 3 2 2 4 2 2" xfId="9353"/>
    <cellStyle name="Header2 3 2 2 4 2 3" xfId="9354"/>
    <cellStyle name="Header2 3 2 2 4 3" xfId="9355"/>
    <cellStyle name="Header2 3 2 2 5" xfId="9356"/>
    <cellStyle name="Header2 3 2 2 5 2" xfId="9357"/>
    <cellStyle name="Header2 3 2 2 5 3" xfId="9358"/>
    <cellStyle name="Header2 3 2 2 6" xfId="9359"/>
    <cellStyle name="Header2 3 2 3" xfId="9360"/>
    <cellStyle name="Header2 3 3" xfId="9361"/>
    <cellStyle name="Header2 3 3 2" xfId="9362"/>
    <cellStyle name="Header2 3 3 2 2" xfId="9363"/>
    <cellStyle name="Header2 3 3 2 2 2" xfId="9364"/>
    <cellStyle name="Header2 3 3 2 2 2 2" xfId="9365"/>
    <cellStyle name="Header2 3 3 2 2 2 3" xfId="9366"/>
    <cellStyle name="Header2 3 3 2 2 3" xfId="9367"/>
    <cellStyle name="Header2 3 3 2 3" xfId="9368"/>
    <cellStyle name="Header2 3 3 3" xfId="9369"/>
    <cellStyle name="Header2 3 3 3 2" xfId="9370"/>
    <cellStyle name="Header2 3 3 3 2 2" xfId="9371"/>
    <cellStyle name="Header2 3 3 3 2 2 2" xfId="9372"/>
    <cellStyle name="Header2 3 3 3 2 2 3" xfId="9373"/>
    <cellStyle name="Header2 3 3 3 2 3" xfId="9374"/>
    <cellStyle name="Header2 3 3 3 3" xfId="9375"/>
    <cellStyle name="Header2 3 3 3 3 2" xfId="9376"/>
    <cellStyle name="Header2 3 3 3 3 3" xfId="9377"/>
    <cellStyle name="Header2 3 3 3 4" xfId="9378"/>
    <cellStyle name="Header2 3 3 4" xfId="9379"/>
    <cellStyle name="Header2 3 3 4 2" xfId="9380"/>
    <cellStyle name="Header2 3 3 4 2 2" xfId="9381"/>
    <cellStyle name="Header2 3 3 4 2 3" xfId="9382"/>
    <cellStyle name="Header2 3 3 4 3" xfId="9383"/>
    <cellStyle name="Header2 3 3 5" xfId="9384"/>
    <cellStyle name="Header2 3 3 5 2" xfId="9385"/>
    <cellStyle name="Header2 3 3 5 3" xfId="9386"/>
    <cellStyle name="Header2 3 3 6" xfId="9387"/>
    <cellStyle name="Header2 3 4" xfId="9388"/>
    <cellStyle name="Header2 4" xfId="9389"/>
    <cellStyle name="Header2 4 2" xfId="9390"/>
    <cellStyle name="Header2 4 2 2" xfId="9391"/>
    <cellStyle name="Header2 4 2 2 2" xfId="9392"/>
    <cellStyle name="Header2 4 2 2 2 2" xfId="9393"/>
    <cellStyle name="Header2 4 2 2 2 2 2" xfId="9394"/>
    <cellStyle name="Header2 4 2 2 2 2 3" xfId="9395"/>
    <cellStyle name="Header2 4 2 2 2 3" xfId="9396"/>
    <cellStyle name="Header2 4 2 2 3" xfId="9397"/>
    <cellStyle name="Header2 4 2 3" xfId="9398"/>
    <cellStyle name="Header2 4 2 3 2" xfId="9399"/>
    <cellStyle name="Header2 4 2 3 2 2" xfId="9400"/>
    <cellStyle name="Header2 4 2 3 2 2 2" xfId="9401"/>
    <cellStyle name="Header2 4 2 3 2 2 3" xfId="9402"/>
    <cellStyle name="Header2 4 2 3 2 3" xfId="9403"/>
    <cellStyle name="Header2 4 2 3 3" xfId="9404"/>
    <cellStyle name="Header2 4 2 3 3 2" xfId="9405"/>
    <cellStyle name="Header2 4 2 3 3 3" xfId="9406"/>
    <cellStyle name="Header2 4 2 3 4" xfId="9407"/>
    <cellStyle name="Header2 4 2 4" xfId="9408"/>
    <cellStyle name="Header2 4 2 4 2" xfId="9409"/>
    <cellStyle name="Header2 4 2 4 2 2" xfId="9410"/>
    <cellStyle name="Header2 4 2 4 2 3" xfId="9411"/>
    <cellStyle name="Header2 4 2 4 3" xfId="9412"/>
    <cellStyle name="Header2 4 2 5" xfId="9413"/>
    <cellStyle name="Header2 4 2 5 2" xfId="9414"/>
    <cellStyle name="Header2 4 2 5 3" xfId="9415"/>
    <cellStyle name="Header2 4 2 6" xfId="9416"/>
    <cellStyle name="Header2 4 3" xfId="9417"/>
    <cellStyle name="Header2 5" xfId="9418"/>
    <cellStyle name="Header2 5 2" xfId="9419"/>
    <cellStyle name="Header2 5 2 2" xfId="9420"/>
    <cellStyle name="Header2 5 2 2 2" xfId="9421"/>
    <cellStyle name="Header2 5 2 2 3" xfId="9422"/>
    <cellStyle name="Header2 5 2 3" xfId="9423"/>
    <cellStyle name="Header2 5 3" xfId="9424"/>
    <cellStyle name="Header2 6" xfId="9425"/>
    <cellStyle name="Header2 6 2" xfId="9426"/>
    <cellStyle name="Header2 6 2 2" xfId="9427"/>
    <cellStyle name="Header2 6 2 2 2" xfId="9428"/>
    <cellStyle name="Header2 6 2 2 2 2" xfId="9429"/>
    <cellStyle name="Header2 6 2 2 2 3" xfId="9430"/>
    <cellStyle name="Header2 6 2 2 3" xfId="9431"/>
    <cellStyle name="Header2 6 2 3" xfId="9432"/>
    <cellStyle name="Header2 6 3" xfId="9433"/>
    <cellStyle name="Header2 6 3 2" xfId="9434"/>
    <cellStyle name="Header2 6 3 2 2" xfId="9435"/>
    <cellStyle name="Header2 6 3 2 2 2" xfId="9436"/>
    <cellStyle name="Header2 6 3 2 2 3" xfId="9437"/>
    <cellStyle name="Header2 6 3 2 3" xfId="9438"/>
    <cellStyle name="Header2 6 3 3" xfId="9439"/>
    <cellStyle name="Header2 6 3 3 2" xfId="9440"/>
    <cellStyle name="Header2 6 3 3 3" xfId="9441"/>
    <cellStyle name="Header2 6 3 4" xfId="9442"/>
    <cellStyle name="Header2 6 4" xfId="9443"/>
    <cellStyle name="Header2 6 4 2" xfId="9444"/>
    <cellStyle name="Header2 6 4 2 2" xfId="9445"/>
    <cellStyle name="Header2 6 4 2 3" xfId="9446"/>
    <cellStyle name="Header2 6 4 3" xfId="9447"/>
    <cellStyle name="Header2 6 5" xfId="9448"/>
    <cellStyle name="Header2 6 5 2" xfId="9449"/>
    <cellStyle name="Header2 6 5 3" xfId="9450"/>
    <cellStyle name="Header2 6 6" xfId="9451"/>
    <cellStyle name="Header2 7" xfId="9452"/>
    <cellStyle name="Heading 1 2" xfId="9453"/>
    <cellStyle name="Heading 1 2 10" xfId="9454"/>
    <cellStyle name="Heading 1 2 10 2" xfId="9455"/>
    <cellStyle name="Heading 1 2 11" xfId="9456"/>
    <cellStyle name="Heading 1 2 12" xfId="9457"/>
    <cellStyle name="Heading 1 2 2" xfId="9458"/>
    <cellStyle name="Heading 1 2 2 2" xfId="9459"/>
    <cellStyle name="Heading 1 2 2 2 2" xfId="9460"/>
    <cellStyle name="Heading 1 2 2 3" xfId="9461"/>
    <cellStyle name="Heading 1 2 2 3 2" xfId="9462"/>
    <cellStyle name="Heading 1 2 2 3 2 2" xfId="9463"/>
    <cellStyle name="Heading 1 2 2 3 3" xfId="9464"/>
    <cellStyle name="Heading 1 2 2 4" xfId="9465"/>
    <cellStyle name="Heading 1 2 3" xfId="9466"/>
    <cellStyle name="Heading 1 2 3 2" xfId="9467"/>
    <cellStyle name="Heading 1 2 3 2 2" xfId="9468"/>
    <cellStyle name="Heading 1 2 3 3" xfId="9469"/>
    <cellStyle name="Heading 1 2 3 3 2" xfId="9470"/>
    <cellStyle name="Heading 1 2 3 3 2 2" xfId="9471"/>
    <cellStyle name="Heading 1 2 3 3 3" xfId="9472"/>
    <cellStyle name="Heading 1 2 3 4" xfId="9473"/>
    <cellStyle name="Heading 1 2 4" xfId="9474"/>
    <cellStyle name="Heading 1 2 4 2" xfId="9475"/>
    <cellStyle name="Heading 1 2 4 2 2" xfId="9476"/>
    <cellStyle name="Heading 1 2 4 3" xfId="9477"/>
    <cellStyle name="Heading 1 2 5" xfId="9478"/>
    <cellStyle name="Heading 1 2 5 2" xfId="9479"/>
    <cellStyle name="Heading 1 2 5 2 2" xfId="9480"/>
    <cellStyle name="Heading 1 2 5 3" xfId="9481"/>
    <cellStyle name="Heading 1 2 5 3 2" xfId="9482"/>
    <cellStyle name="Heading 1 2 5 3 2 2" xfId="9483"/>
    <cellStyle name="Heading 1 2 5 3 3" xfId="9484"/>
    <cellStyle name="Heading 1 2 5 4" xfId="9485"/>
    <cellStyle name="Heading 1 2 6" xfId="9486"/>
    <cellStyle name="Heading 1 2 6 2" xfId="9487"/>
    <cellStyle name="Heading 1 2 7" xfId="9488"/>
    <cellStyle name="Heading 1 2 7 2" xfId="9489"/>
    <cellStyle name="Heading 1 2 8" xfId="9490"/>
    <cellStyle name="Heading 1 2 8 2" xfId="9491"/>
    <cellStyle name="Heading 1 2 8 2 2" xfId="9492"/>
    <cellStyle name="Heading 1 2 8 3" xfId="9493"/>
    <cellStyle name="Heading 1 2 9" xfId="9494"/>
    <cellStyle name="Heading 1 2 9 2" xfId="9495"/>
    <cellStyle name="Heading 1 2 9 2 2" xfId="9496"/>
    <cellStyle name="Heading 1 2 9 3" xfId="9497"/>
    <cellStyle name="Heading 1 3" xfId="9498"/>
    <cellStyle name="Heading 1 3 2" xfId="9499"/>
    <cellStyle name="Heading 1 3 2 2" xfId="9500"/>
    <cellStyle name="Heading 1 3 3" xfId="9501"/>
    <cellStyle name="Heading 1 3 3 2" xfId="9502"/>
    <cellStyle name="Heading 1 3 4" xfId="9503"/>
    <cellStyle name="Heading 1 3 4 2" xfId="9504"/>
    <cellStyle name="Heading 1 3 4 2 2" xfId="9505"/>
    <cellStyle name="Heading 1 3 4 3" xfId="9506"/>
    <cellStyle name="Heading 1 3 5" xfId="9507"/>
    <cellStyle name="Heading 1 4" xfId="9508"/>
    <cellStyle name="Heading 1 4 2" xfId="9509"/>
    <cellStyle name="Heading 1 4 2 2" xfId="9510"/>
    <cellStyle name="Heading 1 4 3" xfId="9511"/>
    <cellStyle name="Heading 1 4 3 2" xfId="9512"/>
    <cellStyle name="Heading 1 4 3 2 2" xfId="9513"/>
    <cellStyle name="Heading 1 4 3 3" xfId="9514"/>
    <cellStyle name="Heading 1 4 4" xfId="9515"/>
    <cellStyle name="Heading 1 5" xfId="9516"/>
    <cellStyle name="Heading 1 5 2" xfId="9517"/>
    <cellStyle name="Heading 1 5 2 2" xfId="9518"/>
    <cellStyle name="Heading 1 5 3" xfId="9519"/>
    <cellStyle name="Heading 1 5 3 2" xfId="9520"/>
    <cellStyle name="Heading 1 5 3 2 2" xfId="9521"/>
    <cellStyle name="Heading 1 5 3 3" xfId="9522"/>
    <cellStyle name="Heading 1 5 4" xfId="9523"/>
    <cellStyle name="Heading 1 6" xfId="9524"/>
    <cellStyle name="Heading 1 6 2" xfId="9525"/>
    <cellStyle name="Heading 1 6 2 2" xfId="9526"/>
    <cellStyle name="Heading 1 6 3" xfId="9527"/>
    <cellStyle name="Heading 1 7" xfId="9528"/>
    <cellStyle name="Heading 1 7 2" xfId="9529"/>
    <cellStyle name="Heading 1 8" xfId="9530"/>
    <cellStyle name="Heading 1 9" xfId="9531"/>
    <cellStyle name="Heading 2 2" xfId="9532"/>
    <cellStyle name="Heading 2 2 10" xfId="9533"/>
    <cellStyle name="Heading 2 2 10 2" xfId="9534"/>
    <cellStyle name="Heading 2 2 11" xfId="9535"/>
    <cellStyle name="Heading 2 2 12" xfId="9536"/>
    <cellStyle name="Heading 2 2 2" xfId="9537"/>
    <cellStyle name="Heading 2 2 2 2" xfId="9538"/>
    <cellStyle name="Heading 2 2 2 2 2" xfId="9539"/>
    <cellStyle name="Heading 2 2 2 3" xfId="9540"/>
    <cellStyle name="Heading 2 2 2 3 2" xfId="9541"/>
    <cellStyle name="Heading 2 2 2 3 2 2" xfId="9542"/>
    <cellStyle name="Heading 2 2 2 3 3" xfId="9543"/>
    <cellStyle name="Heading 2 2 2 4" xfId="9544"/>
    <cellStyle name="Heading 2 2 3" xfId="9545"/>
    <cellStyle name="Heading 2 2 3 2" xfId="9546"/>
    <cellStyle name="Heading 2 2 3 2 2" xfId="9547"/>
    <cellStyle name="Heading 2 2 3 3" xfId="9548"/>
    <cellStyle name="Heading 2 2 3 3 2" xfId="9549"/>
    <cellStyle name="Heading 2 2 3 3 2 2" xfId="9550"/>
    <cellStyle name="Heading 2 2 3 3 3" xfId="9551"/>
    <cellStyle name="Heading 2 2 3 4" xfId="9552"/>
    <cellStyle name="Heading 2 2 4" xfId="9553"/>
    <cellStyle name="Heading 2 2 4 2" xfId="9554"/>
    <cellStyle name="Heading 2 2 4 2 2" xfId="9555"/>
    <cellStyle name="Heading 2 2 4 3" xfId="9556"/>
    <cellStyle name="Heading 2 2 5" xfId="9557"/>
    <cellStyle name="Heading 2 2 5 2" xfId="9558"/>
    <cellStyle name="Heading 2 2 5 2 2" xfId="9559"/>
    <cellStyle name="Heading 2 2 5 3" xfId="9560"/>
    <cellStyle name="Heading 2 2 5 3 2" xfId="9561"/>
    <cellStyle name="Heading 2 2 5 3 2 2" xfId="9562"/>
    <cellStyle name="Heading 2 2 5 3 3" xfId="9563"/>
    <cellStyle name="Heading 2 2 5 4" xfId="9564"/>
    <cellStyle name="Heading 2 2 6" xfId="9565"/>
    <cellStyle name="Heading 2 2 6 2" xfId="9566"/>
    <cellStyle name="Heading 2 2 6 2 2" xfId="9567"/>
    <cellStyle name="Heading 2 2 6 3" xfId="9568"/>
    <cellStyle name="Heading 2 2 6 3 2" xfId="9569"/>
    <cellStyle name="Heading 2 2 6 4" xfId="9570"/>
    <cellStyle name="Heading 2 2 7" xfId="9571"/>
    <cellStyle name="Heading 2 2 7 2" xfId="9572"/>
    <cellStyle name="Heading 2 2 8" xfId="9573"/>
    <cellStyle name="Heading 2 2 8 2" xfId="9574"/>
    <cellStyle name="Heading 2 2 8 2 2" xfId="9575"/>
    <cellStyle name="Heading 2 2 8 3" xfId="9576"/>
    <cellStyle name="Heading 2 2 9" xfId="9577"/>
    <cellStyle name="Heading 2 2 9 2" xfId="9578"/>
    <cellStyle name="Heading 2 2 9 2 2" xfId="9579"/>
    <cellStyle name="Heading 2 2 9 3" xfId="9580"/>
    <cellStyle name="Heading 2 3" xfId="9581"/>
    <cellStyle name="Heading 2 3 2" xfId="9582"/>
    <cellStyle name="Heading 2 3 2 2" xfId="9583"/>
    <cellStyle name="Heading 2 3 3" xfId="9584"/>
    <cellStyle name="Heading 2 3 3 2" xfId="9585"/>
    <cellStyle name="Heading 2 3 4" xfId="9586"/>
    <cellStyle name="Heading 2 3 4 2" xfId="9587"/>
    <cellStyle name="Heading 2 3 4 2 2" xfId="9588"/>
    <cellStyle name="Heading 2 3 4 3" xfId="9589"/>
    <cellStyle name="Heading 2 3 5" xfId="9590"/>
    <cellStyle name="Heading 2 4" xfId="9591"/>
    <cellStyle name="Heading 2 4 2" xfId="9592"/>
    <cellStyle name="Heading 2 4 2 2" xfId="9593"/>
    <cellStyle name="Heading 2 4 3" xfId="9594"/>
    <cellStyle name="Heading 2 4 3 2" xfId="9595"/>
    <cellStyle name="Heading 2 4 3 2 2" xfId="9596"/>
    <cellStyle name="Heading 2 4 3 3" xfId="9597"/>
    <cellStyle name="Heading 2 4 4" xfId="9598"/>
    <cellStyle name="Heading 2 5" xfId="9599"/>
    <cellStyle name="Heading 2 5 2" xfId="9600"/>
    <cellStyle name="Heading 2 5 2 2" xfId="9601"/>
    <cellStyle name="Heading 2 5 3" xfId="9602"/>
    <cellStyle name="Heading 2 5 3 2" xfId="9603"/>
    <cellStyle name="Heading 2 5 3 2 2" xfId="9604"/>
    <cellStyle name="Heading 2 5 3 3" xfId="9605"/>
    <cellStyle name="Heading 2 5 4" xfId="9606"/>
    <cellStyle name="Heading 2 6" xfId="9607"/>
    <cellStyle name="Heading 2 6 2" xfId="9608"/>
    <cellStyle name="Heading 2 6 2 2" xfId="9609"/>
    <cellStyle name="Heading 2 6 3" xfId="9610"/>
    <cellStyle name="Heading 2 7" xfId="9611"/>
    <cellStyle name="Heading 2 7 2" xfId="9612"/>
    <cellStyle name="Heading 2 8" xfId="9613"/>
    <cellStyle name="Heading 2 9" xfId="9614"/>
    <cellStyle name="Heading 3 2" xfId="9615"/>
    <cellStyle name="Heading 3 2 10" xfId="9616"/>
    <cellStyle name="Heading 3 2 10 2" xfId="9617"/>
    <cellStyle name="Heading 3 2 11" xfId="9618"/>
    <cellStyle name="Heading 3 2 12" xfId="9619"/>
    <cellStyle name="Heading 3 2 2" xfId="9620"/>
    <cellStyle name="Heading 3 2 2 2" xfId="9621"/>
    <cellStyle name="Heading 3 2 2 2 2" xfId="9622"/>
    <cellStyle name="Heading 3 2 2 3" xfId="9623"/>
    <cellStyle name="Heading 3 2 2 3 2" xfId="9624"/>
    <cellStyle name="Heading 3 2 2 3 2 2" xfId="9625"/>
    <cellStyle name="Heading 3 2 2 3 3" xfId="9626"/>
    <cellStyle name="Heading 3 2 2 4" xfId="9627"/>
    <cellStyle name="Heading 3 2 3" xfId="9628"/>
    <cellStyle name="Heading 3 2 3 2" xfId="9629"/>
    <cellStyle name="Heading 3 2 3 2 2" xfId="9630"/>
    <cellStyle name="Heading 3 2 3 3" xfId="9631"/>
    <cellStyle name="Heading 3 2 3 3 2" xfId="9632"/>
    <cellStyle name="Heading 3 2 3 3 2 2" xfId="9633"/>
    <cellStyle name="Heading 3 2 3 3 3" xfId="9634"/>
    <cellStyle name="Heading 3 2 3 4" xfId="9635"/>
    <cellStyle name="Heading 3 2 4" xfId="9636"/>
    <cellStyle name="Heading 3 2 4 2" xfId="9637"/>
    <cellStyle name="Heading 3 2 4 2 2" xfId="9638"/>
    <cellStyle name="Heading 3 2 4 3" xfId="9639"/>
    <cellStyle name="Heading 3 2 5" xfId="9640"/>
    <cellStyle name="Heading 3 2 5 2" xfId="9641"/>
    <cellStyle name="Heading 3 2 5 2 2" xfId="9642"/>
    <cellStyle name="Heading 3 2 5 3" xfId="9643"/>
    <cellStyle name="Heading 3 2 5 3 2" xfId="9644"/>
    <cellStyle name="Heading 3 2 5 3 2 2" xfId="9645"/>
    <cellStyle name="Heading 3 2 5 3 3" xfId="9646"/>
    <cellStyle name="Heading 3 2 5 4" xfId="9647"/>
    <cellStyle name="Heading 3 2 6" xfId="9648"/>
    <cellStyle name="Heading 3 2 6 2" xfId="9649"/>
    <cellStyle name="Heading 3 2 6 2 2" xfId="9650"/>
    <cellStyle name="Heading 3 2 6 3" xfId="9651"/>
    <cellStyle name="Heading 3 2 6 3 2" xfId="9652"/>
    <cellStyle name="Heading 3 2 6 4" xfId="9653"/>
    <cellStyle name="Heading 3 2 7" xfId="9654"/>
    <cellStyle name="Heading 3 2 7 2" xfId="9655"/>
    <cellStyle name="Heading 3 2 8" xfId="9656"/>
    <cellStyle name="Heading 3 2 8 2" xfId="9657"/>
    <cellStyle name="Heading 3 2 8 2 2" xfId="9658"/>
    <cellStyle name="Heading 3 2 8 3" xfId="9659"/>
    <cellStyle name="Heading 3 2 9" xfId="9660"/>
    <cellStyle name="Heading 3 2 9 2" xfId="9661"/>
    <cellStyle name="Heading 3 2 9 2 2" xfId="9662"/>
    <cellStyle name="Heading 3 2 9 3" xfId="9663"/>
    <cellStyle name="Heading 3 3" xfId="9664"/>
    <cellStyle name="Heading 3 3 2" xfId="9665"/>
    <cellStyle name="Heading 3 3 2 2" xfId="9666"/>
    <cellStyle name="Heading 3 3 3" xfId="9667"/>
    <cellStyle name="Heading 3 3 3 2" xfId="9668"/>
    <cellStyle name="Heading 3 3 4" xfId="9669"/>
    <cellStyle name="Heading 3 3 4 2" xfId="9670"/>
    <cellStyle name="Heading 3 3 4 2 2" xfId="9671"/>
    <cellStyle name="Heading 3 3 4 3" xfId="9672"/>
    <cellStyle name="Heading 3 3 5" xfId="9673"/>
    <cellStyle name="Heading 3 4" xfId="9674"/>
    <cellStyle name="Heading 3 4 2" xfId="9675"/>
    <cellStyle name="Heading 3 4 2 2" xfId="9676"/>
    <cellStyle name="Heading 3 4 3" xfId="9677"/>
    <cellStyle name="Heading 3 4 3 2" xfId="9678"/>
    <cellStyle name="Heading 3 4 3 2 2" xfId="9679"/>
    <cellStyle name="Heading 3 4 3 3" xfId="9680"/>
    <cellStyle name="Heading 3 4 4" xfId="9681"/>
    <cellStyle name="Heading 3 5" xfId="9682"/>
    <cellStyle name="Heading 3 5 2" xfId="9683"/>
    <cellStyle name="Heading 3 5 2 2" xfId="9684"/>
    <cellStyle name="Heading 3 5 3" xfId="9685"/>
    <cellStyle name="Heading 3 5 3 2" xfId="9686"/>
    <cellStyle name="Heading 3 5 3 2 2" xfId="9687"/>
    <cellStyle name="Heading 3 5 3 3" xfId="9688"/>
    <cellStyle name="Heading 3 5 4" xfId="9689"/>
    <cellStyle name="Heading 3 6" xfId="9690"/>
    <cellStyle name="Heading 3 6 2" xfId="9691"/>
    <cellStyle name="Heading 3 6 2 2" xfId="9692"/>
    <cellStyle name="Heading 3 6 3" xfId="9693"/>
    <cellStyle name="Heading 3 7" xfId="9694"/>
    <cellStyle name="Heading 3 7 2" xfId="9695"/>
    <cellStyle name="Heading 3 8" xfId="9696"/>
    <cellStyle name="Heading 3 9" xfId="9697"/>
    <cellStyle name="Heading 4 2" xfId="9698"/>
    <cellStyle name="Heading 4 2 10" xfId="9699"/>
    <cellStyle name="Heading 4 2 10 2" xfId="9700"/>
    <cellStyle name="Heading 4 2 11" xfId="9701"/>
    <cellStyle name="Heading 4 2 12" xfId="9702"/>
    <cellStyle name="Heading 4 2 2" xfId="9703"/>
    <cellStyle name="Heading 4 2 2 2" xfId="9704"/>
    <cellStyle name="Heading 4 2 2 2 2" xfId="9705"/>
    <cellStyle name="Heading 4 2 2 3" xfId="9706"/>
    <cellStyle name="Heading 4 2 2 3 2" xfId="9707"/>
    <cellStyle name="Heading 4 2 2 3 2 2" xfId="9708"/>
    <cellStyle name="Heading 4 2 2 3 3" xfId="9709"/>
    <cellStyle name="Heading 4 2 2 4" xfId="9710"/>
    <cellStyle name="Heading 4 2 3" xfId="9711"/>
    <cellStyle name="Heading 4 2 3 2" xfId="9712"/>
    <cellStyle name="Heading 4 2 3 2 2" xfId="9713"/>
    <cellStyle name="Heading 4 2 3 3" xfId="9714"/>
    <cellStyle name="Heading 4 2 3 3 2" xfId="9715"/>
    <cellStyle name="Heading 4 2 3 3 2 2" xfId="9716"/>
    <cellStyle name="Heading 4 2 3 3 3" xfId="9717"/>
    <cellStyle name="Heading 4 2 3 4" xfId="9718"/>
    <cellStyle name="Heading 4 2 4" xfId="9719"/>
    <cellStyle name="Heading 4 2 4 2" xfId="9720"/>
    <cellStyle name="Heading 4 2 4 2 2" xfId="9721"/>
    <cellStyle name="Heading 4 2 4 3" xfId="9722"/>
    <cellStyle name="Heading 4 2 5" xfId="9723"/>
    <cellStyle name="Heading 4 2 5 2" xfId="9724"/>
    <cellStyle name="Heading 4 2 5 2 2" xfId="9725"/>
    <cellStyle name="Heading 4 2 5 3" xfId="9726"/>
    <cellStyle name="Heading 4 2 5 3 2" xfId="9727"/>
    <cellStyle name="Heading 4 2 5 3 2 2" xfId="9728"/>
    <cellStyle name="Heading 4 2 5 3 3" xfId="9729"/>
    <cellStyle name="Heading 4 2 5 4" xfId="9730"/>
    <cellStyle name="Heading 4 2 6" xfId="9731"/>
    <cellStyle name="Heading 4 2 6 2" xfId="9732"/>
    <cellStyle name="Heading 4 2 7" xfId="9733"/>
    <cellStyle name="Heading 4 2 7 2" xfId="9734"/>
    <cellStyle name="Heading 4 2 8" xfId="9735"/>
    <cellStyle name="Heading 4 2 8 2" xfId="9736"/>
    <cellStyle name="Heading 4 2 8 2 2" xfId="9737"/>
    <cellStyle name="Heading 4 2 8 3" xfId="9738"/>
    <cellStyle name="Heading 4 2 9" xfId="9739"/>
    <cellStyle name="Heading 4 2 9 2" xfId="9740"/>
    <cellStyle name="Heading 4 2 9 2 2" xfId="9741"/>
    <cellStyle name="Heading 4 2 9 3" xfId="9742"/>
    <cellStyle name="Heading 4 3" xfId="9743"/>
    <cellStyle name="Heading 4 3 2" xfId="9744"/>
    <cellStyle name="Heading 4 3 2 2" xfId="9745"/>
    <cellStyle name="Heading 4 3 3" xfId="9746"/>
    <cellStyle name="Heading 4 3 3 2" xfId="9747"/>
    <cellStyle name="Heading 4 3 4" xfId="9748"/>
    <cellStyle name="Heading 4 3 4 2" xfId="9749"/>
    <cellStyle name="Heading 4 3 4 2 2" xfId="9750"/>
    <cellStyle name="Heading 4 3 4 3" xfId="9751"/>
    <cellStyle name="Heading 4 3 5" xfId="9752"/>
    <cellStyle name="Heading 4 4" xfId="9753"/>
    <cellStyle name="Heading 4 4 2" xfId="9754"/>
    <cellStyle name="Heading 4 4 2 2" xfId="9755"/>
    <cellStyle name="Heading 4 4 3" xfId="9756"/>
    <cellStyle name="Heading 4 4 3 2" xfId="9757"/>
    <cellStyle name="Heading 4 4 3 2 2" xfId="9758"/>
    <cellStyle name="Heading 4 4 3 3" xfId="9759"/>
    <cellStyle name="Heading 4 4 4" xfId="9760"/>
    <cellStyle name="Heading 4 5" xfId="9761"/>
    <cellStyle name="Heading 4 5 2" xfId="9762"/>
    <cellStyle name="Heading 4 5 2 2" xfId="9763"/>
    <cellStyle name="Heading 4 5 3" xfId="9764"/>
    <cellStyle name="Heading 4 5 3 2" xfId="9765"/>
    <cellStyle name="Heading 4 5 3 2 2" xfId="9766"/>
    <cellStyle name="Heading 4 5 3 3" xfId="9767"/>
    <cellStyle name="Heading 4 5 4" xfId="9768"/>
    <cellStyle name="Heading 4 6" xfId="9769"/>
    <cellStyle name="Heading 4 6 2" xfId="9770"/>
    <cellStyle name="Heading 4 6 2 2" xfId="9771"/>
    <cellStyle name="Heading 4 6 3" xfId="9772"/>
    <cellStyle name="Heading 4 7" xfId="9773"/>
    <cellStyle name="Heading 4 7 2" xfId="9774"/>
    <cellStyle name="Heading 4 8" xfId="9775"/>
    <cellStyle name="Heading 4 9" xfId="9776"/>
    <cellStyle name="Heading1" xfId="9777"/>
    <cellStyle name="Heading1 2" xfId="9778"/>
    <cellStyle name="Heading1 2 2" xfId="9779"/>
    <cellStyle name="Heading1 3" xfId="9780"/>
    <cellStyle name="Heading2" xfId="9781"/>
    <cellStyle name="Heading2 2" xfId="9782"/>
    <cellStyle name="Heading2 2 2" xfId="9783"/>
    <cellStyle name="Heading2 3" xfId="9784"/>
    <cellStyle name="HEADINGS" xfId="9785"/>
    <cellStyle name="HEADINGS 2" xfId="9786"/>
    <cellStyle name="HEADINGS 2 2" xfId="9787"/>
    <cellStyle name="HEADINGS 2 2 2" xfId="9788"/>
    <cellStyle name="HEADINGS 2 3" xfId="9789"/>
    <cellStyle name="HEADINGS 2 3 2" xfId="9790"/>
    <cellStyle name="HEADINGS 2 3 2 2" xfId="9791"/>
    <cellStyle name="HEADINGS 2 3 3" xfId="9792"/>
    <cellStyle name="HEADINGS 2 4" xfId="9793"/>
    <cellStyle name="HEADINGS 3" xfId="9794"/>
    <cellStyle name="HEADINGS 3 2" xfId="9795"/>
    <cellStyle name="HEADINGS 3 2 2" xfId="9796"/>
    <cellStyle name="HEADINGS 3 3" xfId="9797"/>
    <cellStyle name="HEADINGS 4" xfId="9798"/>
    <cellStyle name="HEADINGS 4 2" xfId="9799"/>
    <cellStyle name="HEADINGS 4 2 2" xfId="9800"/>
    <cellStyle name="HEADINGS 4 3" xfId="9801"/>
    <cellStyle name="HEADINGS 5" xfId="9802"/>
    <cellStyle name="HEADINGS 5 2" xfId="9803"/>
    <cellStyle name="HEADINGS 6" xfId="9804"/>
    <cellStyle name="HEADINGS 6 2" xfId="9805"/>
    <cellStyle name="HEADINGS 7" xfId="9806"/>
    <cellStyle name="HEADINGSTOP" xfId="9807"/>
    <cellStyle name="HEADINGSTOP 2" xfId="9808"/>
    <cellStyle name="HEADINGSTOP 2 2" xfId="9809"/>
    <cellStyle name="HEADINGSTOP 2 2 2" xfId="9810"/>
    <cellStyle name="HEADINGSTOP 2 3" xfId="9811"/>
    <cellStyle name="HEADINGSTOP 2 3 2" xfId="9812"/>
    <cellStyle name="HEADINGSTOP 2 3 2 2" xfId="9813"/>
    <cellStyle name="HEADINGSTOP 2 3 3" xfId="9814"/>
    <cellStyle name="HEADINGSTOP 2 4" xfId="9815"/>
    <cellStyle name="HEADINGSTOP 3" xfId="9816"/>
    <cellStyle name="HEADINGSTOP 3 2" xfId="9817"/>
    <cellStyle name="HEADINGSTOP 3 2 2" xfId="9818"/>
    <cellStyle name="HEADINGSTOP 3 3" xfId="9819"/>
    <cellStyle name="HEADINGSTOP 4" xfId="9820"/>
    <cellStyle name="HEADINGSTOP 4 2" xfId="9821"/>
    <cellStyle name="HEADINGSTOP 4 2 2" xfId="9822"/>
    <cellStyle name="HEADINGSTOP 4 3" xfId="9823"/>
    <cellStyle name="HEADINGSTOP 5" xfId="9824"/>
    <cellStyle name="HEADINGSTOP 5 2" xfId="9825"/>
    <cellStyle name="HEADINGSTOP 6" xfId="9826"/>
    <cellStyle name="HEADINGSTOP 6 2" xfId="9827"/>
    <cellStyle name="HEADINGSTOP 7" xfId="9828"/>
    <cellStyle name="Helvetica 12" xfId="9829"/>
    <cellStyle name="Helvetica 12 2" xfId="9830"/>
    <cellStyle name="Helvetica 12 2 2" xfId="9831"/>
    <cellStyle name="Helvetica 12 2 2 2" xfId="9832"/>
    <cellStyle name="Helvetica 12 2 3" xfId="9833"/>
    <cellStyle name="Helvetica 12 2 3 2" xfId="9834"/>
    <cellStyle name="Helvetica 12 2 3 2 2" xfId="9835"/>
    <cellStyle name="Helvetica 12 2 3 3" xfId="9836"/>
    <cellStyle name="Helvetica 12 2 4" xfId="9837"/>
    <cellStyle name="Helvetica 12 3" xfId="9838"/>
    <cellStyle name="Helvetica 12 3 2" xfId="9839"/>
    <cellStyle name="Helvetica 12 3 2 2" xfId="9840"/>
    <cellStyle name="Helvetica 12 3 3" xfId="9841"/>
    <cellStyle name="Helvetica 12 4" xfId="9842"/>
    <cellStyle name="Helvetica 12 4 2" xfId="9843"/>
    <cellStyle name="Helvetica 12 5" xfId="9844"/>
    <cellStyle name="Helvetica 12 5 2" xfId="9845"/>
    <cellStyle name="Helvetica 12 6" xfId="9846"/>
    <cellStyle name="Hidden" xfId="9847"/>
    <cellStyle name="Hidden 2" xfId="9848"/>
    <cellStyle name="HIGHLIGHT" xfId="9849"/>
    <cellStyle name="HIGHLIGHT 2" xfId="9850"/>
    <cellStyle name="HIGHLIGHT 2 2" xfId="9851"/>
    <cellStyle name="HIGHLIGHT 2 2 2" xfId="9852"/>
    <cellStyle name="HIGHLIGHT 2 2 2 2" xfId="9853"/>
    <cellStyle name="HIGHLIGHT 2 2 3" xfId="9854"/>
    <cellStyle name="HIGHLIGHT 2 2 3 2" xfId="9855"/>
    <cellStyle name="HIGHLIGHT 2 2 3 2 2" xfId="9856"/>
    <cellStyle name="HIGHLIGHT 2 2 3 3" xfId="9857"/>
    <cellStyle name="HIGHLIGHT 2 2 4" xfId="9858"/>
    <cellStyle name="HIGHLIGHT 2 3" xfId="9859"/>
    <cellStyle name="HIGHLIGHT 2 3 2" xfId="9860"/>
    <cellStyle name="HIGHLIGHT 2 4" xfId="9861"/>
    <cellStyle name="HIGHLIGHT 3" xfId="9862"/>
    <cellStyle name="HIGHLIGHT 3 2" xfId="9863"/>
    <cellStyle name="HIGHLIGHT 4" xfId="9864"/>
    <cellStyle name="HIGHLIGHT 4 2" xfId="9865"/>
    <cellStyle name="HIGHLIGHT 5" xfId="9866"/>
    <cellStyle name="Hyperlink" xfId="27" builtinId="8"/>
    <cellStyle name="Initial Inputs" xfId="9867"/>
    <cellStyle name="Initial Inputs 2" xfId="9868"/>
    <cellStyle name="Input [yellow]" xfId="9869"/>
    <cellStyle name="Input [yellow] 2" xfId="9870"/>
    <cellStyle name="Input 10" xfId="9871"/>
    <cellStyle name="Input 10 2" xfId="9872"/>
    <cellStyle name="Input 10 2 2" xfId="9873"/>
    <cellStyle name="Input 10 2 2 2" xfId="9874"/>
    <cellStyle name="Input 10 2 3" xfId="9875"/>
    <cellStyle name="Input 10 3" xfId="9876"/>
    <cellStyle name="Input 10 3 2" xfId="9877"/>
    <cellStyle name="Input 10 4" xfId="9878"/>
    <cellStyle name="Input 100" xfId="9879"/>
    <cellStyle name="Input 100 2" xfId="9880"/>
    <cellStyle name="Input 100 2 2" xfId="9881"/>
    <cellStyle name="Input 100 2 2 2" xfId="9882"/>
    <cellStyle name="Input 100 2 3" xfId="9883"/>
    <cellStyle name="Input 100 3" xfId="9884"/>
    <cellStyle name="Input 100 3 2" xfId="9885"/>
    <cellStyle name="Input 100 4" xfId="9886"/>
    <cellStyle name="Input 101" xfId="9887"/>
    <cellStyle name="Input 101 2" xfId="9888"/>
    <cellStyle name="Input 101 2 2" xfId="9889"/>
    <cellStyle name="Input 101 2 2 2" xfId="9890"/>
    <cellStyle name="Input 101 2 3" xfId="9891"/>
    <cellStyle name="Input 101 3" xfId="9892"/>
    <cellStyle name="Input 101 3 2" xfId="9893"/>
    <cellStyle name="Input 101 4" xfId="9894"/>
    <cellStyle name="Input 102" xfId="9895"/>
    <cellStyle name="Input 102 2" xfId="9896"/>
    <cellStyle name="Input 102 2 2" xfId="9897"/>
    <cellStyle name="Input 102 2 2 2" xfId="9898"/>
    <cellStyle name="Input 102 2 2 2 2" xfId="9899"/>
    <cellStyle name="Input 102 2 2 3" xfId="9900"/>
    <cellStyle name="Input 102 2 3" xfId="9901"/>
    <cellStyle name="Input 102 2 3 2" xfId="9902"/>
    <cellStyle name="Input 102 2 4" xfId="9903"/>
    <cellStyle name="Input 102 3" xfId="9904"/>
    <cellStyle name="Input 102 3 2" xfId="9905"/>
    <cellStyle name="Input 102 3 2 2" xfId="9906"/>
    <cellStyle name="Input 102 3 3" xfId="9907"/>
    <cellStyle name="Input 102 4" xfId="9908"/>
    <cellStyle name="Input 102 4 2" xfId="9909"/>
    <cellStyle name="Input 102 5" xfId="9910"/>
    <cellStyle name="Input 103" xfId="9911"/>
    <cellStyle name="Input 103 2" xfId="9912"/>
    <cellStyle name="Input 103 2 2" xfId="9913"/>
    <cellStyle name="Input 103 2 2 2" xfId="9914"/>
    <cellStyle name="Input 103 2 2 2 2" xfId="9915"/>
    <cellStyle name="Input 103 2 2 3" xfId="9916"/>
    <cellStyle name="Input 103 2 3" xfId="9917"/>
    <cellStyle name="Input 103 2 3 2" xfId="9918"/>
    <cellStyle name="Input 103 2 4" xfId="9919"/>
    <cellStyle name="Input 103 3" xfId="9920"/>
    <cellStyle name="Input 103 3 2" xfId="9921"/>
    <cellStyle name="Input 103 3 2 2" xfId="9922"/>
    <cellStyle name="Input 103 3 3" xfId="9923"/>
    <cellStyle name="Input 103 4" xfId="9924"/>
    <cellStyle name="Input 103 4 2" xfId="9925"/>
    <cellStyle name="Input 103 5" xfId="9926"/>
    <cellStyle name="Input 104" xfId="9927"/>
    <cellStyle name="Input 104 2" xfId="9928"/>
    <cellStyle name="Input 104 2 2" xfId="9929"/>
    <cellStyle name="Input 104 2 2 2" xfId="9930"/>
    <cellStyle name="Input 104 2 2 2 2" xfId="9931"/>
    <cellStyle name="Input 104 2 2 2 2 2" xfId="9932"/>
    <cellStyle name="Input 104 2 2 2 3" xfId="9933"/>
    <cellStyle name="Input 104 2 2 3" xfId="9934"/>
    <cellStyle name="Input 104 2 2 3 2" xfId="9935"/>
    <cellStyle name="Input 104 2 2 4" xfId="9936"/>
    <cellStyle name="Input 104 2 3" xfId="9937"/>
    <cellStyle name="Input 104 2 3 2" xfId="9938"/>
    <cellStyle name="Input 104 2 3 2 2" xfId="9939"/>
    <cellStyle name="Input 104 2 3 3" xfId="9940"/>
    <cellStyle name="Input 104 2 4" xfId="9941"/>
    <cellStyle name="Input 104 2 4 2" xfId="9942"/>
    <cellStyle name="Input 104 2 5" xfId="9943"/>
    <cellStyle name="Input 104 3" xfId="9944"/>
    <cellStyle name="Input 104 3 2" xfId="9945"/>
    <cellStyle name="Input 104 3 2 2" xfId="9946"/>
    <cellStyle name="Input 104 3 2 2 2" xfId="9947"/>
    <cellStyle name="Input 104 3 2 3" xfId="9948"/>
    <cellStyle name="Input 104 3 3" xfId="9949"/>
    <cellStyle name="Input 104 3 3 2" xfId="9950"/>
    <cellStyle name="Input 104 3 4" xfId="9951"/>
    <cellStyle name="Input 104 4" xfId="9952"/>
    <cellStyle name="Input 104 4 2" xfId="9953"/>
    <cellStyle name="Input 104 4 2 2" xfId="9954"/>
    <cellStyle name="Input 104 4 3" xfId="9955"/>
    <cellStyle name="Input 104 5" xfId="9956"/>
    <cellStyle name="Input 104 5 2" xfId="9957"/>
    <cellStyle name="Input 104 6" xfId="9958"/>
    <cellStyle name="Input 105" xfId="9959"/>
    <cellStyle name="Input 105 2" xfId="9960"/>
    <cellStyle name="Input 105 2 2" xfId="9961"/>
    <cellStyle name="Input 105 2 2 2" xfId="9962"/>
    <cellStyle name="Input 105 2 3" xfId="9963"/>
    <cellStyle name="Input 105 3" xfId="9964"/>
    <cellStyle name="Input 105 3 2" xfId="9965"/>
    <cellStyle name="Input 105 4" xfId="9966"/>
    <cellStyle name="Input 106" xfId="9967"/>
    <cellStyle name="Input 106 2" xfId="9968"/>
    <cellStyle name="Input 106 2 2" xfId="9969"/>
    <cellStyle name="Input 106 2 2 2" xfId="9970"/>
    <cellStyle name="Input 106 2 3" xfId="9971"/>
    <cellStyle name="Input 106 3" xfId="9972"/>
    <cellStyle name="Input 106 3 2" xfId="9973"/>
    <cellStyle name="Input 106 4" xfId="9974"/>
    <cellStyle name="Input 107" xfId="9975"/>
    <cellStyle name="Input 107 2" xfId="9976"/>
    <cellStyle name="Input 107 2 2" xfId="9977"/>
    <cellStyle name="Input 107 2 2 2" xfId="9978"/>
    <cellStyle name="Input 107 2 3" xfId="9979"/>
    <cellStyle name="Input 107 3" xfId="9980"/>
    <cellStyle name="Input 107 3 2" xfId="9981"/>
    <cellStyle name="Input 107 4" xfId="9982"/>
    <cellStyle name="Input 108" xfId="9983"/>
    <cellStyle name="Input 108 2" xfId="9984"/>
    <cellStyle name="Input 108 2 2" xfId="9985"/>
    <cellStyle name="Input 108 2 2 2" xfId="9986"/>
    <cellStyle name="Input 108 2 2 2 2" xfId="9987"/>
    <cellStyle name="Input 108 2 2 2 2 2" xfId="9988"/>
    <cellStyle name="Input 108 2 2 2 3" xfId="9989"/>
    <cellStyle name="Input 108 2 2 3" xfId="9990"/>
    <cellStyle name="Input 108 2 2 3 2" xfId="9991"/>
    <cellStyle name="Input 108 2 2 4" xfId="9992"/>
    <cellStyle name="Input 108 2 3" xfId="9993"/>
    <cellStyle name="Input 108 2 3 2" xfId="9994"/>
    <cellStyle name="Input 108 2 3 2 2" xfId="9995"/>
    <cellStyle name="Input 108 2 3 3" xfId="9996"/>
    <cellStyle name="Input 108 2 4" xfId="9997"/>
    <cellStyle name="Input 108 2 4 2" xfId="9998"/>
    <cellStyle name="Input 108 2 5" xfId="9999"/>
    <cellStyle name="Input 108 3" xfId="10000"/>
    <cellStyle name="Input 108 3 2" xfId="10001"/>
    <cellStyle name="Input 108 3 2 2" xfId="10002"/>
    <cellStyle name="Input 108 3 2 2 2" xfId="10003"/>
    <cellStyle name="Input 108 3 2 3" xfId="10004"/>
    <cellStyle name="Input 108 3 3" xfId="10005"/>
    <cellStyle name="Input 108 3 3 2" xfId="10006"/>
    <cellStyle name="Input 108 3 4" xfId="10007"/>
    <cellStyle name="Input 108 4" xfId="10008"/>
    <cellStyle name="Input 108 4 2" xfId="10009"/>
    <cellStyle name="Input 108 4 2 2" xfId="10010"/>
    <cellStyle name="Input 108 4 3" xfId="10011"/>
    <cellStyle name="Input 108 5" xfId="10012"/>
    <cellStyle name="Input 108 5 2" xfId="10013"/>
    <cellStyle name="Input 108 6" xfId="10014"/>
    <cellStyle name="Input 109" xfId="10015"/>
    <cellStyle name="Input 109 2" xfId="10016"/>
    <cellStyle name="Input 109 2 2" xfId="10017"/>
    <cellStyle name="Input 109 2 2 2" xfId="10018"/>
    <cellStyle name="Input 109 2 2 2 2" xfId="10019"/>
    <cellStyle name="Input 109 2 2 2 2 2" xfId="10020"/>
    <cellStyle name="Input 109 2 2 2 3" xfId="10021"/>
    <cellStyle name="Input 109 2 2 3" xfId="10022"/>
    <cellStyle name="Input 109 2 2 3 2" xfId="10023"/>
    <cellStyle name="Input 109 2 2 4" xfId="10024"/>
    <cellStyle name="Input 109 2 3" xfId="10025"/>
    <cellStyle name="Input 109 2 3 2" xfId="10026"/>
    <cellStyle name="Input 109 2 3 2 2" xfId="10027"/>
    <cellStyle name="Input 109 2 3 3" xfId="10028"/>
    <cellStyle name="Input 109 2 4" xfId="10029"/>
    <cellStyle name="Input 109 2 4 2" xfId="10030"/>
    <cellStyle name="Input 109 2 5" xfId="10031"/>
    <cellStyle name="Input 109 3" xfId="10032"/>
    <cellStyle name="Input 109 3 2" xfId="10033"/>
    <cellStyle name="Input 109 3 2 2" xfId="10034"/>
    <cellStyle name="Input 109 3 2 2 2" xfId="10035"/>
    <cellStyle name="Input 109 3 2 3" xfId="10036"/>
    <cellStyle name="Input 109 3 3" xfId="10037"/>
    <cellStyle name="Input 109 3 3 2" xfId="10038"/>
    <cellStyle name="Input 109 3 4" xfId="10039"/>
    <cellStyle name="Input 109 4" xfId="10040"/>
    <cellStyle name="Input 109 4 2" xfId="10041"/>
    <cellStyle name="Input 109 4 2 2" xfId="10042"/>
    <cellStyle name="Input 109 4 3" xfId="10043"/>
    <cellStyle name="Input 109 5" xfId="10044"/>
    <cellStyle name="Input 109 5 2" xfId="10045"/>
    <cellStyle name="Input 109 6" xfId="10046"/>
    <cellStyle name="Input 11" xfId="10047"/>
    <cellStyle name="Input 11 2" xfId="10048"/>
    <cellStyle name="Input 11 2 2" xfId="10049"/>
    <cellStyle name="Input 11 2 2 2" xfId="10050"/>
    <cellStyle name="Input 11 2 3" xfId="10051"/>
    <cellStyle name="Input 11 3" xfId="10052"/>
    <cellStyle name="Input 11 3 2" xfId="10053"/>
    <cellStyle name="Input 11 4" xfId="10054"/>
    <cellStyle name="Input 110" xfId="10055"/>
    <cellStyle name="Input 110 2" xfId="10056"/>
    <cellStyle name="Input 110 2 2" xfId="10057"/>
    <cellStyle name="Input 110 2 2 2" xfId="10058"/>
    <cellStyle name="Input 110 2 2 2 2" xfId="10059"/>
    <cellStyle name="Input 110 2 2 2 2 2" xfId="10060"/>
    <cellStyle name="Input 110 2 2 2 3" xfId="10061"/>
    <cellStyle name="Input 110 2 2 3" xfId="10062"/>
    <cellStyle name="Input 110 2 2 3 2" xfId="10063"/>
    <cellStyle name="Input 110 2 2 4" xfId="10064"/>
    <cellStyle name="Input 110 2 3" xfId="10065"/>
    <cellStyle name="Input 110 2 3 2" xfId="10066"/>
    <cellStyle name="Input 110 2 3 2 2" xfId="10067"/>
    <cellStyle name="Input 110 2 3 3" xfId="10068"/>
    <cellStyle name="Input 110 2 4" xfId="10069"/>
    <cellStyle name="Input 110 2 4 2" xfId="10070"/>
    <cellStyle name="Input 110 2 5" xfId="10071"/>
    <cellStyle name="Input 110 3" xfId="10072"/>
    <cellStyle name="Input 110 3 2" xfId="10073"/>
    <cellStyle name="Input 110 3 2 2" xfId="10074"/>
    <cellStyle name="Input 110 3 2 2 2" xfId="10075"/>
    <cellStyle name="Input 110 3 2 3" xfId="10076"/>
    <cellStyle name="Input 110 3 3" xfId="10077"/>
    <cellStyle name="Input 110 3 3 2" xfId="10078"/>
    <cellStyle name="Input 110 3 4" xfId="10079"/>
    <cellStyle name="Input 110 4" xfId="10080"/>
    <cellStyle name="Input 110 4 2" xfId="10081"/>
    <cellStyle name="Input 110 4 2 2" xfId="10082"/>
    <cellStyle name="Input 110 4 3" xfId="10083"/>
    <cellStyle name="Input 110 5" xfId="10084"/>
    <cellStyle name="Input 110 5 2" xfId="10085"/>
    <cellStyle name="Input 110 6" xfId="10086"/>
    <cellStyle name="Input 111" xfId="10087"/>
    <cellStyle name="Input 111 2" xfId="10088"/>
    <cellStyle name="Input 111 2 2" xfId="10089"/>
    <cellStyle name="Input 111 2 2 2" xfId="10090"/>
    <cellStyle name="Input 111 2 2 2 2" xfId="10091"/>
    <cellStyle name="Input 111 2 2 2 2 2" xfId="10092"/>
    <cellStyle name="Input 111 2 2 2 3" xfId="10093"/>
    <cellStyle name="Input 111 2 2 3" xfId="10094"/>
    <cellStyle name="Input 111 2 2 3 2" xfId="10095"/>
    <cellStyle name="Input 111 2 2 4" xfId="10096"/>
    <cellStyle name="Input 111 2 3" xfId="10097"/>
    <cellStyle name="Input 111 2 3 2" xfId="10098"/>
    <cellStyle name="Input 111 2 3 2 2" xfId="10099"/>
    <cellStyle name="Input 111 2 3 3" xfId="10100"/>
    <cellStyle name="Input 111 2 4" xfId="10101"/>
    <cellStyle name="Input 111 2 4 2" xfId="10102"/>
    <cellStyle name="Input 111 2 5" xfId="10103"/>
    <cellStyle name="Input 111 3" xfId="10104"/>
    <cellStyle name="Input 111 3 2" xfId="10105"/>
    <cellStyle name="Input 111 3 2 2" xfId="10106"/>
    <cellStyle name="Input 111 3 2 2 2" xfId="10107"/>
    <cellStyle name="Input 111 3 2 3" xfId="10108"/>
    <cellStyle name="Input 111 3 3" xfId="10109"/>
    <cellStyle name="Input 111 3 3 2" xfId="10110"/>
    <cellStyle name="Input 111 3 4" xfId="10111"/>
    <cellStyle name="Input 111 4" xfId="10112"/>
    <cellStyle name="Input 111 4 2" xfId="10113"/>
    <cellStyle name="Input 111 4 2 2" xfId="10114"/>
    <cellStyle name="Input 111 4 3" xfId="10115"/>
    <cellStyle name="Input 111 5" xfId="10116"/>
    <cellStyle name="Input 111 5 2" xfId="10117"/>
    <cellStyle name="Input 111 6" xfId="10118"/>
    <cellStyle name="Input 112" xfId="10119"/>
    <cellStyle name="Input 112 2" xfId="10120"/>
    <cellStyle name="Input 112 2 2" xfId="10121"/>
    <cellStyle name="Input 112 2 2 2" xfId="10122"/>
    <cellStyle name="Input 112 2 2 2 2" xfId="10123"/>
    <cellStyle name="Input 112 2 2 2 2 2" xfId="10124"/>
    <cellStyle name="Input 112 2 2 2 3" xfId="10125"/>
    <cellStyle name="Input 112 2 2 3" xfId="10126"/>
    <cellStyle name="Input 112 2 2 3 2" xfId="10127"/>
    <cellStyle name="Input 112 2 2 4" xfId="10128"/>
    <cellStyle name="Input 112 2 3" xfId="10129"/>
    <cellStyle name="Input 112 2 3 2" xfId="10130"/>
    <cellStyle name="Input 112 2 3 2 2" xfId="10131"/>
    <cellStyle name="Input 112 2 3 3" xfId="10132"/>
    <cellStyle name="Input 112 2 4" xfId="10133"/>
    <cellStyle name="Input 112 2 4 2" xfId="10134"/>
    <cellStyle name="Input 112 2 5" xfId="10135"/>
    <cellStyle name="Input 112 3" xfId="10136"/>
    <cellStyle name="Input 112 3 2" xfId="10137"/>
    <cellStyle name="Input 112 3 2 2" xfId="10138"/>
    <cellStyle name="Input 112 3 2 2 2" xfId="10139"/>
    <cellStyle name="Input 112 3 2 3" xfId="10140"/>
    <cellStyle name="Input 112 3 3" xfId="10141"/>
    <cellStyle name="Input 112 3 3 2" xfId="10142"/>
    <cellStyle name="Input 112 3 4" xfId="10143"/>
    <cellStyle name="Input 112 4" xfId="10144"/>
    <cellStyle name="Input 112 4 2" xfId="10145"/>
    <cellStyle name="Input 112 4 2 2" xfId="10146"/>
    <cellStyle name="Input 112 4 3" xfId="10147"/>
    <cellStyle name="Input 112 5" xfId="10148"/>
    <cellStyle name="Input 112 5 2" xfId="10149"/>
    <cellStyle name="Input 112 6" xfId="10150"/>
    <cellStyle name="Input 113" xfId="10151"/>
    <cellStyle name="Input 113 2" xfId="10152"/>
    <cellStyle name="Input 113 2 2" xfId="10153"/>
    <cellStyle name="Input 113 2 2 2" xfId="10154"/>
    <cellStyle name="Input 113 2 2 2 2" xfId="10155"/>
    <cellStyle name="Input 113 2 2 2 2 2" xfId="10156"/>
    <cellStyle name="Input 113 2 2 2 3" xfId="10157"/>
    <cellStyle name="Input 113 2 2 3" xfId="10158"/>
    <cellStyle name="Input 113 2 2 3 2" xfId="10159"/>
    <cellStyle name="Input 113 2 2 4" xfId="10160"/>
    <cellStyle name="Input 113 2 3" xfId="10161"/>
    <cellStyle name="Input 113 2 3 2" xfId="10162"/>
    <cellStyle name="Input 113 2 3 2 2" xfId="10163"/>
    <cellStyle name="Input 113 2 3 3" xfId="10164"/>
    <cellStyle name="Input 113 2 4" xfId="10165"/>
    <cellStyle name="Input 113 2 4 2" xfId="10166"/>
    <cellStyle name="Input 113 2 5" xfId="10167"/>
    <cellStyle name="Input 113 3" xfId="10168"/>
    <cellStyle name="Input 113 3 2" xfId="10169"/>
    <cellStyle name="Input 113 3 2 2" xfId="10170"/>
    <cellStyle name="Input 113 3 2 2 2" xfId="10171"/>
    <cellStyle name="Input 113 3 2 3" xfId="10172"/>
    <cellStyle name="Input 113 3 3" xfId="10173"/>
    <cellStyle name="Input 113 3 3 2" xfId="10174"/>
    <cellStyle name="Input 113 3 4" xfId="10175"/>
    <cellStyle name="Input 113 4" xfId="10176"/>
    <cellStyle name="Input 113 4 2" xfId="10177"/>
    <cellStyle name="Input 113 4 2 2" xfId="10178"/>
    <cellStyle name="Input 113 4 3" xfId="10179"/>
    <cellStyle name="Input 113 5" xfId="10180"/>
    <cellStyle name="Input 113 5 2" xfId="10181"/>
    <cellStyle name="Input 113 6" xfId="10182"/>
    <cellStyle name="Input 114" xfId="10183"/>
    <cellStyle name="Input 114 2" xfId="10184"/>
    <cellStyle name="Input 114 2 2" xfId="10185"/>
    <cellStyle name="Input 114 2 2 2" xfId="10186"/>
    <cellStyle name="Input 114 2 2 2 2" xfId="10187"/>
    <cellStyle name="Input 114 2 2 3" xfId="10188"/>
    <cellStyle name="Input 114 2 3" xfId="10189"/>
    <cellStyle name="Input 114 2 3 2" xfId="10190"/>
    <cellStyle name="Input 114 2 4" xfId="10191"/>
    <cellStyle name="Input 114 3" xfId="10192"/>
    <cellStyle name="Input 114 3 2" xfId="10193"/>
    <cellStyle name="Input 114 3 2 2" xfId="10194"/>
    <cellStyle name="Input 114 3 3" xfId="10195"/>
    <cellStyle name="Input 114 4" xfId="10196"/>
    <cellStyle name="Input 114 4 2" xfId="10197"/>
    <cellStyle name="Input 114 5" xfId="10198"/>
    <cellStyle name="Input 115" xfId="10199"/>
    <cellStyle name="Input 115 2" xfId="10200"/>
    <cellStyle name="Input 115 2 2" xfId="10201"/>
    <cellStyle name="Input 115 2 2 2" xfId="10202"/>
    <cellStyle name="Input 115 2 2 2 2" xfId="10203"/>
    <cellStyle name="Input 115 2 2 3" xfId="10204"/>
    <cellStyle name="Input 115 2 3" xfId="10205"/>
    <cellStyle name="Input 115 2 3 2" xfId="10206"/>
    <cellStyle name="Input 115 2 4" xfId="10207"/>
    <cellStyle name="Input 115 3" xfId="10208"/>
    <cellStyle name="Input 115 3 2" xfId="10209"/>
    <cellStyle name="Input 115 3 2 2" xfId="10210"/>
    <cellStyle name="Input 115 3 3" xfId="10211"/>
    <cellStyle name="Input 115 4" xfId="10212"/>
    <cellStyle name="Input 115 4 2" xfId="10213"/>
    <cellStyle name="Input 115 5" xfId="10214"/>
    <cellStyle name="Input 116" xfId="10215"/>
    <cellStyle name="Input 116 2" xfId="10216"/>
    <cellStyle name="Input 116 2 2" xfId="10217"/>
    <cellStyle name="Input 116 2 2 2" xfId="10218"/>
    <cellStyle name="Input 116 2 2 2 2" xfId="10219"/>
    <cellStyle name="Input 116 2 2 3" xfId="10220"/>
    <cellStyle name="Input 116 2 3" xfId="10221"/>
    <cellStyle name="Input 116 2 3 2" xfId="10222"/>
    <cellStyle name="Input 116 2 4" xfId="10223"/>
    <cellStyle name="Input 116 3" xfId="10224"/>
    <cellStyle name="Input 116 3 2" xfId="10225"/>
    <cellStyle name="Input 116 3 2 2" xfId="10226"/>
    <cellStyle name="Input 116 3 3" xfId="10227"/>
    <cellStyle name="Input 116 4" xfId="10228"/>
    <cellStyle name="Input 116 4 2" xfId="10229"/>
    <cellStyle name="Input 116 5" xfId="10230"/>
    <cellStyle name="Input 117" xfId="10231"/>
    <cellStyle name="Input 117 2" xfId="10232"/>
    <cellStyle name="Input 117 2 2" xfId="10233"/>
    <cellStyle name="Input 117 2 2 2" xfId="10234"/>
    <cellStyle name="Input 117 2 2 2 2" xfId="10235"/>
    <cellStyle name="Input 117 2 2 3" xfId="10236"/>
    <cellStyle name="Input 117 2 3" xfId="10237"/>
    <cellStyle name="Input 117 2 3 2" xfId="10238"/>
    <cellStyle name="Input 117 2 4" xfId="10239"/>
    <cellStyle name="Input 117 3" xfId="10240"/>
    <cellStyle name="Input 117 3 2" xfId="10241"/>
    <cellStyle name="Input 117 3 2 2" xfId="10242"/>
    <cellStyle name="Input 117 3 3" xfId="10243"/>
    <cellStyle name="Input 117 4" xfId="10244"/>
    <cellStyle name="Input 117 4 2" xfId="10245"/>
    <cellStyle name="Input 117 5" xfId="10246"/>
    <cellStyle name="Input 118" xfId="10247"/>
    <cellStyle name="Input 118 2" xfId="10248"/>
    <cellStyle name="Input 118 2 2" xfId="10249"/>
    <cellStyle name="Input 118 3" xfId="10250"/>
    <cellStyle name="Input 119" xfId="10251"/>
    <cellStyle name="Input 119 2" xfId="10252"/>
    <cellStyle name="Input 119 3" xfId="10253"/>
    <cellStyle name="Input 12" xfId="10254"/>
    <cellStyle name="Input 12 2" xfId="10255"/>
    <cellStyle name="Input 12 2 2" xfId="10256"/>
    <cellStyle name="Input 12 2 2 2" xfId="10257"/>
    <cellStyle name="Input 12 2 3" xfId="10258"/>
    <cellStyle name="Input 12 3" xfId="10259"/>
    <cellStyle name="Input 12 3 2" xfId="10260"/>
    <cellStyle name="Input 12 4" xfId="10261"/>
    <cellStyle name="Input 120" xfId="10262"/>
    <cellStyle name="Input 120 2" xfId="10263"/>
    <cellStyle name="Input 120 3" xfId="10264"/>
    <cellStyle name="Input 121" xfId="10265"/>
    <cellStyle name="Input 121 2" xfId="10266"/>
    <cellStyle name="Input 122" xfId="10267"/>
    <cellStyle name="Input 122 2" xfId="10268"/>
    <cellStyle name="Input 122 3" xfId="10269"/>
    <cellStyle name="Input 123" xfId="10270"/>
    <cellStyle name="Input 123 2" xfId="10271"/>
    <cellStyle name="Input 124" xfId="10272"/>
    <cellStyle name="Input 124 2" xfId="10273"/>
    <cellStyle name="Input 125" xfId="10274"/>
    <cellStyle name="Input 125 2" xfId="10275"/>
    <cellStyle name="Input 126" xfId="10276"/>
    <cellStyle name="Input 127" xfId="10277"/>
    <cellStyle name="Input 128" xfId="10278"/>
    <cellStyle name="Input 129" xfId="10279"/>
    <cellStyle name="Input 13" xfId="10280"/>
    <cellStyle name="Input 13 2" xfId="10281"/>
    <cellStyle name="Input 13 2 2" xfId="10282"/>
    <cellStyle name="Input 13 2 2 2" xfId="10283"/>
    <cellStyle name="Input 13 2 3" xfId="10284"/>
    <cellStyle name="Input 13 3" xfId="10285"/>
    <cellStyle name="Input 13 3 2" xfId="10286"/>
    <cellStyle name="Input 13 4" xfId="10287"/>
    <cellStyle name="Input 130" xfId="10288"/>
    <cellStyle name="Input 131" xfId="10289"/>
    <cellStyle name="Input 132" xfId="10290"/>
    <cellStyle name="Input 133" xfId="10291"/>
    <cellStyle name="Input 134" xfId="10292"/>
    <cellStyle name="Input 135" xfId="10293"/>
    <cellStyle name="Input 136" xfId="10294"/>
    <cellStyle name="Input 137" xfId="10295"/>
    <cellStyle name="Input 138" xfId="10296"/>
    <cellStyle name="Input 139" xfId="10297"/>
    <cellStyle name="Input 14" xfId="10298"/>
    <cellStyle name="Input 14 2" xfId="10299"/>
    <cellStyle name="Input 14 2 2" xfId="10300"/>
    <cellStyle name="Input 14 2 2 2" xfId="10301"/>
    <cellStyle name="Input 14 2 3" xfId="10302"/>
    <cellStyle name="Input 14 3" xfId="10303"/>
    <cellStyle name="Input 14 3 2" xfId="10304"/>
    <cellStyle name="Input 14 4" xfId="10305"/>
    <cellStyle name="Input 140" xfId="10306"/>
    <cellStyle name="Input 141" xfId="10307"/>
    <cellStyle name="Input 142" xfId="10308"/>
    <cellStyle name="Input 143" xfId="10309"/>
    <cellStyle name="Input 144" xfId="10310"/>
    <cellStyle name="Input 145" xfId="10311"/>
    <cellStyle name="Input 146" xfId="10312"/>
    <cellStyle name="Input 147" xfId="10313"/>
    <cellStyle name="Input 148" xfId="10314"/>
    <cellStyle name="Input 149" xfId="10315"/>
    <cellStyle name="Input 15" xfId="10316"/>
    <cellStyle name="Input 15 2" xfId="10317"/>
    <cellStyle name="Input 15 2 2" xfId="10318"/>
    <cellStyle name="Input 15 2 2 2" xfId="10319"/>
    <cellStyle name="Input 15 2 3" xfId="10320"/>
    <cellStyle name="Input 15 3" xfId="10321"/>
    <cellStyle name="Input 15 3 2" xfId="10322"/>
    <cellStyle name="Input 15 4" xfId="10323"/>
    <cellStyle name="Input 150" xfId="10324"/>
    <cellStyle name="Input 151" xfId="10325"/>
    <cellStyle name="Input 152" xfId="10326"/>
    <cellStyle name="Input 153" xfId="10327"/>
    <cellStyle name="Input 154" xfId="10328"/>
    <cellStyle name="Input 155" xfId="10329"/>
    <cellStyle name="Input 156" xfId="10330"/>
    <cellStyle name="Input 157" xfId="10331"/>
    <cellStyle name="Input 158" xfId="10332"/>
    <cellStyle name="Input 159" xfId="10333"/>
    <cellStyle name="Input 16" xfId="10334"/>
    <cellStyle name="Input 16 2" xfId="10335"/>
    <cellStyle name="Input 16 2 2" xfId="10336"/>
    <cellStyle name="Input 16 2 2 2" xfId="10337"/>
    <cellStyle name="Input 16 2 3" xfId="10338"/>
    <cellStyle name="Input 16 3" xfId="10339"/>
    <cellStyle name="Input 16 3 2" xfId="10340"/>
    <cellStyle name="Input 16 4" xfId="10341"/>
    <cellStyle name="Input 160" xfId="10342"/>
    <cellStyle name="Input 161" xfId="10343"/>
    <cellStyle name="Input 162" xfId="10344"/>
    <cellStyle name="Input 163" xfId="10345"/>
    <cellStyle name="Input 164" xfId="10346"/>
    <cellStyle name="Input 165" xfId="10347"/>
    <cellStyle name="Input 166" xfId="10348"/>
    <cellStyle name="Input 167" xfId="10349"/>
    <cellStyle name="Input 168" xfId="10350"/>
    <cellStyle name="Input 169" xfId="10351"/>
    <cellStyle name="Input 17" xfId="10352"/>
    <cellStyle name="Input 17 2" xfId="10353"/>
    <cellStyle name="Input 17 2 2" xfId="10354"/>
    <cellStyle name="Input 17 2 2 2" xfId="10355"/>
    <cellStyle name="Input 17 2 3" xfId="10356"/>
    <cellStyle name="Input 17 3" xfId="10357"/>
    <cellStyle name="Input 17 3 2" xfId="10358"/>
    <cellStyle name="Input 17 4" xfId="10359"/>
    <cellStyle name="Input 170" xfId="10360"/>
    <cellStyle name="Input 171" xfId="10361"/>
    <cellStyle name="Input 172" xfId="10362"/>
    <cellStyle name="Input 173" xfId="10363"/>
    <cellStyle name="Input 174" xfId="10364"/>
    <cellStyle name="Input 175" xfId="10365"/>
    <cellStyle name="Input 176" xfId="10366"/>
    <cellStyle name="Input 177" xfId="10367"/>
    <cellStyle name="Input 178" xfId="10368"/>
    <cellStyle name="Input 179" xfId="10369"/>
    <cellStyle name="Input 18" xfId="10370"/>
    <cellStyle name="Input 18 2" xfId="10371"/>
    <cellStyle name="Input 18 2 2" xfId="10372"/>
    <cellStyle name="Input 18 2 2 2" xfId="10373"/>
    <cellStyle name="Input 18 2 3" xfId="10374"/>
    <cellStyle name="Input 18 3" xfId="10375"/>
    <cellStyle name="Input 18 3 2" xfId="10376"/>
    <cellStyle name="Input 18 4" xfId="10377"/>
    <cellStyle name="Input 19" xfId="10378"/>
    <cellStyle name="Input 19 2" xfId="10379"/>
    <cellStyle name="Input 19 2 2" xfId="10380"/>
    <cellStyle name="Input 19 2 2 2" xfId="10381"/>
    <cellStyle name="Input 19 2 3" xfId="10382"/>
    <cellStyle name="Input 19 3" xfId="10383"/>
    <cellStyle name="Input 19 3 2" xfId="10384"/>
    <cellStyle name="Input 19 4" xfId="10385"/>
    <cellStyle name="Input 2" xfId="10386"/>
    <cellStyle name="Input 2 10" xfId="10387"/>
    <cellStyle name="Input 2 10 2" xfId="10388"/>
    <cellStyle name="Input 2 10 3" xfId="10389"/>
    <cellStyle name="Input 2 11" xfId="10390"/>
    <cellStyle name="Input 2 11 2" xfId="10391"/>
    <cellStyle name="Input 2 12" xfId="10392"/>
    <cellStyle name="Input 2 13" xfId="10393"/>
    <cellStyle name="Input 2 2" xfId="10394"/>
    <cellStyle name="Input 2 2 2" xfId="10395"/>
    <cellStyle name="Input 2 2 2 2" xfId="10396"/>
    <cellStyle name="Input 2 2 3" xfId="10397"/>
    <cellStyle name="Input 2 2 3 2" xfId="10398"/>
    <cellStyle name="Input 2 2 3 2 2" xfId="10399"/>
    <cellStyle name="Input 2 2 3 3" xfId="10400"/>
    <cellStyle name="Input 2 2 4" xfId="10401"/>
    <cellStyle name="Input 2 3" xfId="10402"/>
    <cellStyle name="Input 2 3 2" xfId="10403"/>
    <cellStyle name="Input 2 3 2 2" xfId="10404"/>
    <cellStyle name="Input 2 3 2 2 2" xfId="10405"/>
    <cellStyle name="Input 2 3 2 3" xfId="10406"/>
    <cellStyle name="Input 2 3 3" xfId="10407"/>
    <cellStyle name="Input 2 3 3 2" xfId="10408"/>
    <cellStyle name="Input 2 3 3 2 2" xfId="10409"/>
    <cellStyle name="Input 2 3 3 2 2 2" xfId="10410"/>
    <cellStyle name="Input 2 3 3 2 3" xfId="10411"/>
    <cellStyle name="Input 2 3 3 3" xfId="10412"/>
    <cellStyle name="Input 2 3 3 3 2" xfId="10413"/>
    <cellStyle name="Input 2 3 3 4" xfId="10414"/>
    <cellStyle name="Input 2 3 4" xfId="10415"/>
    <cellStyle name="Input 2 3 4 2" xfId="10416"/>
    <cellStyle name="Input 2 3 5" xfId="10417"/>
    <cellStyle name="Input 2 4" xfId="10418"/>
    <cellStyle name="Input 2 4 2" xfId="10419"/>
    <cellStyle name="Input 2 4 2 2" xfId="10420"/>
    <cellStyle name="Input 2 4 2 2 2" xfId="10421"/>
    <cellStyle name="Input 2 4 2 3" xfId="10422"/>
    <cellStyle name="Input 2 4 3" xfId="10423"/>
    <cellStyle name="Input 2 4 3 2" xfId="10424"/>
    <cellStyle name="Input 2 4 4" xfId="10425"/>
    <cellStyle name="Input 2 5" xfId="10426"/>
    <cellStyle name="Input 2 5 2" xfId="10427"/>
    <cellStyle name="Input 2 5 2 2" xfId="10428"/>
    <cellStyle name="Input 2 5 3" xfId="10429"/>
    <cellStyle name="Input 2 5 3 2" xfId="10430"/>
    <cellStyle name="Input 2 5 3 2 2" xfId="10431"/>
    <cellStyle name="Input 2 5 3 3" xfId="10432"/>
    <cellStyle name="Input 2 5 4" xfId="10433"/>
    <cellStyle name="Input 2 6" xfId="10434"/>
    <cellStyle name="Input 2 6 2" xfId="10435"/>
    <cellStyle name="Input 2 6 2 2" xfId="10436"/>
    <cellStyle name="Input 2 6 2 2 2" xfId="10437"/>
    <cellStyle name="Input 2 6 2 3" xfId="10438"/>
    <cellStyle name="Input 2 6 3" xfId="10439"/>
    <cellStyle name="Input 2 6 3 2" xfId="10440"/>
    <cellStyle name="Input 2 6 3 2 2" xfId="10441"/>
    <cellStyle name="Input 2 6 3 2 2 2" xfId="10442"/>
    <cellStyle name="Input 2 6 3 2 2 2 2" xfId="10443"/>
    <cellStyle name="Input 2 6 3 2 2 3" xfId="10444"/>
    <cellStyle name="Input 2 6 3 2 3" xfId="10445"/>
    <cellStyle name="Input 2 6 3 2 3 2" xfId="10446"/>
    <cellStyle name="Input 2 6 3 2 4" xfId="10447"/>
    <cellStyle name="Input 2 6 3 3" xfId="10448"/>
    <cellStyle name="Input 2 6 3 3 2" xfId="10449"/>
    <cellStyle name="Input 2 6 3 3 2 2" xfId="10450"/>
    <cellStyle name="Input 2 6 3 3 3" xfId="10451"/>
    <cellStyle name="Input 2 6 3 4" xfId="10452"/>
    <cellStyle name="Input 2 6 3 4 2" xfId="10453"/>
    <cellStyle name="Input 2 6 3 5" xfId="10454"/>
    <cellStyle name="Input 2 6 4" xfId="10455"/>
    <cellStyle name="Input 2 6 4 2" xfId="10456"/>
    <cellStyle name="Input 2 6 4 2 2" xfId="10457"/>
    <cellStyle name="Input 2 6 4 2 2 2" xfId="10458"/>
    <cellStyle name="Input 2 6 4 2 3" xfId="10459"/>
    <cellStyle name="Input 2 6 4 3" xfId="10460"/>
    <cellStyle name="Input 2 6 4 3 2" xfId="10461"/>
    <cellStyle name="Input 2 6 4 4" xfId="10462"/>
    <cellStyle name="Input 2 6 5" xfId="10463"/>
    <cellStyle name="Input 2 6 5 2" xfId="10464"/>
    <cellStyle name="Input 2 6 5 2 2" xfId="10465"/>
    <cellStyle name="Input 2 6 5 3" xfId="10466"/>
    <cellStyle name="Input 2 6 6" xfId="10467"/>
    <cellStyle name="Input 2 6 6 2" xfId="10468"/>
    <cellStyle name="Input 2 6 7" xfId="10469"/>
    <cellStyle name="Input 2 7" xfId="10470"/>
    <cellStyle name="Input 2 7 2" xfId="10471"/>
    <cellStyle name="Input 2 7 2 2" xfId="10472"/>
    <cellStyle name="Input 2 7 3" xfId="10473"/>
    <cellStyle name="Input 2 8" xfId="10474"/>
    <cellStyle name="Input 2 8 2" xfId="10475"/>
    <cellStyle name="Input 2 8 2 2" xfId="10476"/>
    <cellStyle name="Input 2 8 2 2 2" xfId="10477"/>
    <cellStyle name="Input 2 8 2 3" xfId="10478"/>
    <cellStyle name="Input 2 8 3" xfId="10479"/>
    <cellStyle name="Input 2 8 3 2" xfId="10480"/>
    <cellStyle name="Input 2 8 4" xfId="10481"/>
    <cellStyle name="Input 2 9" xfId="10482"/>
    <cellStyle name="Input 2 9 2" xfId="10483"/>
    <cellStyle name="Input 2 9 2 2" xfId="10484"/>
    <cellStyle name="Input 2 9 2 2 2" xfId="10485"/>
    <cellStyle name="Input 2 9 2 3" xfId="10486"/>
    <cellStyle name="Input 2 9 3" xfId="10487"/>
    <cellStyle name="Input 2 9 3 2" xfId="10488"/>
    <cellStyle name="Input 2 9 4" xfId="10489"/>
    <cellStyle name="Input 20" xfId="10490"/>
    <cellStyle name="Input 20 2" xfId="10491"/>
    <cellStyle name="Input 20 2 2" xfId="10492"/>
    <cellStyle name="Input 20 2 2 2" xfId="10493"/>
    <cellStyle name="Input 20 2 3" xfId="10494"/>
    <cellStyle name="Input 20 3" xfId="10495"/>
    <cellStyle name="Input 20 3 2" xfId="10496"/>
    <cellStyle name="Input 20 4" xfId="10497"/>
    <cellStyle name="Input 21" xfId="10498"/>
    <cellStyle name="Input 21 2" xfId="10499"/>
    <cellStyle name="Input 21 2 2" xfId="10500"/>
    <cellStyle name="Input 21 2 2 2" xfId="10501"/>
    <cellStyle name="Input 21 2 3" xfId="10502"/>
    <cellStyle name="Input 21 3" xfId="10503"/>
    <cellStyle name="Input 21 3 2" xfId="10504"/>
    <cellStyle name="Input 21 4" xfId="10505"/>
    <cellStyle name="Input 22" xfId="10506"/>
    <cellStyle name="Input 22 2" xfId="10507"/>
    <cellStyle name="Input 22 2 2" xfId="10508"/>
    <cellStyle name="Input 22 2 2 2" xfId="10509"/>
    <cellStyle name="Input 22 2 3" xfId="10510"/>
    <cellStyle name="Input 22 3" xfId="10511"/>
    <cellStyle name="Input 22 3 2" xfId="10512"/>
    <cellStyle name="Input 22 4" xfId="10513"/>
    <cellStyle name="Input 23" xfId="10514"/>
    <cellStyle name="Input 23 2" xfId="10515"/>
    <cellStyle name="Input 23 2 2" xfId="10516"/>
    <cellStyle name="Input 23 2 2 2" xfId="10517"/>
    <cellStyle name="Input 23 2 3" xfId="10518"/>
    <cellStyle name="Input 23 3" xfId="10519"/>
    <cellStyle name="Input 23 3 2" xfId="10520"/>
    <cellStyle name="Input 23 4" xfId="10521"/>
    <cellStyle name="Input 24" xfId="10522"/>
    <cellStyle name="Input 24 2" xfId="10523"/>
    <cellStyle name="Input 24 2 2" xfId="10524"/>
    <cellStyle name="Input 24 2 2 2" xfId="10525"/>
    <cellStyle name="Input 24 2 3" xfId="10526"/>
    <cellStyle name="Input 24 3" xfId="10527"/>
    <cellStyle name="Input 24 3 2" xfId="10528"/>
    <cellStyle name="Input 24 4" xfId="10529"/>
    <cellStyle name="Input 25" xfId="10530"/>
    <cellStyle name="Input 25 2" xfId="10531"/>
    <cellStyle name="Input 25 2 2" xfId="10532"/>
    <cellStyle name="Input 25 2 2 2" xfId="10533"/>
    <cellStyle name="Input 25 2 3" xfId="10534"/>
    <cellStyle name="Input 25 3" xfId="10535"/>
    <cellStyle name="Input 25 3 2" xfId="10536"/>
    <cellStyle name="Input 25 4" xfId="10537"/>
    <cellStyle name="Input 26" xfId="10538"/>
    <cellStyle name="Input 26 2" xfId="10539"/>
    <cellStyle name="Input 26 2 2" xfId="10540"/>
    <cellStyle name="Input 26 2 2 2" xfId="10541"/>
    <cellStyle name="Input 26 2 3" xfId="10542"/>
    <cellStyle name="Input 26 3" xfId="10543"/>
    <cellStyle name="Input 26 3 2" xfId="10544"/>
    <cellStyle name="Input 26 4" xfId="10545"/>
    <cellStyle name="Input 27" xfId="10546"/>
    <cellStyle name="Input 27 2" xfId="10547"/>
    <cellStyle name="Input 27 2 2" xfId="10548"/>
    <cellStyle name="Input 27 2 2 2" xfId="10549"/>
    <cellStyle name="Input 27 2 3" xfId="10550"/>
    <cellStyle name="Input 27 3" xfId="10551"/>
    <cellStyle name="Input 27 3 2" xfId="10552"/>
    <cellStyle name="Input 27 4" xfId="10553"/>
    <cellStyle name="Input 28" xfId="10554"/>
    <cellStyle name="Input 28 2" xfId="10555"/>
    <cellStyle name="Input 28 2 2" xfId="10556"/>
    <cellStyle name="Input 28 2 2 2" xfId="10557"/>
    <cellStyle name="Input 28 2 3" xfId="10558"/>
    <cellStyle name="Input 28 3" xfId="10559"/>
    <cellStyle name="Input 28 3 2" xfId="10560"/>
    <cellStyle name="Input 28 4" xfId="10561"/>
    <cellStyle name="Input 29" xfId="10562"/>
    <cellStyle name="Input 29 2" xfId="10563"/>
    <cellStyle name="Input 29 2 2" xfId="10564"/>
    <cellStyle name="Input 29 2 2 2" xfId="10565"/>
    <cellStyle name="Input 29 2 3" xfId="10566"/>
    <cellStyle name="Input 29 3" xfId="10567"/>
    <cellStyle name="Input 29 3 2" xfId="10568"/>
    <cellStyle name="Input 29 4" xfId="10569"/>
    <cellStyle name="Input 3" xfId="10570"/>
    <cellStyle name="Input 3 10" xfId="10571"/>
    <cellStyle name="Input 3 10 2" xfId="10572"/>
    <cellStyle name="Input 3 10 2 2" xfId="10573"/>
    <cellStyle name="Input 3 10 3" xfId="10574"/>
    <cellStyle name="Input 3 11" xfId="10575"/>
    <cellStyle name="Input 3 11 2" xfId="10576"/>
    <cellStyle name="Input 3 12" xfId="10577"/>
    <cellStyle name="Input 3 2" xfId="10578"/>
    <cellStyle name="Input 3 2 2" xfId="10579"/>
    <cellStyle name="Input 3 2 2 2" xfId="10580"/>
    <cellStyle name="Input 3 2 3" xfId="10581"/>
    <cellStyle name="Input 3 2 3 2" xfId="10582"/>
    <cellStyle name="Input 3 2 3 2 2" xfId="10583"/>
    <cellStyle name="Input 3 2 3 3" xfId="10584"/>
    <cellStyle name="Input 3 2 4" xfId="10585"/>
    <cellStyle name="Input 3 3" xfId="10586"/>
    <cellStyle name="Input 3 3 2" xfId="10587"/>
    <cellStyle name="Input 3 3 2 2" xfId="10588"/>
    <cellStyle name="Input 3 3 2 2 2" xfId="10589"/>
    <cellStyle name="Input 3 3 2 3" xfId="10590"/>
    <cellStyle name="Input 3 3 3" xfId="10591"/>
    <cellStyle name="Input 3 3 3 2" xfId="10592"/>
    <cellStyle name="Input 3 3 3 2 2" xfId="10593"/>
    <cellStyle name="Input 3 3 3 2 2 2" xfId="10594"/>
    <cellStyle name="Input 3 3 3 2 3" xfId="10595"/>
    <cellStyle name="Input 3 3 3 3" xfId="10596"/>
    <cellStyle name="Input 3 3 3 3 2" xfId="10597"/>
    <cellStyle name="Input 3 3 3 4" xfId="10598"/>
    <cellStyle name="Input 3 3 4" xfId="10599"/>
    <cellStyle name="Input 3 3 4 2" xfId="10600"/>
    <cellStyle name="Input 3 3 5" xfId="10601"/>
    <cellStyle name="Input 3 4" xfId="10602"/>
    <cellStyle name="Input 3 4 2" xfId="10603"/>
    <cellStyle name="Input 3 4 2 2" xfId="10604"/>
    <cellStyle name="Input 3 4 2 2 2" xfId="10605"/>
    <cellStyle name="Input 3 4 2 3" xfId="10606"/>
    <cellStyle name="Input 3 4 3" xfId="10607"/>
    <cellStyle name="Input 3 4 3 2" xfId="10608"/>
    <cellStyle name="Input 3 4 4" xfId="10609"/>
    <cellStyle name="Input 3 5" xfId="10610"/>
    <cellStyle name="Input 3 5 2" xfId="10611"/>
    <cellStyle name="Input 3 5 2 2" xfId="10612"/>
    <cellStyle name="Input 3 5 2 2 2" xfId="10613"/>
    <cellStyle name="Input 3 5 2 3" xfId="10614"/>
    <cellStyle name="Input 3 5 3" xfId="10615"/>
    <cellStyle name="Input 3 5 3 2" xfId="10616"/>
    <cellStyle name="Input 3 5 3 2 2" xfId="10617"/>
    <cellStyle name="Input 3 5 3 2 2 2" xfId="10618"/>
    <cellStyle name="Input 3 5 3 2 3" xfId="10619"/>
    <cellStyle name="Input 3 5 3 3" xfId="10620"/>
    <cellStyle name="Input 3 5 3 3 2" xfId="10621"/>
    <cellStyle name="Input 3 5 3 4" xfId="10622"/>
    <cellStyle name="Input 3 5 4" xfId="10623"/>
    <cellStyle name="Input 3 5 4 2" xfId="10624"/>
    <cellStyle name="Input 3 5 5" xfId="10625"/>
    <cellStyle name="Input 3 6" xfId="10626"/>
    <cellStyle name="Input 3 6 2" xfId="10627"/>
    <cellStyle name="Input 3 6 2 2" xfId="10628"/>
    <cellStyle name="Input 3 6 3" xfId="10629"/>
    <cellStyle name="Input 3 7" xfId="10630"/>
    <cellStyle name="Input 3 7 2" xfId="10631"/>
    <cellStyle name="Input 3 7 2 2" xfId="10632"/>
    <cellStyle name="Input 3 7 3" xfId="10633"/>
    <cellStyle name="Input 3 8" xfId="10634"/>
    <cellStyle name="Input 3 8 2" xfId="10635"/>
    <cellStyle name="Input 3 8 2 2" xfId="10636"/>
    <cellStyle name="Input 3 8 2 2 2" xfId="10637"/>
    <cellStyle name="Input 3 8 2 3" xfId="10638"/>
    <cellStyle name="Input 3 8 3" xfId="10639"/>
    <cellStyle name="Input 3 8 3 2" xfId="10640"/>
    <cellStyle name="Input 3 8 4" xfId="10641"/>
    <cellStyle name="Input 3 9" xfId="10642"/>
    <cellStyle name="Input 3 9 2" xfId="10643"/>
    <cellStyle name="Input 3 9 2 2" xfId="10644"/>
    <cellStyle name="Input 3 9 2 2 2" xfId="10645"/>
    <cellStyle name="Input 3 9 2 2 2 2" xfId="10646"/>
    <cellStyle name="Input 3 9 2 2 2 2 2" xfId="10647"/>
    <cellStyle name="Input 3 9 2 2 2 3" xfId="10648"/>
    <cellStyle name="Input 3 9 2 2 3" xfId="10649"/>
    <cellStyle name="Input 3 9 2 2 3 2" xfId="10650"/>
    <cellStyle name="Input 3 9 2 2 4" xfId="10651"/>
    <cellStyle name="Input 3 9 2 3" xfId="10652"/>
    <cellStyle name="Input 3 9 2 3 2" xfId="10653"/>
    <cellStyle name="Input 3 9 2 3 2 2" xfId="10654"/>
    <cellStyle name="Input 3 9 2 3 3" xfId="10655"/>
    <cellStyle name="Input 3 9 2 4" xfId="10656"/>
    <cellStyle name="Input 3 9 2 4 2" xfId="10657"/>
    <cellStyle name="Input 3 9 2 5" xfId="10658"/>
    <cellStyle name="Input 3 9 3" xfId="10659"/>
    <cellStyle name="Input 3 9 3 2" xfId="10660"/>
    <cellStyle name="Input 3 9 3 2 2" xfId="10661"/>
    <cellStyle name="Input 3 9 3 2 2 2" xfId="10662"/>
    <cellStyle name="Input 3 9 3 2 3" xfId="10663"/>
    <cellStyle name="Input 3 9 3 3" xfId="10664"/>
    <cellStyle name="Input 3 9 3 3 2" xfId="10665"/>
    <cellStyle name="Input 3 9 3 4" xfId="10666"/>
    <cellStyle name="Input 3 9 4" xfId="10667"/>
    <cellStyle name="Input 3 9 4 2" xfId="10668"/>
    <cellStyle name="Input 3 9 4 2 2" xfId="10669"/>
    <cellStyle name="Input 3 9 4 3" xfId="10670"/>
    <cellStyle name="Input 3 9 5" xfId="10671"/>
    <cellStyle name="Input 3 9 5 2" xfId="10672"/>
    <cellStyle name="Input 3 9 6" xfId="10673"/>
    <cellStyle name="Input 30" xfId="10674"/>
    <cellStyle name="Input 30 2" xfId="10675"/>
    <cellStyle name="Input 30 2 2" xfId="10676"/>
    <cellStyle name="Input 30 2 2 2" xfId="10677"/>
    <cellStyle name="Input 30 2 3" xfId="10678"/>
    <cellStyle name="Input 30 3" xfId="10679"/>
    <cellStyle name="Input 30 3 2" xfId="10680"/>
    <cellStyle name="Input 30 4" xfId="10681"/>
    <cellStyle name="Input 31" xfId="10682"/>
    <cellStyle name="Input 31 2" xfId="10683"/>
    <cellStyle name="Input 31 2 2" xfId="10684"/>
    <cellStyle name="Input 31 2 2 2" xfId="10685"/>
    <cellStyle name="Input 31 2 3" xfId="10686"/>
    <cellStyle name="Input 31 3" xfId="10687"/>
    <cellStyle name="Input 31 3 2" xfId="10688"/>
    <cellStyle name="Input 31 4" xfId="10689"/>
    <cellStyle name="Input 32" xfId="10690"/>
    <cellStyle name="Input 32 2" xfId="10691"/>
    <cellStyle name="Input 32 2 2" xfId="10692"/>
    <cellStyle name="Input 32 2 2 2" xfId="10693"/>
    <cellStyle name="Input 32 2 3" xfId="10694"/>
    <cellStyle name="Input 32 3" xfId="10695"/>
    <cellStyle name="Input 32 3 2" xfId="10696"/>
    <cellStyle name="Input 32 4" xfId="10697"/>
    <cellStyle name="Input 33" xfId="10698"/>
    <cellStyle name="Input 33 2" xfId="10699"/>
    <cellStyle name="Input 33 2 2" xfId="10700"/>
    <cellStyle name="Input 33 2 2 2" xfId="10701"/>
    <cellStyle name="Input 33 2 3" xfId="10702"/>
    <cellStyle name="Input 33 3" xfId="10703"/>
    <cellStyle name="Input 33 3 2" xfId="10704"/>
    <cellStyle name="Input 33 4" xfId="10705"/>
    <cellStyle name="Input 34" xfId="10706"/>
    <cellStyle name="Input 34 2" xfId="10707"/>
    <cellStyle name="Input 34 2 2" xfId="10708"/>
    <cellStyle name="Input 34 2 2 2" xfId="10709"/>
    <cellStyle name="Input 34 2 3" xfId="10710"/>
    <cellStyle name="Input 34 3" xfId="10711"/>
    <cellStyle name="Input 34 3 2" xfId="10712"/>
    <cellStyle name="Input 34 4" xfId="10713"/>
    <cellStyle name="Input 35" xfId="10714"/>
    <cellStyle name="Input 35 2" xfId="10715"/>
    <cellStyle name="Input 35 2 2" xfId="10716"/>
    <cellStyle name="Input 35 2 2 2" xfId="10717"/>
    <cellStyle name="Input 35 2 3" xfId="10718"/>
    <cellStyle name="Input 35 3" xfId="10719"/>
    <cellStyle name="Input 35 3 2" xfId="10720"/>
    <cellStyle name="Input 35 4" xfId="10721"/>
    <cellStyle name="Input 36" xfId="10722"/>
    <cellStyle name="Input 36 2" xfId="10723"/>
    <cellStyle name="Input 36 2 2" xfId="10724"/>
    <cellStyle name="Input 36 2 2 2" xfId="10725"/>
    <cellStyle name="Input 36 2 3" xfId="10726"/>
    <cellStyle name="Input 36 3" xfId="10727"/>
    <cellStyle name="Input 36 3 2" xfId="10728"/>
    <cellStyle name="Input 36 4" xfId="10729"/>
    <cellStyle name="Input 37" xfId="10730"/>
    <cellStyle name="Input 37 2" xfId="10731"/>
    <cellStyle name="Input 37 2 2" xfId="10732"/>
    <cellStyle name="Input 37 2 2 2" xfId="10733"/>
    <cellStyle name="Input 37 2 3" xfId="10734"/>
    <cellStyle name="Input 37 3" xfId="10735"/>
    <cellStyle name="Input 37 3 2" xfId="10736"/>
    <cellStyle name="Input 37 4" xfId="10737"/>
    <cellStyle name="Input 38" xfId="10738"/>
    <cellStyle name="Input 38 2" xfId="10739"/>
    <cellStyle name="Input 38 2 2" xfId="10740"/>
    <cellStyle name="Input 38 2 2 2" xfId="10741"/>
    <cellStyle name="Input 38 2 3" xfId="10742"/>
    <cellStyle name="Input 38 3" xfId="10743"/>
    <cellStyle name="Input 38 3 2" xfId="10744"/>
    <cellStyle name="Input 38 4" xfId="10745"/>
    <cellStyle name="Input 39" xfId="10746"/>
    <cellStyle name="Input 39 2" xfId="10747"/>
    <cellStyle name="Input 39 2 2" xfId="10748"/>
    <cellStyle name="Input 39 2 2 2" xfId="10749"/>
    <cellStyle name="Input 39 2 3" xfId="10750"/>
    <cellStyle name="Input 39 3" xfId="10751"/>
    <cellStyle name="Input 39 3 2" xfId="10752"/>
    <cellStyle name="Input 39 4" xfId="10753"/>
    <cellStyle name="Input 4" xfId="10754"/>
    <cellStyle name="Input 4 2" xfId="10755"/>
    <cellStyle name="Input 4 2 2" xfId="10756"/>
    <cellStyle name="Input 4 2 2 2" xfId="10757"/>
    <cellStyle name="Input 4 2 3" xfId="10758"/>
    <cellStyle name="Input 4 2 3 2" xfId="10759"/>
    <cellStyle name="Input 4 2 3 2 2" xfId="10760"/>
    <cellStyle name="Input 4 2 3 3" xfId="10761"/>
    <cellStyle name="Input 4 2 4" xfId="10762"/>
    <cellStyle name="Input 4 3" xfId="10763"/>
    <cellStyle name="Input 4 3 2" xfId="10764"/>
    <cellStyle name="Input 4 3 2 2" xfId="10765"/>
    <cellStyle name="Input 4 3 2 2 2" xfId="10766"/>
    <cellStyle name="Input 4 3 2 3" xfId="10767"/>
    <cellStyle name="Input 4 3 3" xfId="10768"/>
    <cellStyle name="Input 4 3 3 2" xfId="10769"/>
    <cellStyle name="Input 4 3 3 2 2" xfId="10770"/>
    <cellStyle name="Input 4 3 3 2 2 2" xfId="10771"/>
    <cellStyle name="Input 4 3 3 2 3" xfId="10772"/>
    <cellStyle name="Input 4 3 3 3" xfId="10773"/>
    <cellStyle name="Input 4 3 3 3 2" xfId="10774"/>
    <cellStyle name="Input 4 3 3 4" xfId="10775"/>
    <cellStyle name="Input 4 3 4" xfId="10776"/>
    <cellStyle name="Input 4 3 4 2" xfId="10777"/>
    <cellStyle name="Input 4 3 5" xfId="10778"/>
    <cellStyle name="Input 4 4" xfId="10779"/>
    <cellStyle name="Input 4 4 2" xfId="10780"/>
    <cellStyle name="Input 4 4 2 2" xfId="10781"/>
    <cellStyle name="Input 4 4 2 2 2" xfId="10782"/>
    <cellStyle name="Input 4 4 2 3" xfId="10783"/>
    <cellStyle name="Input 4 4 3" xfId="10784"/>
    <cellStyle name="Input 4 4 3 2" xfId="10785"/>
    <cellStyle name="Input 4 4 4" xfId="10786"/>
    <cellStyle name="Input 4 5" xfId="10787"/>
    <cellStyle name="Input 4 5 2" xfId="10788"/>
    <cellStyle name="Input 4 5 2 2" xfId="10789"/>
    <cellStyle name="Input 4 5 3" xfId="10790"/>
    <cellStyle name="Input 4 6" xfId="10791"/>
    <cellStyle name="Input 4 6 2" xfId="10792"/>
    <cellStyle name="Input 4 6 2 2" xfId="10793"/>
    <cellStyle name="Input 4 6 2 2 2" xfId="10794"/>
    <cellStyle name="Input 4 6 2 2 2 2" xfId="10795"/>
    <cellStyle name="Input 4 6 2 2 2 2 2" xfId="10796"/>
    <cellStyle name="Input 4 6 2 2 2 3" xfId="10797"/>
    <cellStyle name="Input 4 6 2 2 3" xfId="10798"/>
    <cellStyle name="Input 4 6 2 2 3 2" xfId="10799"/>
    <cellStyle name="Input 4 6 2 2 4" xfId="10800"/>
    <cellStyle name="Input 4 6 2 3" xfId="10801"/>
    <cellStyle name="Input 4 6 2 3 2" xfId="10802"/>
    <cellStyle name="Input 4 6 2 3 2 2" xfId="10803"/>
    <cellStyle name="Input 4 6 2 3 3" xfId="10804"/>
    <cellStyle name="Input 4 6 2 4" xfId="10805"/>
    <cellStyle name="Input 4 6 2 4 2" xfId="10806"/>
    <cellStyle name="Input 4 6 2 5" xfId="10807"/>
    <cellStyle name="Input 4 6 3" xfId="10808"/>
    <cellStyle name="Input 4 6 3 2" xfId="10809"/>
    <cellStyle name="Input 4 6 3 2 2" xfId="10810"/>
    <cellStyle name="Input 4 6 3 2 2 2" xfId="10811"/>
    <cellStyle name="Input 4 6 3 2 3" xfId="10812"/>
    <cellStyle name="Input 4 6 3 3" xfId="10813"/>
    <cellStyle name="Input 4 6 3 3 2" xfId="10814"/>
    <cellStyle name="Input 4 6 3 4" xfId="10815"/>
    <cellStyle name="Input 4 6 4" xfId="10816"/>
    <cellStyle name="Input 4 6 4 2" xfId="10817"/>
    <cellStyle name="Input 4 6 4 2 2" xfId="10818"/>
    <cellStyle name="Input 4 6 4 3" xfId="10819"/>
    <cellStyle name="Input 4 6 5" xfId="10820"/>
    <cellStyle name="Input 4 6 5 2" xfId="10821"/>
    <cellStyle name="Input 4 6 6" xfId="10822"/>
    <cellStyle name="Input 4 7" xfId="10823"/>
    <cellStyle name="Input 4 7 2" xfId="10824"/>
    <cellStyle name="Input 4 7 2 2" xfId="10825"/>
    <cellStyle name="Input 4 7 3" xfId="10826"/>
    <cellStyle name="Input 4 8" xfId="10827"/>
    <cellStyle name="Input 4 8 2" xfId="10828"/>
    <cellStyle name="Input 4 9" xfId="10829"/>
    <cellStyle name="Input 40" xfId="10830"/>
    <cellStyle name="Input 40 2" xfId="10831"/>
    <cellStyle name="Input 40 2 2" xfId="10832"/>
    <cellStyle name="Input 40 2 2 2" xfId="10833"/>
    <cellStyle name="Input 40 2 3" xfId="10834"/>
    <cellStyle name="Input 40 3" xfId="10835"/>
    <cellStyle name="Input 40 3 2" xfId="10836"/>
    <cellStyle name="Input 40 4" xfId="10837"/>
    <cellStyle name="Input 41" xfId="10838"/>
    <cellStyle name="Input 41 2" xfId="10839"/>
    <cellStyle name="Input 41 2 2" xfId="10840"/>
    <cellStyle name="Input 41 2 2 2" xfId="10841"/>
    <cellStyle name="Input 41 2 3" xfId="10842"/>
    <cellStyle name="Input 41 3" xfId="10843"/>
    <cellStyle name="Input 41 3 2" xfId="10844"/>
    <cellStyle name="Input 41 4" xfId="10845"/>
    <cellStyle name="Input 42" xfId="10846"/>
    <cellStyle name="Input 42 2" xfId="10847"/>
    <cellStyle name="Input 42 2 2" xfId="10848"/>
    <cellStyle name="Input 42 2 2 2" xfId="10849"/>
    <cellStyle name="Input 42 2 3" xfId="10850"/>
    <cellStyle name="Input 42 3" xfId="10851"/>
    <cellStyle name="Input 42 3 2" xfId="10852"/>
    <cellStyle name="Input 42 4" xfId="10853"/>
    <cellStyle name="Input 43" xfId="10854"/>
    <cellStyle name="Input 43 2" xfId="10855"/>
    <cellStyle name="Input 43 2 2" xfId="10856"/>
    <cellStyle name="Input 43 2 2 2" xfId="10857"/>
    <cellStyle name="Input 43 2 3" xfId="10858"/>
    <cellStyle name="Input 43 3" xfId="10859"/>
    <cellStyle name="Input 43 3 2" xfId="10860"/>
    <cellStyle name="Input 43 4" xfId="10861"/>
    <cellStyle name="Input 44" xfId="10862"/>
    <cellStyle name="Input 44 2" xfId="10863"/>
    <cellStyle name="Input 44 2 2" xfId="10864"/>
    <cellStyle name="Input 44 2 2 2" xfId="10865"/>
    <cellStyle name="Input 44 2 3" xfId="10866"/>
    <cellStyle name="Input 44 3" xfId="10867"/>
    <cellStyle name="Input 44 3 2" xfId="10868"/>
    <cellStyle name="Input 44 4" xfId="10869"/>
    <cellStyle name="Input 45" xfId="10870"/>
    <cellStyle name="Input 45 2" xfId="10871"/>
    <cellStyle name="Input 45 2 2" xfId="10872"/>
    <cellStyle name="Input 45 2 2 2" xfId="10873"/>
    <cellStyle name="Input 45 2 3" xfId="10874"/>
    <cellStyle name="Input 45 3" xfId="10875"/>
    <cellStyle name="Input 45 3 2" xfId="10876"/>
    <cellStyle name="Input 45 4" xfId="10877"/>
    <cellStyle name="Input 46" xfId="10878"/>
    <cellStyle name="Input 46 2" xfId="10879"/>
    <cellStyle name="Input 46 2 2" xfId="10880"/>
    <cellStyle name="Input 46 2 2 2" xfId="10881"/>
    <cellStyle name="Input 46 2 3" xfId="10882"/>
    <cellStyle name="Input 46 3" xfId="10883"/>
    <cellStyle name="Input 46 3 2" xfId="10884"/>
    <cellStyle name="Input 46 4" xfId="10885"/>
    <cellStyle name="Input 47" xfId="10886"/>
    <cellStyle name="Input 47 2" xfId="10887"/>
    <cellStyle name="Input 47 2 2" xfId="10888"/>
    <cellStyle name="Input 47 2 2 2" xfId="10889"/>
    <cellStyle name="Input 47 2 3" xfId="10890"/>
    <cellStyle name="Input 47 3" xfId="10891"/>
    <cellStyle name="Input 47 3 2" xfId="10892"/>
    <cellStyle name="Input 47 4" xfId="10893"/>
    <cellStyle name="Input 48" xfId="10894"/>
    <cellStyle name="Input 48 2" xfId="10895"/>
    <cellStyle name="Input 48 2 2" xfId="10896"/>
    <cellStyle name="Input 48 2 2 2" xfId="10897"/>
    <cellStyle name="Input 48 2 3" xfId="10898"/>
    <cellStyle name="Input 48 3" xfId="10899"/>
    <cellStyle name="Input 48 3 2" xfId="10900"/>
    <cellStyle name="Input 48 3 2 2" xfId="10901"/>
    <cellStyle name="Input 48 3 2 2 2" xfId="10902"/>
    <cellStyle name="Input 48 3 2 3" xfId="10903"/>
    <cellStyle name="Input 48 3 3" xfId="10904"/>
    <cellStyle name="Input 48 3 3 2" xfId="10905"/>
    <cellStyle name="Input 48 3 4" xfId="10906"/>
    <cellStyle name="Input 48 4" xfId="10907"/>
    <cellStyle name="Input 48 4 2" xfId="10908"/>
    <cellStyle name="Input 48 5" xfId="10909"/>
    <cellStyle name="Input 49" xfId="10910"/>
    <cellStyle name="Input 49 2" xfId="10911"/>
    <cellStyle name="Input 49 2 2" xfId="10912"/>
    <cellStyle name="Input 49 2 2 2" xfId="10913"/>
    <cellStyle name="Input 49 2 3" xfId="10914"/>
    <cellStyle name="Input 49 3" xfId="10915"/>
    <cellStyle name="Input 49 3 2" xfId="10916"/>
    <cellStyle name="Input 49 3 2 2" xfId="10917"/>
    <cellStyle name="Input 49 3 2 2 2" xfId="10918"/>
    <cellStyle name="Input 49 3 2 3" xfId="10919"/>
    <cellStyle name="Input 49 3 3" xfId="10920"/>
    <cellStyle name="Input 49 3 3 2" xfId="10921"/>
    <cellStyle name="Input 49 3 4" xfId="10922"/>
    <cellStyle name="Input 49 4" xfId="10923"/>
    <cellStyle name="Input 49 4 2" xfId="10924"/>
    <cellStyle name="Input 49 5" xfId="10925"/>
    <cellStyle name="Input 5" xfId="10926"/>
    <cellStyle name="Input 5 2" xfId="10927"/>
    <cellStyle name="Input 5 2 2" xfId="10928"/>
    <cellStyle name="Input 5 2 2 2" xfId="10929"/>
    <cellStyle name="Input 5 2 2 2 2" xfId="10930"/>
    <cellStyle name="Input 5 2 2 3" xfId="10931"/>
    <cellStyle name="Input 5 2 3" xfId="10932"/>
    <cellStyle name="Input 5 2 3 2" xfId="10933"/>
    <cellStyle name="Input 5 2 3 2 2" xfId="10934"/>
    <cellStyle name="Input 5 2 3 2 2 2" xfId="10935"/>
    <cellStyle name="Input 5 2 3 2 3" xfId="10936"/>
    <cellStyle name="Input 5 2 3 3" xfId="10937"/>
    <cellStyle name="Input 5 2 3 3 2" xfId="10938"/>
    <cellStyle name="Input 5 2 3 4" xfId="10939"/>
    <cellStyle name="Input 5 2 4" xfId="10940"/>
    <cellStyle name="Input 5 2 4 2" xfId="10941"/>
    <cellStyle name="Input 5 2 5" xfId="10942"/>
    <cellStyle name="Input 5 3" xfId="10943"/>
    <cellStyle name="Input 5 3 2" xfId="10944"/>
    <cellStyle name="Input 5 3 2 2" xfId="10945"/>
    <cellStyle name="Input 5 3 2 2 2" xfId="10946"/>
    <cellStyle name="Input 5 3 2 3" xfId="10947"/>
    <cellStyle name="Input 5 3 3" xfId="10948"/>
    <cellStyle name="Input 5 3 3 2" xfId="10949"/>
    <cellStyle name="Input 5 3 3 2 2" xfId="10950"/>
    <cellStyle name="Input 5 3 3 2 2 2" xfId="10951"/>
    <cellStyle name="Input 5 3 3 2 3" xfId="10952"/>
    <cellStyle name="Input 5 3 3 3" xfId="10953"/>
    <cellStyle name="Input 5 3 3 3 2" xfId="10954"/>
    <cellStyle name="Input 5 3 3 4" xfId="10955"/>
    <cellStyle name="Input 5 3 4" xfId="10956"/>
    <cellStyle name="Input 5 3 4 2" xfId="10957"/>
    <cellStyle name="Input 5 3 5" xfId="10958"/>
    <cellStyle name="Input 5 4" xfId="10959"/>
    <cellStyle name="Input 5 4 2" xfId="10960"/>
    <cellStyle name="Input 5 4 2 2" xfId="10961"/>
    <cellStyle name="Input 5 4 3" xfId="10962"/>
    <cellStyle name="Input 5 5" xfId="10963"/>
    <cellStyle name="Input 5 5 2" xfId="10964"/>
    <cellStyle name="Input 5 5 2 2" xfId="10965"/>
    <cellStyle name="Input 5 5 2 2 2" xfId="10966"/>
    <cellStyle name="Input 5 5 2 2 2 2" xfId="10967"/>
    <cellStyle name="Input 5 5 2 2 2 2 2" xfId="10968"/>
    <cellStyle name="Input 5 5 2 2 2 3" xfId="10969"/>
    <cellStyle name="Input 5 5 2 2 3" xfId="10970"/>
    <cellStyle name="Input 5 5 2 2 3 2" xfId="10971"/>
    <cellStyle name="Input 5 5 2 2 4" xfId="10972"/>
    <cellStyle name="Input 5 5 2 3" xfId="10973"/>
    <cellStyle name="Input 5 5 2 3 2" xfId="10974"/>
    <cellStyle name="Input 5 5 2 3 2 2" xfId="10975"/>
    <cellStyle name="Input 5 5 2 3 3" xfId="10976"/>
    <cellStyle name="Input 5 5 2 4" xfId="10977"/>
    <cellStyle name="Input 5 5 2 4 2" xfId="10978"/>
    <cellStyle name="Input 5 5 2 5" xfId="10979"/>
    <cellStyle name="Input 5 5 3" xfId="10980"/>
    <cellStyle name="Input 5 5 3 2" xfId="10981"/>
    <cellStyle name="Input 5 5 3 2 2" xfId="10982"/>
    <cellStyle name="Input 5 5 3 2 2 2" xfId="10983"/>
    <cellStyle name="Input 5 5 3 2 3" xfId="10984"/>
    <cellStyle name="Input 5 5 3 3" xfId="10985"/>
    <cellStyle name="Input 5 5 3 3 2" xfId="10986"/>
    <cellStyle name="Input 5 5 3 4" xfId="10987"/>
    <cellStyle name="Input 5 5 4" xfId="10988"/>
    <cellStyle name="Input 5 5 4 2" xfId="10989"/>
    <cellStyle name="Input 5 5 4 2 2" xfId="10990"/>
    <cellStyle name="Input 5 5 4 3" xfId="10991"/>
    <cellStyle name="Input 5 5 5" xfId="10992"/>
    <cellStyle name="Input 5 5 5 2" xfId="10993"/>
    <cellStyle name="Input 5 5 6" xfId="10994"/>
    <cellStyle name="Input 5 6" xfId="10995"/>
    <cellStyle name="Input 5 6 2" xfId="10996"/>
    <cellStyle name="Input 5 7" xfId="10997"/>
    <cellStyle name="Input 50" xfId="10998"/>
    <cellStyle name="Input 50 2" xfId="10999"/>
    <cellStyle name="Input 50 2 2" xfId="11000"/>
    <cellStyle name="Input 50 2 2 2" xfId="11001"/>
    <cellStyle name="Input 50 2 3" xfId="11002"/>
    <cellStyle name="Input 50 3" xfId="11003"/>
    <cellStyle name="Input 50 3 2" xfId="11004"/>
    <cellStyle name="Input 50 3 2 2" xfId="11005"/>
    <cellStyle name="Input 50 3 2 2 2" xfId="11006"/>
    <cellStyle name="Input 50 3 2 3" xfId="11007"/>
    <cellStyle name="Input 50 3 3" xfId="11008"/>
    <cellStyle name="Input 50 3 3 2" xfId="11009"/>
    <cellStyle name="Input 50 3 4" xfId="11010"/>
    <cellStyle name="Input 50 4" xfId="11011"/>
    <cellStyle name="Input 50 4 2" xfId="11012"/>
    <cellStyle name="Input 50 5" xfId="11013"/>
    <cellStyle name="Input 51" xfId="11014"/>
    <cellStyle name="Input 51 2" xfId="11015"/>
    <cellStyle name="Input 51 2 2" xfId="11016"/>
    <cellStyle name="Input 51 2 2 2" xfId="11017"/>
    <cellStyle name="Input 51 2 3" xfId="11018"/>
    <cellStyle name="Input 51 3" xfId="11019"/>
    <cellStyle name="Input 51 3 2" xfId="11020"/>
    <cellStyle name="Input 51 3 2 2" xfId="11021"/>
    <cellStyle name="Input 51 3 2 2 2" xfId="11022"/>
    <cellStyle name="Input 51 3 2 3" xfId="11023"/>
    <cellStyle name="Input 51 3 3" xfId="11024"/>
    <cellStyle name="Input 51 3 3 2" xfId="11025"/>
    <cellStyle name="Input 51 3 4" xfId="11026"/>
    <cellStyle name="Input 51 4" xfId="11027"/>
    <cellStyle name="Input 51 4 2" xfId="11028"/>
    <cellStyle name="Input 51 5" xfId="11029"/>
    <cellStyle name="Input 52" xfId="11030"/>
    <cellStyle name="Input 52 2" xfId="11031"/>
    <cellStyle name="Input 52 2 2" xfId="11032"/>
    <cellStyle name="Input 52 2 2 2" xfId="11033"/>
    <cellStyle name="Input 52 2 3" xfId="11034"/>
    <cellStyle name="Input 52 3" xfId="11035"/>
    <cellStyle name="Input 52 3 2" xfId="11036"/>
    <cellStyle name="Input 52 4" xfId="11037"/>
    <cellStyle name="Input 53" xfId="11038"/>
    <cellStyle name="Input 53 2" xfId="11039"/>
    <cellStyle name="Input 53 2 2" xfId="11040"/>
    <cellStyle name="Input 53 2 2 2" xfId="11041"/>
    <cellStyle name="Input 53 2 3" xfId="11042"/>
    <cellStyle name="Input 53 3" xfId="11043"/>
    <cellStyle name="Input 53 3 2" xfId="11044"/>
    <cellStyle name="Input 53 4" xfId="11045"/>
    <cellStyle name="Input 54" xfId="11046"/>
    <cellStyle name="Input 54 2" xfId="11047"/>
    <cellStyle name="Input 54 2 2" xfId="11048"/>
    <cellStyle name="Input 54 2 2 2" xfId="11049"/>
    <cellStyle name="Input 54 2 3" xfId="11050"/>
    <cellStyle name="Input 54 3" xfId="11051"/>
    <cellStyle name="Input 54 3 2" xfId="11052"/>
    <cellStyle name="Input 54 4" xfId="11053"/>
    <cellStyle name="Input 55" xfId="11054"/>
    <cellStyle name="Input 55 2" xfId="11055"/>
    <cellStyle name="Input 55 2 2" xfId="11056"/>
    <cellStyle name="Input 55 2 2 2" xfId="11057"/>
    <cellStyle name="Input 55 2 3" xfId="11058"/>
    <cellStyle name="Input 55 3" xfId="11059"/>
    <cellStyle name="Input 55 3 2" xfId="11060"/>
    <cellStyle name="Input 55 4" xfId="11061"/>
    <cellStyle name="Input 56" xfId="11062"/>
    <cellStyle name="Input 56 2" xfId="11063"/>
    <cellStyle name="Input 56 2 2" xfId="11064"/>
    <cellStyle name="Input 56 2 2 2" xfId="11065"/>
    <cellStyle name="Input 56 2 3" xfId="11066"/>
    <cellStyle name="Input 56 3" xfId="11067"/>
    <cellStyle name="Input 56 3 2" xfId="11068"/>
    <cellStyle name="Input 56 4" xfId="11069"/>
    <cellStyle name="Input 57" xfId="11070"/>
    <cellStyle name="Input 57 2" xfId="11071"/>
    <cellStyle name="Input 57 2 2" xfId="11072"/>
    <cellStyle name="Input 57 2 2 2" xfId="11073"/>
    <cellStyle name="Input 57 2 3" xfId="11074"/>
    <cellStyle name="Input 57 3" xfId="11075"/>
    <cellStyle name="Input 57 3 2" xfId="11076"/>
    <cellStyle name="Input 57 4" xfId="11077"/>
    <cellStyle name="Input 58" xfId="11078"/>
    <cellStyle name="Input 58 2" xfId="11079"/>
    <cellStyle name="Input 58 2 2" xfId="11080"/>
    <cellStyle name="Input 58 2 2 2" xfId="11081"/>
    <cellStyle name="Input 58 2 3" xfId="11082"/>
    <cellStyle name="Input 58 3" xfId="11083"/>
    <cellStyle name="Input 58 3 2" xfId="11084"/>
    <cellStyle name="Input 58 3 2 2" xfId="11085"/>
    <cellStyle name="Input 58 3 2 2 2" xfId="11086"/>
    <cellStyle name="Input 58 3 2 3" xfId="11087"/>
    <cellStyle name="Input 58 3 3" xfId="11088"/>
    <cellStyle name="Input 58 3 3 2" xfId="11089"/>
    <cellStyle name="Input 58 3 4" xfId="11090"/>
    <cellStyle name="Input 58 4" xfId="11091"/>
    <cellStyle name="Input 58 4 2" xfId="11092"/>
    <cellStyle name="Input 58 5" xfId="11093"/>
    <cellStyle name="Input 59" xfId="11094"/>
    <cellStyle name="Input 59 2" xfId="11095"/>
    <cellStyle name="Input 59 2 2" xfId="11096"/>
    <cellStyle name="Input 59 2 2 2" xfId="11097"/>
    <cellStyle name="Input 59 2 3" xfId="11098"/>
    <cellStyle name="Input 59 3" xfId="11099"/>
    <cellStyle name="Input 59 3 2" xfId="11100"/>
    <cellStyle name="Input 59 3 2 2" xfId="11101"/>
    <cellStyle name="Input 59 3 2 2 2" xfId="11102"/>
    <cellStyle name="Input 59 3 2 3" xfId="11103"/>
    <cellStyle name="Input 59 3 3" xfId="11104"/>
    <cellStyle name="Input 59 3 3 2" xfId="11105"/>
    <cellStyle name="Input 59 3 4" xfId="11106"/>
    <cellStyle name="Input 59 4" xfId="11107"/>
    <cellStyle name="Input 59 4 2" xfId="11108"/>
    <cellStyle name="Input 59 5" xfId="11109"/>
    <cellStyle name="Input 6" xfId="11110"/>
    <cellStyle name="Input 6 2" xfId="11111"/>
    <cellStyle name="Input 6 2 2" xfId="11112"/>
    <cellStyle name="Input 6 2 2 2" xfId="11113"/>
    <cellStyle name="Input 6 2 2 2 2" xfId="11114"/>
    <cellStyle name="Input 6 2 2 3" xfId="11115"/>
    <cellStyle name="Input 6 2 3" xfId="11116"/>
    <cellStyle name="Input 6 2 3 2" xfId="11117"/>
    <cellStyle name="Input 6 2 3 2 2" xfId="11118"/>
    <cellStyle name="Input 6 2 3 2 2 2" xfId="11119"/>
    <cellStyle name="Input 6 2 3 2 3" xfId="11120"/>
    <cellStyle name="Input 6 2 3 3" xfId="11121"/>
    <cellStyle name="Input 6 2 3 3 2" xfId="11122"/>
    <cellStyle name="Input 6 2 3 4" xfId="11123"/>
    <cellStyle name="Input 6 2 4" xfId="11124"/>
    <cellStyle name="Input 6 2 4 2" xfId="11125"/>
    <cellStyle name="Input 6 2 5" xfId="11126"/>
    <cellStyle name="Input 6 3" xfId="11127"/>
    <cellStyle name="Input 6 3 2" xfId="11128"/>
    <cellStyle name="Input 6 3 2 2" xfId="11129"/>
    <cellStyle name="Input 6 3 3" xfId="11130"/>
    <cellStyle name="Input 6 4" xfId="11131"/>
    <cellStyle name="Input 6 4 2" xfId="11132"/>
    <cellStyle name="Input 6 4 2 2" xfId="11133"/>
    <cellStyle name="Input 6 4 2 2 2" xfId="11134"/>
    <cellStyle name="Input 6 4 2 2 2 2" xfId="11135"/>
    <cellStyle name="Input 6 4 2 2 2 2 2" xfId="11136"/>
    <cellStyle name="Input 6 4 2 2 2 3" xfId="11137"/>
    <cellStyle name="Input 6 4 2 2 3" xfId="11138"/>
    <cellStyle name="Input 6 4 2 2 3 2" xfId="11139"/>
    <cellStyle name="Input 6 4 2 2 4" xfId="11140"/>
    <cellStyle name="Input 6 4 2 3" xfId="11141"/>
    <cellStyle name="Input 6 4 2 3 2" xfId="11142"/>
    <cellStyle name="Input 6 4 2 3 2 2" xfId="11143"/>
    <cellStyle name="Input 6 4 2 3 3" xfId="11144"/>
    <cellStyle name="Input 6 4 2 4" xfId="11145"/>
    <cellStyle name="Input 6 4 2 4 2" xfId="11146"/>
    <cellStyle name="Input 6 4 2 5" xfId="11147"/>
    <cellStyle name="Input 6 4 3" xfId="11148"/>
    <cellStyle name="Input 6 4 3 2" xfId="11149"/>
    <cellStyle name="Input 6 4 3 2 2" xfId="11150"/>
    <cellStyle name="Input 6 4 3 2 2 2" xfId="11151"/>
    <cellStyle name="Input 6 4 3 2 3" xfId="11152"/>
    <cellStyle name="Input 6 4 3 3" xfId="11153"/>
    <cellStyle name="Input 6 4 3 3 2" xfId="11154"/>
    <cellStyle name="Input 6 4 3 4" xfId="11155"/>
    <cellStyle name="Input 6 4 4" xfId="11156"/>
    <cellStyle name="Input 6 4 4 2" xfId="11157"/>
    <cellStyle name="Input 6 4 4 2 2" xfId="11158"/>
    <cellStyle name="Input 6 4 4 3" xfId="11159"/>
    <cellStyle name="Input 6 4 5" xfId="11160"/>
    <cellStyle name="Input 6 4 5 2" xfId="11161"/>
    <cellStyle name="Input 6 4 6" xfId="11162"/>
    <cellStyle name="Input 6 5" xfId="11163"/>
    <cellStyle name="Input 6 5 2" xfId="11164"/>
    <cellStyle name="Input 6 6" xfId="11165"/>
    <cellStyle name="Input 60" xfId="11166"/>
    <cellStyle name="Input 60 2" xfId="11167"/>
    <cellStyle name="Input 60 2 2" xfId="11168"/>
    <cellStyle name="Input 60 2 2 2" xfId="11169"/>
    <cellStyle name="Input 60 2 3" xfId="11170"/>
    <cellStyle name="Input 60 3" xfId="11171"/>
    <cellStyle name="Input 60 3 2" xfId="11172"/>
    <cellStyle name="Input 60 3 2 2" xfId="11173"/>
    <cellStyle name="Input 60 3 2 2 2" xfId="11174"/>
    <cellStyle name="Input 60 3 2 3" xfId="11175"/>
    <cellStyle name="Input 60 3 3" xfId="11176"/>
    <cellStyle name="Input 60 3 3 2" xfId="11177"/>
    <cellStyle name="Input 60 3 4" xfId="11178"/>
    <cellStyle name="Input 60 4" xfId="11179"/>
    <cellStyle name="Input 60 4 2" xfId="11180"/>
    <cellStyle name="Input 60 5" xfId="11181"/>
    <cellStyle name="Input 61" xfId="11182"/>
    <cellStyle name="Input 61 2" xfId="11183"/>
    <cellStyle name="Input 61 2 2" xfId="11184"/>
    <cellStyle name="Input 61 2 2 2" xfId="11185"/>
    <cellStyle name="Input 61 2 3" xfId="11186"/>
    <cellStyle name="Input 61 3" xfId="11187"/>
    <cellStyle name="Input 61 3 2" xfId="11188"/>
    <cellStyle name="Input 61 3 2 2" xfId="11189"/>
    <cellStyle name="Input 61 3 2 2 2" xfId="11190"/>
    <cellStyle name="Input 61 3 2 3" xfId="11191"/>
    <cellStyle name="Input 61 3 3" xfId="11192"/>
    <cellStyle name="Input 61 3 3 2" xfId="11193"/>
    <cellStyle name="Input 61 3 4" xfId="11194"/>
    <cellStyle name="Input 61 4" xfId="11195"/>
    <cellStyle name="Input 61 4 2" xfId="11196"/>
    <cellStyle name="Input 61 5" xfId="11197"/>
    <cellStyle name="Input 62" xfId="11198"/>
    <cellStyle name="Input 62 2" xfId="11199"/>
    <cellStyle name="Input 62 2 2" xfId="11200"/>
    <cellStyle name="Input 62 2 2 2" xfId="11201"/>
    <cellStyle name="Input 62 2 3" xfId="11202"/>
    <cellStyle name="Input 62 3" xfId="11203"/>
    <cellStyle name="Input 62 3 2" xfId="11204"/>
    <cellStyle name="Input 62 3 2 2" xfId="11205"/>
    <cellStyle name="Input 62 3 2 2 2" xfId="11206"/>
    <cellStyle name="Input 62 3 2 3" xfId="11207"/>
    <cellStyle name="Input 62 3 3" xfId="11208"/>
    <cellStyle name="Input 62 3 3 2" xfId="11209"/>
    <cellStyle name="Input 62 3 4" xfId="11210"/>
    <cellStyle name="Input 62 4" xfId="11211"/>
    <cellStyle name="Input 62 4 2" xfId="11212"/>
    <cellStyle name="Input 62 5" xfId="11213"/>
    <cellStyle name="Input 63" xfId="11214"/>
    <cellStyle name="Input 63 2" xfId="11215"/>
    <cellStyle name="Input 63 2 2" xfId="11216"/>
    <cellStyle name="Input 63 2 2 2" xfId="11217"/>
    <cellStyle name="Input 63 2 3" xfId="11218"/>
    <cellStyle name="Input 63 3" xfId="11219"/>
    <cellStyle name="Input 63 3 2" xfId="11220"/>
    <cellStyle name="Input 63 3 2 2" xfId="11221"/>
    <cellStyle name="Input 63 3 2 2 2" xfId="11222"/>
    <cellStyle name="Input 63 3 2 3" xfId="11223"/>
    <cellStyle name="Input 63 3 3" xfId="11224"/>
    <cellStyle name="Input 63 3 3 2" xfId="11225"/>
    <cellStyle name="Input 63 3 4" xfId="11226"/>
    <cellStyle name="Input 63 4" xfId="11227"/>
    <cellStyle name="Input 63 4 2" xfId="11228"/>
    <cellStyle name="Input 63 5" xfId="11229"/>
    <cellStyle name="Input 64" xfId="11230"/>
    <cellStyle name="Input 64 2" xfId="11231"/>
    <cellStyle name="Input 64 2 2" xfId="11232"/>
    <cellStyle name="Input 64 2 2 2" xfId="11233"/>
    <cellStyle name="Input 64 2 3" xfId="11234"/>
    <cellStyle name="Input 64 3" xfId="11235"/>
    <cellStyle name="Input 64 3 2" xfId="11236"/>
    <cellStyle name="Input 64 3 2 2" xfId="11237"/>
    <cellStyle name="Input 64 3 2 2 2" xfId="11238"/>
    <cellStyle name="Input 64 3 2 3" xfId="11239"/>
    <cellStyle name="Input 64 3 3" xfId="11240"/>
    <cellStyle name="Input 64 3 3 2" xfId="11241"/>
    <cellStyle name="Input 64 3 4" xfId="11242"/>
    <cellStyle name="Input 64 4" xfId="11243"/>
    <cellStyle name="Input 64 4 2" xfId="11244"/>
    <cellStyle name="Input 64 5" xfId="11245"/>
    <cellStyle name="Input 65" xfId="11246"/>
    <cellStyle name="Input 65 2" xfId="11247"/>
    <cellStyle name="Input 65 2 2" xfId="11248"/>
    <cellStyle name="Input 65 2 2 2" xfId="11249"/>
    <cellStyle name="Input 65 2 3" xfId="11250"/>
    <cellStyle name="Input 65 3" xfId="11251"/>
    <cellStyle name="Input 65 3 2" xfId="11252"/>
    <cellStyle name="Input 65 3 2 2" xfId="11253"/>
    <cellStyle name="Input 65 3 2 2 2" xfId="11254"/>
    <cellStyle name="Input 65 3 2 3" xfId="11255"/>
    <cellStyle name="Input 65 3 3" xfId="11256"/>
    <cellStyle name="Input 65 3 3 2" xfId="11257"/>
    <cellStyle name="Input 65 3 4" xfId="11258"/>
    <cellStyle name="Input 65 4" xfId="11259"/>
    <cellStyle name="Input 65 4 2" xfId="11260"/>
    <cellStyle name="Input 65 5" xfId="11261"/>
    <cellStyle name="Input 66" xfId="11262"/>
    <cellStyle name="Input 66 2" xfId="11263"/>
    <cellStyle name="Input 66 2 2" xfId="11264"/>
    <cellStyle name="Input 66 2 2 2" xfId="11265"/>
    <cellStyle name="Input 66 2 3" xfId="11266"/>
    <cellStyle name="Input 66 3" xfId="11267"/>
    <cellStyle name="Input 66 3 2" xfId="11268"/>
    <cellStyle name="Input 66 3 2 2" xfId="11269"/>
    <cellStyle name="Input 66 3 2 2 2" xfId="11270"/>
    <cellStyle name="Input 66 3 2 3" xfId="11271"/>
    <cellStyle name="Input 66 3 3" xfId="11272"/>
    <cellStyle name="Input 66 3 3 2" xfId="11273"/>
    <cellStyle name="Input 66 3 4" xfId="11274"/>
    <cellStyle name="Input 66 4" xfId="11275"/>
    <cellStyle name="Input 66 4 2" xfId="11276"/>
    <cellStyle name="Input 66 5" xfId="11277"/>
    <cellStyle name="Input 67" xfId="11278"/>
    <cellStyle name="Input 67 2" xfId="11279"/>
    <cellStyle name="Input 67 2 2" xfId="11280"/>
    <cellStyle name="Input 67 2 2 2" xfId="11281"/>
    <cellStyle name="Input 67 2 3" xfId="11282"/>
    <cellStyle name="Input 67 3" xfId="11283"/>
    <cellStyle name="Input 67 3 2" xfId="11284"/>
    <cellStyle name="Input 67 3 2 2" xfId="11285"/>
    <cellStyle name="Input 67 3 2 2 2" xfId="11286"/>
    <cellStyle name="Input 67 3 2 3" xfId="11287"/>
    <cellStyle name="Input 67 3 3" xfId="11288"/>
    <cellStyle name="Input 67 3 3 2" xfId="11289"/>
    <cellStyle name="Input 67 3 4" xfId="11290"/>
    <cellStyle name="Input 67 4" xfId="11291"/>
    <cellStyle name="Input 67 4 2" xfId="11292"/>
    <cellStyle name="Input 67 5" xfId="11293"/>
    <cellStyle name="Input 68" xfId="11294"/>
    <cellStyle name="Input 68 2" xfId="11295"/>
    <cellStyle name="Input 68 2 2" xfId="11296"/>
    <cellStyle name="Input 68 2 2 2" xfId="11297"/>
    <cellStyle name="Input 68 2 3" xfId="11298"/>
    <cellStyle name="Input 68 3" xfId="11299"/>
    <cellStyle name="Input 68 3 2" xfId="11300"/>
    <cellStyle name="Input 68 3 2 2" xfId="11301"/>
    <cellStyle name="Input 68 3 2 2 2" xfId="11302"/>
    <cellStyle name="Input 68 3 2 3" xfId="11303"/>
    <cellStyle name="Input 68 3 3" xfId="11304"/>
    <cellStyle name="Input 68 3 3 2" xfId="11305"/>
    <cellStyle name="Input 68 3 4" xfId="11306"/>
    <cellStyle name="Input 68 4" xfId="11307"/>
    <cellStyle name="Input 68 4 2" xfId="11308"/>
    <cellStyle name="Input 68 5" xfId="11309"/>
    <cellStyle name="Input 69" xfId="11310"/>
    <cellStyle name="Input 69 2" xfId="11311"/>
    <cellStyle name="Input 69 2 2" xfId="11312"/>
    <cellStyle name="Input 69 2 2 2" xfId="11313"/>
    <cellStyle name="Input 69 2 3" xfId="11314"/>
    <cellStyle name="Input 69 3" xfId="11315"/>
    <cellStyle name="Input 69 3 2" xfId="11316"/>
    <cellStyle name="Input 69 3 2 2" xfId="11317"/>
    <cellStyle name="Input 69 3 2 2 2" xfId="11318"/>
    <cellStyle name="Input 69 3 2 3" xfId="11319"/>
    <cellStyle name="Input 69 3 3" xfId="11320"/>
    <cellStyle name="Input 69 3 3 2" xfId="11321"/>
    <cellStyle name="Input 69 3 4" xfId="11322"/>
    <cellStyle name="Input 69 4" xfId="11323"/>
    <cellStyle name="Input 69 4 2" xfId="11324"/>
    <cellStyle name="Input 69 5" xfId="11325"/>
    <cellStyle name="Input 7" xfId="11326"/>
    <cellStyle name="Input 7 2" xfId="11327"/>
    <cellStyle name="Input 7 2 2" xfId="11328"/>
    <cellStyle name="Input 7 2 2 2" xfId="11329"/>
    <cellStyle name="Input 7 2 2 2 2" xfId="11330"/>
    <cellStyle name="Input 7 2 2 3" xfId="11331"/>
    <cellStyle name="Input 7 2 3" xfId="11332"/>
    <cellStyle name="Input 7 2 3 2" xfId="11333"/>
    <cellStyle name="Input 7 2 3 2 2" xfId="11334"/>
    <cellStyle name="Input 7 2 3 2 2 2" xfId="11335"/>
    <cellStyle name="Input 7 2 3 2 3" xfId="11336"/>
    <cellStyle name="Input 7 2 3 3" xfId="11337"/>
    <cellStyle name="Input 7 2 3 3 2" xfId="11338"/>
    <cellStyle name="Input 7 2 3 4" xfId="11339"/>
    <cellStyle name="Input 7 2 4" xfId="11340"/>
    <cellStyle name="Input 7 2 4 2" xfId="11341"/>
    <cellStyle name="Input 7 2 5" xfId="11342"/>
    <cellStyle name="Input 7 3" xfId="11343"/>
    <cellStyle name="Input 7 3 2" xfId="11344"/>
    <cellStyle name="Input 7 3 2 2" xfId="11345"/>
    <cellStyle name="Input 7 3 3" xfId="11346"/>
    <cellStyle name="Input 7 4" xfId="11347"/>
    <cellStyle name="Input 7 4 2" xfId="11348"/>
    <cellStyle name="Input 7 4 2 2" xfId="11349"/>
    <cellStyle name="Input 7 4 2 2 2" xfId="11350"/>
    <cellStyle name="Input 7 4 2 2 2 2" xfId="11351"/>
    <cellStyle name="Input 7 4 2 2 2 2 2" xfId="11352"/>
    <cellStyle name="Input 7 4 2 2 2 3" xfId="11353"/>
    <cellStyle name="Input 7 4 2 2 3" xfId="11354"/>
    <cellStyle name="Input 7 4 2 2 3 2" xfId="11355"/>
    <cellStyle name="Input 7 4 2 2 4" xfId="11356"/>
    <cellStyle name="Input 7 4 2 3" xfId="11357"/>
    <cellStyle name="Input 7 4 2 3 2" xfId="11358"/>
    <cellStyle name="Input 7 4 2 3 2 2" xfId="11359"/>
    <cellStyle name="Input 7 4 2 3 3" xfId="11360"/>
    <cellStyle name="Input 7 4 2 4" xfId="11361"/>
    <cellStyle name="Input 7 4 2 4 2" xfId="11362"/>
    <cellStyle name="Input 7 4 2 5" xfId="11363"/>
    <cellStyle name="Input 7 4 3" xfId="11364"/>
    <cellStyle name="Input 7 4 3 2" xfId="11365"/>
    <cellStyle name="Input 7 4 3 2 2" xfId="11366"/>
    <cellStyle name="Input 7 4 3 2 2 2" xfId="11367"/>
    <cellStyle name="Input 7 4 3 2 3" xfId="11368"/>
    <cellStyle name="Input 7 4 3 3" xfId="11369"/>
    <cellStyle name="Input 7 4 3 3 2" xfId="11370"/>
    <cellStyle name="Input 7 4 3 4" xfId="11371"/>
    <cellStyle name="Input 7 4 4" xfId="11372"/>
    <cellStyle name="Input 7 4 4 2" xfId="11373"/>
    <cellStyle name="Input 7 4 4 2 2" xfId="11374"/>
    <cellStyle name="Input 7 4 4 3" xfId="11375"/>
    <cellStyle name="Input 7 4 5" xfId="11376"/>
    <cellStyle name="Input 7 4 5 2" xfId="11377"/>
    <cellStyle name="Input 7 4 6" xfId="11378"/>
    <cellStyle name="Input 7 5" xfId="11379"/>
    <cellStyle name="Input 7 5 2" xfId="11380"/>
    <cellStyle name="Input 7 6" xfId="11381"/>
    <cellStyle name="Input 70" xfId="11382"/>
    <cellStyle name="Input 70 2" xfId="11383"/>
    <cellStyle name="Input 70 2 2" xfId="11384"/>
    <cellStyle name="Input 70 2 2 2" xfId="11385"/>
    <cellStyle name="Input 70 2 3" xfId="11386"/>
    <cellStyle name="Input 70 3" xfId="11387"/>
    <cellStyle name="Input 70 3 2" xfId="11388"/>
    <cellStyle name="Input 70 3 2 2" xfId="11389"/>
    <cellStyle name="Input 70 3 2 2 2" xfId="11390"/>
    <cellStyle name="Input 70 3 2 3" xfId="11391"/>
    <cellStyle name="Input 70 3 3" xfId="11392"/>
    <cellStyle name="Input 70 3 3 2" xfId="11393"/>
    <cellStyle name="Input 70 3 4" xfId="11394"/>
    <cellStyle name="Input 70 4" xfId="11395"/>
    <cellStyle name="Input 70 4 2" xfId="11396"/>
    <cellStyle name="Input 70 5" xfId="11397"/>
    <cellStyle name="Input 71" xfId="11398"/>
    <cellStyle name="Input 71 2" xfId="11399"/>
    <cellStyle name="Input 71 2 2" xfId="11400"/>
    <cellStyle name="Input 71 2 2 2" xfId="11401"/>
    <cellStyle name="Input 71 2 3" xfId="11402"/>
    <cellStyle name="Input 71 3" xfId="11403"/>
    <cellStyle name="Input 71 3 2" xfId="11404"/>
    <cellStyle name="Input 71 3 2 2" xfId="11405"/>
    <cellStyle name="Input 71 3 2 2 2" xfId="11406"/>
    <cellStyle name="Input 71 3 2 3" xfId="11407"/>
    <cellStyle name="Input 71 3 3" xfId="11408"/>
    <cellStyle name="Input 71 3 3 2" xfId="11409"/>
    <cellStyle name="Input 71 3 4" xfId="11410"/>
    <cellStyle name="Input 71 4" xfId="11411"/>
    <cellStyle name="Input 71 4 2" xfId="11412"/>
    <cellStyle name="Input 71 5" xfId="11413"/>
    <cellStyle name="Input 72" xfId="11414"/>
    <cellStyle name="Input 72 2" xfId="11415"/>
    <cellStyle name="Input 72 2 2" xfId="11416"/>
    <cellStyle name="Input 72 2 2 2" xfId="11417"/>
    <cellStyle name="Input 72 2 3" xfId="11418"/>
    <cellStyle name="Input 72 3" xfId="11419"/>
    <cellStyle name="Input 72 3 2" xfId="11420"/>
    <cellStyle name="Input 72 3 2 2" xfId="11421"/>
    <cellStyle name="Input 72 3 2 2 2" xfId="11422"/>
    <cellStyle name="Input 72 3 2 3" xfId="11423"/>
    <cellStyle name="Input 72 3 3" xfId="11424"/>
    <cellStyle name="Input 72 3 3 2" xfId="11425"/>
    <cellStyle name="Input 72 3 4" xfId="11426"/>
    <cellStyle name="Input 72 4" xfId="11427"/>
    <cellStyle name="Input 72 4 2" xfId="11428"/>
    <cellStyle name="Input 72 5" xfId="11429"/>
    <cellStyle name="Input 73" xfId="11430"/>
    <cellStyle name="Input 73 2" xfId="11431"/>
    <cellStyle name="Input 73 2 2" xfId="11432"/>
    <cellStyle name="Input 73 2 2 2" xfId="11433"/>
    <cellStyle name="Input 73 2 3" xfId="11434"/>
    <cellStyle name="Input 73 3" xfId="11435"/>
    <cellStyle name="Input 73 3 2" xfId="11436"/>
    <cellStyle name="Input 73 3 2 2" xfId="11437"/>
    <cellStyle name="Input 73 3 2 2 2" xfId="11438"/>
    <cellStyle name="Input 73 3 2 3" xfId="11439"/>
    <cellStyle name="Input 73 3 3" xfId="11440"/>
    <cellStyle name="Input 73 3 3 2" xfId="11441"/>
    <cellStyle name="Input 73 3 4" xfId="11442"/>
    <cellStyle name="Input 73 4" xfId="11443"/>
    <cellStyle name="Input 73 4 2" xfId="11444"/>
    <cellStyle name="Input 73 5" xfId="11445"/>
    <cellStyle name="Input 74" xfId="11446"/>
    <cellStyle name="Input 74 2" xfId="11447"/>
    <cellStyle name="Input 74 2 2" xfId="11448"/>
    <cellStyle name="Input 74 2 2 2" xfId="11449"/>
    <cellStyle name="Input 74 2 3" xfId="11450"/>
    <cellStyle name="Input 74 3" xfId="11451"/>
    <cellStyle name="Input 74 3 2" xfId="11452"/>
    <cellStyle name="Input 74 3 2 2" xfId="11453"/>
    <cellStyle name="Input 74 3 2 2 2" xfId="11454"/>
    <cellStyle name="Input 74 3 2 3" xfId="11455"/>
    <cellStyle name="Input 74 3 3" xfId="11456"/>
    <cellStyle name="Input 74 3 3 2" xfId="11457"/>
    <cellStyle name="Input 74 3 4" xfId="11458"/>
    <cellStyle name="Input 74 4" xfId="11459"/>
    <cellStyle name="Input 74 4 2" xfId="11460"/>
    <cellStyle name="Input 74 5" xfId="11461"/>
    <cellStyle name="Input 75" xfId="11462"/>
    <cellStyle name="Input 75 2" xfId="11463"/>
    <cellStyle name="Input 75 2 2" xfId="11464"/>
    <cellStyle name="Input 75 2 2 2" xfId="11465"/>
    <cellStyle name="Input 75 2 3" xfId="11466"/>
    <cellStyle name="Input 75 3" xfId="11467"/>
    <cellStyle name="Input 75 3 2" xfId="11468"/>
    <cellStyle name="Input 75 3 2 2" xfId="11469"/>
    <cellStyle name="Input 75 3 2 2 2" xfId="11470"/>
    <cellStyle name="Input 75 3 2 3" xfId="11471"/>
    <cellStyle name="Input 75 3 3" xfId="11472"/>
    <cellStyle name="Input 75 3 3 2" xfId="11473"/>
    <cellStyle name="Input 75 3 4" xfId="11474"/>
    <cellStyle name="Input 75 4" xfId="11475"/>
    <cellStyle name="Input 75 4 2" xfId="11476"/>
    <cellStyle name="Input 75 5" xfId="11477"/>
    <cellStyle name="Input 76" xfId="11478"/>
    <cellStyle name="Input 76 2" xfId="11479"/>
    <cellStyle name="Input 76 2 2" xfId="11480"/>
    <cellStyle name="Input 76 2 2 2" xfId="11481"/>
    <cellStyle name="Input 76 2 3" xfId="11482"/>
    <cellStyle name="Input 76 3" xfId="11483"/>
    <cellStyle name="Input 76 3 2" xfId="11484"/>
    <cellStyle name="Input 76 3 2 2" xfId="11485"/>
    <cellStyle name="Input 76 3 2 2 2" xfId="11486"/>
    <cellStyle name="Input 76 3 2 3" xfId="11487"/>
    <cellStyle name="Input 76 3 3" xfId="11488"/>
    <cellStyle name="Input 76 3 3 2" xfId="11489"/>
    <cellStyle name="Input 76 3 4" xfId="11490"/>
    <cellStyle name="Input 76 4" xfId="11491"/>
    <cellStyle name="Input 76 4 2" xfId="11492"/>
    <cellStyle name="Input 76 5" xfId="11493"/>
    <cellStyle name="Input 77" xfId="11494"/>
    <cellStyle name="Input 77 2" xfId="11495"/>
    <cellStyle name="Input 77 2 2" xfId="11496"/>
    <cellStyle name="Input 77 2 2 2" xfId="11497"/>
    <cellStyle name="Input 77 2 3" xfId="11498"/>
    <cellStyle name="Input 77 3" xfId="11499"/>
    <cellStyle name="Input 77 3 2" xfId="11500"/>
    <cellStyle name="Input 77 3 2 2" xfId="11501"/>
    <cellStyle name="Input 77 3 2 2 2" xfId="11502"/>
    <cellStyle name="Input 77 3 2 3" xfId="11503"/>
    <cellStyle name="Input 77 3 3" xfId="11504"/>
    <cellStyle name="Input 77 3 3 2" xfId="11505"/>
    <cellStyle name="Input 77 3 4" xfId="11506"/>
    <cellStyle name="Input 77 4" xfId="11507"/>
    <cellStyle name="Input 77 4 2" xfId="11508"/>
    <cellStyle name="Input 77 5" xfId="11509"/>
    <cellStyle name="Input 78" xfId="11510"/>
    <cellStyle name="Input 78 2" xfId="11511"/>
    <cellStyle name="Input 78 2 2" xfId="11512"/>
    <cellStyle name="Input 78 2 2 2" xfId="11513"/>
    <cellStyle name="Input 78 2 3" xfId="11514"/>
    <cellStyle name="Input 78 3" xfId="11515"/>
    <cellStyle name="Input 78 3 2" xfId="11516"/>
    <cellStyle name="Input 78 3 2 2" xfId="11517"/>
    <cellStyle name="Input 78 3 2 2 2" xfId="11518"/>
    <cellStyle name="Input 78 3 2 3" xfId="11519"/>
    <cellStyle name="Input 78 3 3" xfId="11520"/>
    <cellStyle name="Input 78 3 3 2" xfId="11521"/>
    <cellStyle name="Input 78 3 4" xfId="11522"/>
    <cellStyle name="Input 78 4" xfId="11523"/>
    <cellStyle name="Input 78 4 2" xfId="11524"/>
    <cellStyle name="Input 78 5" xfId="11525"/>
    <cellStyle name="Input 79" xfId="11526"/>
    <cellStyle name="Input 79 2" xfId="11527"/>
    <cellStyle name="Input 79 2 2" xfId="11528"/>
    <cellStyle name="Input 79 2 2 2" xfId="11529"/>
    <cellStyle name="Input 79 2 3" xfId="11530"/>
    <cellStyle name="Input 79 3" xfId="11531"/>
    <cellStyle name="Input 79 3 2" xfId="11532"/>
    <cellStyle name="Input 79 3 2 2" xfId="11533"/>
    <cellStyle name="Input 79 3 2 2 2" xfId="11534"/>
    <cellStyle name="Input 79 3 2 3" xfId="11535"/>
    <cellStyle name="Input 79 3 3" xfId="11536"/>
    <cellStyle name="Input 79 3 3 2" xfId="11537"/>
    <cellStyle name="Input 79 3 4" xfId="11538"/>
    <cellStyle name="Input 79 4" xfId="11539"/>
    <cellStyle name="Input 79 4 2" xfId="11540"/>
    <cellStyle name="Input 79 5" xfId="11541"/>
    <cellStyle name="Input 8" xfId="11542"/>
    <cellStyle name="Input 8 2" xfId="11543"/>
    <cellStyle name="Input 8 2 2" xfId="11544"/>
    <cellStyle name="Input 8 2 2 2" xfId="11545"/>
    <cellStyle name="Input 8 2 3" xfId="11546"/>
    <cellStyle name="Input 8 3" xfId="11547"/>
    <cellStyle name="Input 8 3 2" xfId="11548"/>
    <cellStyle name="Input 8 4" xfId="11549"/>
    <cellStyle name="Input 80" xfId="11550"/>
    <cellStyle name="Input 80 2" xfId="11551"/>
    <cellStyle name="Input 80 2 2" xfId="11552"/>
    <cellStyle name="Input 80 2 2 2" xfId="11553"/>
    <cellStyle name="Input 80 2 3" xfId="11554"/>
    <cellStyle name="Input 80 3" xfId="11555"/>
    <cellStyle name="Input 80 3 2" xfId="11556"/>
    <cellStyle name="Input 80 3 2 2" xfId="11557"/>
    <cellStyle name="Input 80 3 2 2 2" xfId="11558"/>
    <cellStyle name="Input 80 3 2 3" xfId="11559"/>
    <cellStyle name="Input 80 3 3" xfId="11560"/>
    <cellStyle name="Input 80 3 3 2" xfId="11561"/>
    <cellStyle name="Input 80 3 4" xfId="11562"/>
    <cellStyle name="Input 80 4" xfId="11563"/>
    <cellStyle name="Input 80 4 2" xfId="11564"/>
    <cellStyle name="Input 80 5" xfId="11565"/>
    <cellStyle name="Input 81" xfId="11566"/>
    <cellStyle name="Input 81 2" xfId="11567"/>
    <cellStyle name="Input 81 2 2" xfId="11568"/>
    <cellStyle name="Input 81 2 2 2" xfId="11569"/>
    <cellStyle name="Input 81 2 3" xfId="11570"/>
    <cellStyle name="Input 81 3" xfId="11571"/>
    <cellStyle name="Input 81 3 2" xfId="11572"/>
    <cellStyle name="Input 81 3 2 2" xfId="11573"/>
    <cellStyle name="Input 81 3 2 2 2" xfId="11574"/>
    <cellStyle name="Input 81 3 2 3" xfId="11575"/>
    <cellStyle name="Input 81 3 3" xfId="11576"/>
    <cellStyle name="Input 81 3 3 2" xfId="11577"/>
    <cellStyle name="Input 81 3 4" xfId="11578"/>
    <cellStyle name="Input 81 4" xfId="11579"/>
    <cellStyle name="Input 81 4 2" xfId="11580"/>
    <cellStyle name="Input 81 5" xfId="11581"/>
    <cellStyle name="Input 82" xfId="11582"/>
    <cellStyle name="Input 82 2" xfId="11583"/>
    <cellStyle name="Input 82 2 2" xfId="11584"/>
    <cellStyle name="Input 82 2 2 2" xfId="11585"/>
    <cellStyle name="Input 82 2 3" xfId="11586"/>
    <cellStyle name="Input 82 3" xfId="11587"/>
    <cellStyle name="Input 82 3 2" xfId="11588"/>
    <cellStyle name="Input 82 3 2 2" xfId="11589"/>
    <cellStyle name="Input 82 3 2 2 2" xfId="11590"/>
    <cellStyle name="Input 82 3 2 3" xfId="11591"/>
    <cellStyle name="Input 82 3 3" xfId="11592"/>
    <cellStyle name="Input 82 3 3 2" xfId="11593"/>
    <cellStyle name="Input 82 3 4" xfId="11594"/>
    <cellStyle name="Input 82 4" xfId="11595"/>
    <cellStyle name="Input 82 4 2" xfId="11596"/>
    <cellStyle name="Input 82 5" xfId="11597"/>
    <cellStyle name="Input 83" xfId="11598"/>
    <cellStyle name="Input 83 2" xfId="11599"/>
    <cellStyle name="Input 83 2 2" xfId="11600"/>
    <cellStyle name="Input 83 2 2 2" xfId="11601"/>
    <cellStyle name="Input 83 2 3" xfId="11602"/>
    <cellStyle name="Input 83 3" xfId="11603"/>
    <cellStyle name="Input 83 3 2" xfId="11604"/>
    <cellStyle name="Input 83 3 2 2" xfId="11605"/>
    <cellStyle name="Input 83 3 2 2 2" xfId="11606"/>
    <cellStyle name="Input 83 3 2 3" xfId="11607"/>
    <cellStyle name="Input 83 3 3" xfId="11608"/>
    <cellStyle name="Input 83 3 3 2" xfId="11609"/>
    <cellStyle name="Input 83 3 4" xfId="11610"/>
    <cellStyle name="Input 83 4" xfId="11611"/>
    <cellStyle name="Input 83 4 2" xfId="11612"/>
    <cellStyle name="Input 83 5" xfId="11613"/>
    <cellStyle name="Input 84" xfId="11614"/>
    <cellStyle name="Input 84 2" xfId="11615"/>
    <cellStyle name="Input 84 2 2" xfId="11616"/>
    <cellStyle name="Input 84 2 2 2" xfId="11617"/>
    <cellStyle name="Input 84 2 3" xfId="11618"/>
    <cellStyle name="Input 84 3" xfId="11619"/>
    <cellStyle name="Input 84 3 2" xfId="11620"/>
    <cellStyle name="Input 84 4" xfId="11621"/>
    <cellStyle name="Input 85" xfId="11622"/>
    <cellStyle name="Input 85 2" xfId="11623"/>
    <cellStyle name="Input 85 2 2" xfId="11624"/>
    <cellStyle name="Input 85 2 2 2" xfId="11625"/>
    <cellStyle name="Input 85 2 3" xfId="11626"/>
    <cellStyle name="Input 85 3" xfId="11627"/>
    <cellStyle name="Input 85 3 2" xfId="11628"/>
    <cellStyle name="Input 85 4" xfId="11629"/>
    <cellStyle name="Input 86" xfId="11630"/>
    <cellStyle name="Input 86 2" xfId="11631"/>
    <cellStyle name="Input 86 2 2" xfId="11632"/>
    <cellStyle name="Input 86 2 2 2" xfId="11633"/>
    <cellStyle name="Input 86 2 3" xfId="11634"/>
    <cellStyle name="Input 86 3" xfId="11635"/>
    <cellStyle name="Input 86 3 2" xfId="11636"/>
    <cellStyle name="Input 86 4" xfId="11637"/>
    <cellStyle name="Input 87" xfId="11638"/>
    <cellStyle name="Input 87 2" xfId="11639"/>
    <cellStyle name="Input 87 2 2" xfId="11640"/>
    <cellStyle name="Input 87 2 2 2" xfId="11641"/>
    <cellStyle name="Input 87 2 3" xfId="11642"/>
    <cellStyle name="Input 87 3" xfId="11643"/>
    <cellStyle name="Input 87 3 2" xfId="11644"/>
    <cellStyle name="Input 87 4" xfId="11645"/>
    <cellStyle name="Input 88" xfId="11646"/>
    <cellStyle name="Input 88 2" xfId="11647"/>
    <cellStyle name="Input 88 2 2" xfId="11648"/>
    <cellStyle name="Input 88 2 2 2" xfId="11649"/>
    <cellStyle name="Input 88 2 3" xfId="11650"/>
    <cellStyle name="Input 88 3" xfId="11651"/>
    <cellStyle name="Input 88 3 2" xfId="11652"/>
    <cellStyle name="Input 88 4" xfId="11653"/>
    <cellStyle name="Input 89" xfId="11654"/>
    <cellStyle name="Input 89 2" xfId="11655"/>
    <cellStyle name="Input 89 2 2" xfId="11656"/>
    <cellStyle name="Input 89 2 2 2" xfId="11657"/>
    <cellStyle name="Input 89 2 3" xfId="11658"/>
    <cellStyle name="Input 89 3" xfId="11659"/>
    <cellStyle name="Input 89 3 2" xfId="11660"/>
    <cellStyle name="Input 89 4" xfId="11661"/>
    <cellStyle name="Input 9" xfId="11662"/>
    <cellStyle name="Input 9 2" xfId="11663"/>
    <cellStyle name="Input 9 2 2" xfId="11664"/>
    <cellStyle name="Input 9 2 2 2" xfId="11665"/>
    <cellStyle name="Input 9 2 3" xfId="11666"/>
    <cellStyle name="Input 9 3" xfId="11667"/>
    <cellStyle name="Input 9 3 2" xfId="11668"/>
    <cellStyle name="Input 9 4" xfId="11669"/>
    <cellStyle name="Input 90" xfId="11670"/>
    <cellStyle name="Input 90 2" xfId="11671"/>
    <cellStyle name="Input 90 2 2" xfId="11672"/>
    <cellStyle name="Input 90 2 2 2" xfId="11673"/>
    <cellStyle name="Input 90 2 3" xfId="11674"/>
    <cellStyle name="Input 90 3" xfId="11675"/>
    <cellStyle name="Input 90 3 2" xfId="11676"/>
    <cellStyle name="Input 90 4" xfId="11677"/>
    <cellStyle name="Input 91" xfId="11678"/>
    <cellStyle name="Input 91 2" xfId="11679"/>
    <cellStyle name="Input 91 2 2" xfId="11680"/>
    <cellStyle name="Input 91 2 2 2" xfId="11681"/>
    <cellStyle name="Input 91 2 3" xfId="11682"/>
    <cellStyle name="Input 91 3" xfId="11683"/>
    <cellStyle name="Input 91 3 2" xfId="11684"/>
    <cellStyle name="Input 91 4" xfId="11685"/>
    <cellStyle name="Input 92" xfId="11686"/>
    <cellStyle name="Input 92 2" xfId="11687"/>
    <cellStyle name="Input 92 2 2" xfId="11688"/>
    <cellStyle name="Input 92 2 2 2" xfId="11689"/>
    <cellStyle name="Input 92 2 3" xfId="11690"/>
    <cellStyle name="Input 92 3" xfId="11691"/>
    <cellStyle name="Input 92 3 2" xfId="11692"/>
    <cellStyle name="Input 92 4" xfId="11693"/>
    <cellStyle name="Input 93" xfId="11694"/>
    <cellStyle name="Input 93 2" xfId="11695"/>
    <cellStyle name="Input 93 2 2" xfId="11696"/>
    <cellStyle name="Input 93 2 2 2" xfId="11697"/>
    <cellStyle name="Input 93 2 3" xfId="11698"/>
    <cellStyle name="Input 93 3" xfId="11699"/>
    <cellStyle name="Input 93 3 2" xfId="11700"/>
    <cellStyle name="Input 93 4" xfId="11701"/>
    <cellStyle name="Input 94" xfId="11702"/>
    <cellStyle name="Input 94 2" xfId="11703"/>
    <cellStyle name="Input 94 2 2" xfId="11704"/>
    <cellStyle name="Input 94 2 2 2" xfId="11705"/>
    <cellStyle name="Input 94 2 3" xfId="11706"/>
    <cellStyle name="Input 94 3" xfId="11707"/>
    <cellStyle name="Input 94 3 2" xfId="11708"/>
    <cellStyle name="Input 94 4" xfId="11709"/>
    <cellStyle name="Input 95" xfId="11710"/>
    <cellStyle name="Input 95 2" xfId="11711"/>
    <cellStyle name="Input 95 2 2" xfId="11712"/>
    <cellStyle name="Input 95 2 2 2" xfId="11713"/>
    <cellStyle name="Input 95 2 3" xfId="11714"/>
    <cellStyle name="Input 95 3" xfId="11715"/>
    <cellStyle name="Input 95 3 2" xfId="11716"/>
    <cellStyle name="Input 95 4" xfId="11717"/>
    <cellStyle name="Input 96" xfId="11718"/>
    <cellStyle name="Input 96 2" xfId="11719"/>
    <cellStyle name="Input 96 2 2" xfId="11720"/>
    <cellStyle name="Input 96 2 2 2" xfId="11721"/>
    <cellStyle name="Input 96 2 3" xfId="11722"/>
    <cellStyle name="Input 96 3" xfId="11723"/>
    <cellStyle name="Input 96 3 2" xfId="11724"/>
    <cellStyle name="Input 96 4" xfId="11725"/>
    <cellStyle name="Input 97" xfId="11726"/>
    <cellStyle name="Input 97 2" xfId="11727"/>
    <cellStyle name="Input 97 2 2" xfId="11728"/>
    <cellStyle name="Input 97 2 2 2" xfId="11729"/>
    <cellStyle name="Input 97 2 3" xfId="11730"/>
    <cellStyle name="Input 97 3" xfId="11731"/>
    <cellStyle name="Input 97 3 2" xfId="11732"/>
    <cellStyle name="Input 97 4" xfId="11733"/>
    <cellStyle name="Input 98" xfId="11734"/>
    <cellStyle name="Input 98 2" xfId="11735"/>
    <cellStyle name="Input 98 2 2" xfId="11736"/>
    <cellStyle name="Input 98 2 2 2" xfId="11737"/>
    <cellStyle name="Input 98 2 3" xfId="11738"/>
    <cellStyle name="Input 98 3" xfId="11739"/>
    <cellStyle name="Input 98 3 2" xfId="11740"/>
    <cellStyle name="Input 98 4" xfId="11741"/>
    <cellStyle name="Input 99" xfId="11742"/>
    <cellStyle name="Input 99 2" xfId="11743"/>
    <cellStyle name="Input 99 2 2" xfId="11744"/>
    <cellStyle name="Input 99 2 2 2" xfId="11745"/>
    <cellStyle name="Input 99 2 3" xfId="11746"/>
    <cellStyle name="Input 99 3" xfId="11747"/>
    <cellStyle name="Input 99 3 2" xfId="11748"/>
    <cellStyle name="Input 99 4" xfId="11749"/>
    <cellStyle name="IntegerNoZero" xfId="11750"/>
    <cellStyle name="Linked" xfId="11751"/>
    <cellStyle name="Linked 2" xfId="11752"/>
    <cellStyle name="Linked Cell 2" xfId="11753"/>
    <cellStyle name="Linked Cell 2 10" xfId="11754"/>
    <cellStyle name="Linked Cell 2 10 2" xfId="11755"/>
    <cellStyle name="Linked Cell 2 11" xfId="11756"/>
    <cellStyle name="Linked Cell 2 12" xfId="11757"/>
    <cellStyle name="Linked Cell 2 2" xfId="11758"/>
    <cellStyle name="Linked Cell 2 2 2" xfId="11759"/>
    <cellStyle name="Linked Cell 2 2 2 2" xfId="11760"/>
    <cellStyle name="Linked Cell 2 2 3" xfId="11761"/>
    <cellStyle name="Linked Cell 2 2 3 2" xfId="11762"/>
    <cellStyle name="Linked Cell 2 2 3 2 2" xfId="11763"/>
    <cellStyle name="Linked Cell 2 2 3 3" xfId="11764"/>
    <cellStyle name="Linked Cell 2 2 4" xfId="11765"/>
    <cellStyle name="Linked Cell 2 3" xfId="11766"/>
    <cellStyle name="Linked Cell 2 3 2" xfId="11767"/>
    <cellStyle name="Linked Cell 2 3 2 2" xfId="11768"/>
    <cellStyle name="Linked Cell 2 3 3" xfId="11769"/>
    <cellStyle name="Linked Cell 2 3 3 2" xfId="11770"/>
    <cellStyle name="Linked Cell 2 3 3 2 2" xfId="11771"/>
    <cellStyle name="Linked Cell 2 3 3 3" xfId="11772"/>
    <cellStyle name="Linked Cell 2 3 4" xfId="11773"/>
    <cellStyle name="Linked Cell 2 4" xfId="11774"/>
    <cellStyle name="Linked Cell 2 4 2" xfId="11775"/>
    <cellStyle name="Linked Cell 2 4 2 2" xfId="11776"/>
    <cellStyle name="Linked Cell 2 4 3" xfId="11777"/>
    <cellStyle name="Linked Cell 2 5" xfId="11778"/>
    <cellStyle name="Linked Cell 2 5 2" xfId="11779"/>
    <cellStyle name="Linked Cell 2 5 2 2" xfId="11780"/>
    <cellStyle name="Linked Cell 2 5 3" xfId="11781"/>
    <cellStyle name="Linked Cell 2 5 3 2" xfId="11782"/>
    <cellStyle name="Linked Cell 2 5 3 2 2" xfId="11783"/>
    <cellStyle name="Linked Cell 2 5 3 3" xfId="11784"/>
    <cellStyle name="Linked Cell 2 5 4" xfId="11785"/>
    <cellStyle name="Linked Cell 2 6" xfId="11786"/>
    <cellStyle name="Linked Cell 2 6 2" xfId="11787"/>
    <cellStyle name="Linked Cell 2 6 2 2" xfId="11788"/>
    <cellStyle name="Linked Cell 2 6 3" xfId="11789"/>
    <cellStyle name="Linked Cell 2 6 3 2" xfId="11790"/>
    <cellStyle name="Linked Cell 2 6 4" xfId="11791"/>
    <cellStyle name="Linked Cell 2 7" xfId="11792"/>
    <cellStyle name="Linked Cell 2 7 2" xfId="11793"/>
    <cellStyle name="Linked Cell 2 8" xfId="11794"/>
    <cellStyle name="Linked Cell 2 8 2" xfId="11795"/>
    <cellStyle name="Linked Cell 2 8 2 2" xfId="11796"/>
    <cellStyle name="Linked Cell 2 8 3" xfId="11797"/>
    <cellStyle name="Linked Cell 2 9" xfId="11798"/>
    <cellStyle name="Linked Cell 2 9 2" xfId="11799"/>
    <cellStyle name="Linked Cell 2 9 2 2" xfId="11800"/>
    <cellStyle name="Linked Cell 2 9 3" xfId="11801"/>
    <cellStyle name="Linked Cell 3" xfId="11802"/>
    <cellStyle name="Linked Cell 3 2" xfId="11803"/>
    <cellStyle name="Linked Cell 3 2 2" xfId="11804"/>
    <cellStyle name="Linked Cell 3 3" xfId="11805"/>
    <cellStyle name="Linked Cell 3 3 2" xfId="11806"/>
    <cellStyle name="Linked Cell 3 4" xfId="11807"/>
    <cellStyle name="Linked Cell 3 4 2" xfId="11808"/>
    <cellStyle name="Linked Cell 3 4 2 2" xfId="11809"/>
    <cellStyle name="Linked Cell 3 4 3" xfId="11810"/>
    <cellStyle name="Linked Cell 3 5" xfId="11811"/>
    <cellStyle name="Linked Cell 4" xfId="11812"/>
    <cellStyle name="Linked Cell 4 2" xfId="11813"/>
    <cellStyle name="Linked Cell 4 2 2" xfId="11814"/>
    <cellStyle name="Linked Cell 4 3" xfId="11815"/>
    <cellStyle name="Linked Cell 4 3 2" xfId="11816"/>
    <cellStyle name="Linked Cell 4 3 2 2" xfId="11817"/>
    <cellStyle name="Linked Cell 4 3 3" xfId="11818"/>
    <cellStyle name="Linked Cell 4 4" xfId="11819"/>
    <cellStyle name="Linked Cell 5" xfId="11820"/>
    <cellStyle name="Linked Cell 5 2" xfId="11821"/>
    <cellStyle name="Linked Cell 5 2 2" xfId="11822"/>
    <cellStyle name="Linked Cell 5 3" xfId="11823"/>
    <cellStyle name="Linked Cell 5 3 2" xfId="11824"/>
    <cellStyle name="Linked Cell 5 3 2 2" xfId="11825"/>
    <cellStyle name="Linked Cell 5 3 3" xfId="11826"/>
    <cellStyle name="Linked Cell 5 4" xfId="11827"/>
    <cellStyle name="Linked Cell 6" xfId="11828"/>
    <cellStyle name="Linked Cell 6 2" xfId="11829"/>
    <cellStyle name="Linked Cell 6 2 2" xfId="11830"/>
    <cellStyle name="Linked Cell 6 3" xfId="11831"/>
    <cellStyle name="Linked Cell 7" xfId="11832"/>
    <cellStyle name="Linked Cell 7 2" xfId="11833"/>
    <cellStyle name="Linked Cell 8" xfId="11834"/>
    <cellStyle name="Linked Cell 9" xfId="11835"/>
    <cellStyle name="Missing" xfId="11836"/>
    <cellStyle name="Missing 2" xfId="11837"/>
    <cellStyle name="mmmyy" xfId="11838"/>
    <cellStyle name="Neutral 2" xfId="11839"/>
    <cellStyle name="Neutral 2 10" xfId="11840"/>
    <cellStyle name="Neutral 2 10 2" xfId="11841"/>
    <cellStyle name="Neutral 2 11" xfId="11842"/>
    <cellStyle name="Neutral 2 12" xfId="11843"/>
    <cellStyle name="Neutral 2 2" xfId="11844"/>
    <cellStyle name="Neutral 2 2 2" xfId="11845"/>
    <cellStyle name="Neutral 2 2 2 2" xfId="11846"/>
    <cellStyle name="Neutral 2 2 3" xfId="11847"/>
    <cellStyle name="Neutral 2 2 3 2" xfId="11848"/>
    <cellStyle name="Neutral 2 2 3 2 2" xfId="11849"/>
    <cellStyle name="Neutral 2 2 3 3" xfId="11850"/>
    <cellStyle name="Neutral 2 2 4" xfId="11851"/>
    <cellStyle name="Neutral 2 2 4 2" xfId="11852"/>
    <cellStyle name="Neutral 2 2 5" xfId="11853"/>
    <cellStyle name="Neutral 2 3" xfId="11854"/>
    <cellStyle name="Neutral 2 3 2" xfId="11855"/>
    <cellStyle name="Neutral 2 3 2 2" xfId="11856"/>
    <cellStyle name="Neutral 2 3 3" xfId="11857"/>
    <cellStyle name="Neutral 2 3 3 2" xfId="11858"/>
    <cellStyle name="Neutral 2 3 3 2 2" xfId="11859"/>
    <cellStyle name="Neutral 2 3 3 3" xfId="11860"/>
    <cellStyle name="Neutral 2 3 4" xfId="11861"/>
    <cellStyle name="Neutral 2 4" xfId="11862"/>
    <cellStyle name="Neutral 2 4 2" xfId="11863"/>
    <cellStyle name="Neutral 2 4 2 2" xfId="11864"/>
    <cellStyle name="Neutral 2 4 3" xfId="11865"/>
    <cellStyle name="Neutral 2 5" xfId="11866"/>
    <cellStyle name="Neutral 2 5 2" xfId="11867"/>
    <cellStyle name="Neutral 2 5 2 2" xfId="11868"/>
    <cellStyle name="Neutral 2 5 3" xfId="11869"/>
    <cellStyle name="Neutral 2 5 3 2" xfId="11870"/>
    <cellStyle name="Neutral 2 5 3 2 2" xfId="11871"/>
    <cellStyle name="Neutral 2 5 3 3" xfId="11872"/>
    <cellStyle name="Neutral 2 5 4" xfId="11873"/>
    <cellStyle name="Neutral 2 6" xfId="11874"/>
    <cellStyle name="Neutral 2 6 2" xfId="11875"/>
    <cellStyle name="Neutral 2 6 2 2" xfId="11876"/>
    <cellStyle name="Neutral 2 6 3" xfId="11877"/>
    <cellStyle name="Neutral 2 6 3 2" xfId="11878"/>
    <cellStyle name="Neutral 2 6 4" xfId="11879"/>
    <cellStyle name="Neutral 2 7" xfId="11880"/>
    <cellStyle name="Neutral 2 7 2" xfId="11881"/>
    <cellStyle name="Neutral 2 8" xfId="11882"/>
    <cellStyle name="Neutral 2 8 2" xfId="11883"/>
    <cellStyle name="Neutral 2 8 2 2" xfId="11884"/>
    <cellStyle name="Neutral 2 8 3" xfId="11885"/>
    <cellStyle name="Neutral 2 9" xfId="11886"/>
    <cellStyle name="Neutral 2 9 2" xfId="11887"/>
    <cellStyle name="Neutral 2 9 2 2" xfId="11888"/>
    <cellStyle name="Neutral 2 9 3" xfId="11889"/>
    <cellStyle name="Neutral 3" xfId="11890"/>
    <cellStyle name="Neutral 3 2" xfId="11891"/>
    <cellStyle name="Neutral 3 2 2" xfId="11892"/>
    <cellStyle name="Neutral 3 3" xfId="11893"/>
    <cellStyle name="Neutral 3 3 2" xfId="11894"/>
    <cellStyle name="Neutral 3 4" xfId="11895"/>
    <cellStyle name="Neutral 3 4 2" xfId="11896"/>
    <cellStyle name="Neutral 3 4 2 2" xfId="11897"/>
    <cellStyle name="Neutral 3 4 3" xfId="11898"/>
    <cellStyle name="Neutral 3 5" xfId="11899"/>
    <cellStyle name="Neutral 4" xfId="11900"/>
    <cellStyle name="Neutral 4 2" xfId="11901"/>
    <cellStyle name="Neutral 4 2 2" xfId="11902"/>
    <cellStyle name="Neutral 4 3" xfId="11903"/>
    <cellStyle name="Neutral 4 3 2" xfId="11904"/>
    <cellStyle name="Neutral 4 3 2 2" xfId="11905"/>
    <cellStyle name="Neutral 4 3 3" xfId="11906"/>
    <cellStyle name="Neutral 4 4" xfId="11907"/>
    <cellStyle name="Neutral 5" xfId="11908"/>
    <cellStyle name="Neutral 5 2" xfId="11909"/>
    <cellStyle name="Neutral 5 2 2" xfId="11910"/>
    <cellStyle name="Neutral 5 3" xfId="11911"/>
    <cellStyle name="Neutral 5 3 2" xfId="11912"/>
    <cellStyle name="Neutral 5 3 2 2" xfId="11913"/>
    <cellStyle name="Neutral 5 3 3" xfId="11914"/>
    <cellStyle name="Neutral 5 4" xfId="11915"/>
    <cellStyle name="Neutral 6" xfId="11916"/>
    <cellStyle name="Neutral 6 2" xfId="11917"/>
    <cellStyle name="Neutral 6 2 2" xfId="11918"/>
    <cellStyle name="Neutral 6 3" xfId="11919"/>
    <cellStyle name="Neutral 7" xfId="11920"/>
    <cellStyle name="Neutral 7 2" xfId="11921"/>
    <cellStyle name="Neutral 8" xfId="11922"/>
    <cellStyle name="Neutral 9" xfId="11923"/>
    <cellStyle name="no dec" xfId="11924"/>
    <cellStyle name="Normal" xfId="0" builtinId="0"/>
    <cellStyle name="Normal - Style1" xfId="11925"/>
    <cellStyle name="Normal - Style1 2" xfId="11926"/>
    <cellStyle name="Normal - Style1 2 2" xfId="11927"/>
    <cellStyle name="Normal 10" xfId="124"/>
    <cellStyle name="Normal 10 2" xfId="11928"/>
    <cellStyle name="Normal 10 2 2" xfId="11929"/>
    <cellStyle name="Normal 10 2 2 2" xfId="11930"/>
    <cellStyle name="Normal 10 2 3" xfId="11931"/>
    <cellStyle name="Normal 10 2 3 2" xfId="11932"/>
    <cellStyle name="Normal 10 2 3 2 2" xfId="11933"/>
    <cellStyle name="Normal 10 2 3 3" xfId="11934"/>
    <cellStyle name="Normal 10 2 4" xfId="11935"/>
    <cellStyle name="Normal 10 3" xfId="11936"/>
    <cellStyle name="Normal 10 3 2" xfId="11937"/>
    <cellStyle name="Normal 10 3 2 2" xfId="11938"/>
    <cellStyle name="Normal 10 3 2 2 2" xfId="11939"/>
    <cellStyle name="Normal 10 3 2 3" xfId="11940"/>
    <cellStyle name="Normal 10 3 3" xfId="11941"/>
    <cellStyle name="Normal 10 3 3 2" xfId="11942"/>
    <cellStyle name="Normal 10 3 3 2 2" xfId="11943"/>
    <cellStyle name="Normal 10 3 3 3" xfId="11944"/>
    <cellStyle name="Normal 10 3 4" xfId="11945"/>
    <cellStyle name="Normal 10 4" xfId="11946"/>
    <cellStyle name="Normal 10 4 2" xfId="11947"/>
    <cellStyle name="Normal 10 5" xfId="11948"/>
    <cellStyle name="Normal 10 5 2" xfId="11949"/>
    <cellStyle name="Normal 10 5 2 2" xfId="11950"/>
    <cellStyle name="Normal 10 5 3" xfId="11951"/>
    <cellStyle name="Normal 10 6" xfId="134"/>
    <cellStyle name="Normal 10 6 2" xfId="11952"/>
    <cellStyle name="Normal 10 6 2 2" xfId="11953"/>
    <cellStyle name="Normal 10 6 3" xfId="11954"/>
    <cellStyle name="Normal 10 7" xfId="11955"/>
    <cellStyle name="Normal 10 7 2" xfId="11956"/>
    <cellStyle name="Normal 10 7 2 2" xfId="11957"/>
    <cellStyle name="Normal 10 7 3" xfId="11958"/>
    <cellStyle name="Normal 10 8" xfId="11959"/>
    <cellStyle name="Normal 10 9" xfId="669"/>
    <cellStyle name="Normal 100" xfId="11960"/>
    <cellStyle name="Normal 100 2" xfId="11961"/>
    <cellStyle name="Normal 100 2 2" xfId="11962"/>
    <cellStyle name="Normal 100 2 2 2" xfId="11963"/>
    <cellStyle name="Normal 100 2 3" xfId="11964"/>
    <cellStyle name="Normal 100 3" xfId="11965"/>
    <cellStyle name="Normal 100 3 2" xfId="11966"/>
    <cellStyle name="Normal 100 3 2 2" xfId="11967"/>
    <cellStyle name="Normal 100 3 3" xfId="11968"/>
    <cellStyle name="Normal 100 3 3 2" xfId="11969"/>
    <cellStyle name="Normal 100 3 3 2 2" xfId="11970"/>
    <cellStyle name="Normal 100 3 3 3" xfId="11971"/>
    <cellStyle name="Normal 100 3 4" xfId="11972"/>
    <cellStyle name="Normal 100 4" xfId="11973"/>
    <cellStyle name="Normal 100 4 2" xfId="11974"/>
    <cellStyle name="Normal 100 4 2 2" xfId="11975"/>
    <cellStyle name="Normal 100 4 3" xfId="11976"/>
    <cellStyle name="Normal 100 5" xfId="11977"/>
    <cellStyle name="Normal 101" xfId="11978"/>
    <cellStyle name="Normal 101 2" xfId="11979"/>
    <cellStyle name="Normal 101 2 2" xfId="11980"/>
    <cellStyle name="Normal 101 2 2 2" xfId="11981"/>
    <cellStyle name="Normal 101 2 3" xfId="11982"/>
    <cellStyle name="Normal 101 3" xfId="11983"/>
    <cellStyle name="Normal 101 3 2" xfId="11984"/>
    <cellStyle name="Normal 101 3 2 2" xfId="11985"/>
    <cellStyle name="Normal 101 3 3" xfId="11986"/>
    <cellStyle name="Normal 101 3 3 2" xfId="11987"/>
    <cellStyle name="Normal 101 3 3 2 2" xfId="11988"/>
    <cellStyle name="Normal 101 3 3 3" xfId="11989"/>
    <cellStyle name="Normal 101 3 4" xfId="11990"/>
    <cellStyle name="Normal 101 4" xfId="11991"/>
    <cellStyle name="Normal 101 4 2" xfId="11992"/>
    <cellStyle name="Normal 101 4 2 2" xfId="11993"/>
    <cellStyle name="Normal 101 4 3" xfId="11994"/>
    <cellStyle name="Normal 101 5" xfId="11995"/>
    <cellStyle name="Normal 102" xfId="11996"/>
    <cellStyle name="Normal 102 2" xfId="11997"/>
    <cellStyle name="Normal 102 2 2" xfId="11998"/>
    <cellStyle name="Normal 102 2 2 2" xfId="11999"/>
    <cellStyle name="Normal 102 2 3" xfId="12000"/>
    <cellStyle name="Normal 102 3" xfId="12001"/>
    <cellStyle name="Normal 102 3 2" xfId="12002"/>
    <cellStyle name="Normal 102 3 2 2" xfId="12003"/>
    <cellStyle name="Normal 102 3 3" xfId="12004"/>
    <cellStyle name="Normal 102 3 3 2" xfId="12005"/>
    <cellStyle name="Normal 102 3 3 2 2" xfId="12006"/>
    <cellStyle name="Normal 102 3 3 3" xfId="12007"/>
    <cellStyle name="Normal 102 3 4" xfId="12008"/>
    <cellStyle name="Normal 102 4" xfId="12009"/>
    <cellStyle name="Normal 102 4 2" xfId="12010"/>
    <cellStyle name="Normal 102 4 2 2" xfId="12011"/>
    <cellStyle name="Normal 102 4 3" xfId="12012"/>
    <cellStyle name="Normal 102 5" xfId="12013"/>
    <cellStyle name="Normal 103" xfId="12014"/>
    <cellStyle name="Normal 103 2" xfId="12015"/>
    <cellStyle name="Normal 103 2 2" xfId="12016"/>
    <cellStyle name="Normal 103 2 2 2" xfId="12017"/>
    <cellStyle name="Normal 103 2 3" xfId="12018"/>
    <cellStyle name="Normal 103 3" xfId="12019"/>
    <cellStyle name="Normal 103 3 2" xfId="12020"/>
    <cellStyle name="Normal 103 3 2 2" xfId="12021"/>
    <cellStyle name="Normal 103 3 3" xfId="12022"/>
    <cellStyle name="Normal 103 3 3 2" xfId="12023"/>
    <cellStyle name="Normal 103 3 3 2 2" xfId="12024"/>
    <cellStyle name="Normal 103 3 3 3" xfId="12025"/>
    <cellStyle name="Normal 103 3 4" xfId="12026"/>
    <cellStyle name="Normal 103 4" xfId="12027"/>
    <cellStyle name="Normal 103 4 2" xfId="12028"/>
    <cellStyle name="Normal 103 4 2 2" xfId="12029"/>
    <cellStyle name="Normal 103 4 3" xfId="12030"/>
    <cellStyle name="Normal 103 5" xfId="12031"/>
    <cellStyle name="Normal 104" xfId="12032"/>
    <cellStyle name="Normal 104 2" xfId="12033"/>
    <cellStyle name="Normal 104 2 2" xfId="12034"/>
    <cellStyle name="Normal 104 2 2 2" xfId="12035"/>
    <cellStyle name="Normal 104 2 3" xfId="12036"/>
    <cellStyle name="Normal 104 3" xfId="12037"/>
    <cellStyle name="Normal 104 3 2" xfId="12038"/>
    <cellStyle name="Normal 104 3 2 2" xfId="12039"/>
    <cellStyle name="Normal 104 3 3" xfId="12040"/>
    <cellStyle name="Normal 104 3 3 2" xfId="12041"/>
    <cellStyle name="Normal 104 3 3 2 2" xfId="12042"/>
    <cellStyle name="Normal 104 3 3 3" xfId="12043"/>
    <cellStyle name="Normal 104 3 4" xfId="12044"/>
    <cellStyle name="Normal 104 4" xfId="12045"/>
    <cellStyle name="Normal 104 4 2" xfId="12046"/>
    <cellStyle name="Normal 104 4 2 2" xfId="12047"/>
    <cellStyle name="Normal 104 4 3" xfId="12048"/>
    <cellStyle name="Normal 104 5" xfId="12049"/>
    <cellStyle name="Normal 105" xfId="12050"/>
    <cellStyle name="Normal 105 2" xfId="12051"/>
    <cellStyle name="Normal 105 2 2" xfId="12052"/>
    <cellStyle name="Normal 105 2 2 2" xfId="12053"/>
    <cellStyle name="Normal 105 2 3" xfId="12054"/>
    <cellStyle name="Normal 105 3" xfId="12055"/>
    <cellStyle name="Normal 105 3 2" xfId="12056"/>
    <cellStyle name="Normal 105 3 2 2" xfId="12057"/>
    <cellStyle name="Normal 105 3 3" xfId="12058"/>
    <cellStyle name="Normal 105 3 3 2" xfId="12059"/>
    <cellStyle name="Normal 105 3 3 2 2" xfId="12060"/>
    <cellStyle name="Normal 105 3 3 3" xfId="12061"/>
    <cellStyle name="Normal 105 3 4" xfId="12062"/>
    <cellStyle name="Normal 105 4" xfId="12063"/>
    <cellStyle name="Normal 105 4 2" xfId="12064"/>
    <cellStyle name="Normal 105 4 2 2" xfId="12065"/>
    <cellStyle name="Normal 105 4 3" xfId="12066"/>
    <cellStyle name="Normal 105 5" xfId="12067"/>
    <cellStyle name="Normal 106" xfId="12068"/>
    <cellStyle name="Normal 106 2" xfId="12069"/>
    <cellStyle name="Normal 106 2 2" xfId="12070"/>
    <cellStyle name="Normal 106 2 2 2" xfId="12071"/>
    <cellStyle name="Normal 106 2 3" xfId="12072"/>
    <cellStyle name="Normal 106 3" xfId="12073"/>
    <cellStyle name="Normal 106 3 2" xfId="12074"/>
    <cellStyle name="Normal 106 3 2 2" xfId="12075"/>
    <cellStyle name="Normal 106 3 3" xfId="12076"/>
    <cellStyle name="Normal 106 3 3 2" xfId="12077"/>
    <cellStyle name="Normal 106 3 3 2 2" xfId="12078"/>
    <cellStyle name="Normal 106 3 3 3" xfId="12079"/>
    <cellStyle name="Normal 106 3 4" xfId="12080"/>
    <cellStyle name="Normal 106 4" xfId="12081"/>
    <cellStyle name="Normal 106 4 2" xfId="12082"/>
    <cellStyle name="Normal 106 4 2 2" xfId="12083"/>
    <cellStyle name="Normal 106 4 3" xfId="12084"/>
    <cellStyle name="Normal 106 5" xfId="12085"/>
    <cellStyle name="Normal 107" xfId="12086"/>
    <cellStyle name="Normal 107 2" xfId="12087"/>
    <cellStyle name="Normal 107 2 2" xfId="12088"/>
    <cellStyle name="Normal 107 2 2 2" xfId="12089"/>
    <cellStyle name="Normal 107 2 3" xfId="12090"/>
    <cellStyle name="Normal 107 3" xfId="12091"/>
    <cellStyle name="Normal 107 3 2" xfId="12092"/>
    <cellStyle name="Normal 107 3 2 2" xfId="12093"/>
    <cellStyle name="Normal 107 3 3" xfId="12094"/>
    <cellStyle name="Normal 107 3 3 2" xfId="12095"/>
    <cellStyle name="Normal 107 3 3 2 2" xfId="12096"/>
    <cellStyle name="Normal 107 3 3 3" xfId="12097"/>
    <cellStyle name="Normal 107 3 4" xfId="12098"/>
    <cellStyle name="Normal 107 4" xfId="12099"/>
    <cellStyle name="Normal 107 4 2" xfId="12100"/>
    <cellStyle name="Normal 107 4 2 2" xfId="12101"/>
    <cellStyle name="Normal 107 4 3" xfId="12102"/>
    <cellStyle name="Normal 107 5" xfId="12103"/>
    <cellStyle name="Normal 108" xfId="12104"/>
    <cellStyle name="Normal 108 2" xfId="12105"/>
    <cellStyle name="Normal 108 2 2" xfId="12106"/>
    <cellStyle name="Normal 108 2 2 2" xfId="12107"/>
    <cellStyle name="Normal 108 2 3" xfId="12108"/>
    <cellStyle name="Normal 108 3" xfId="12109"/>
    <cellStyle name="Normal 108 3 2" xfId="12110"/>
    <cellStyle name="Normal 108 3 2 2" xfId="12111"/>
    <cellStyle name="Normal 108 3 3" xfId="12112"/>
    <cellStyle name="Normal 108 3 3 2" xfId="12113"/>
    <cellStyle name="Normal 108 3 3 2 2" xfId="12114"/>
    <cellStyle name="Normal 108 3 3 3" xfId="12115"/>
    <cellStyle name="Normal 108 3 4" xfId="12116"/>
    <cellStyle name="Normal 108 4" xfId="12117"/>
    <cellStyle name="Normal 108 4 2" xfId="12118"/>
    <cellStyle name="Normal 108 4 2 2" xfId="12119"/>
    <cellStyle name="Normal 108 4 3" xfId="12120"/>
    <cellStyle name="Normal 108 5" xfId="12121"/>
    <cellStyle name="Normal 109" xfId="12122"/>
    <cellStyle name="Normal 109 2" xfId="12123"/>
    <cellStyle name="Normal 109 2 2" xfId="12124"/>
    <cellStyle name="Normal 109 2 2 2" xfId="12125"/>
    <cellStyle name="Normal 109 2 3" xfId="12126"/>
    <cellStyle name="Normal 109 3" xfId="12127"/>
    <cellStyle name="Normal 109 3 2" xfId="12128"/>
    <cellStyle name="Normal 109 3 2 2" xfId="12129"/>
    <cellStyle name="Normal 109 3 3" xfId="12130"/>
    <cellStyle name="Normal 109 3 3 2" xfId="12131"/>
    <cellStyle name="Normal 109 3 3 2 2" xfId="12132"/>
    <cellStyle name="Normal 109 3 3 3" xfId="12133"/>
    <cellStyle name="Normal 109 3 4" xfId="12134"/>
    <cellStyle name="Normal 109 4" xfId="12135"/>
    <cellStyle name="Normal 109 4 2" xfId="12136"/>
    <cellStyle name="Normal 109 4 2 2" xfId="12137"/>
    <cellStyle name="Normal 109 4 3" xfId="12138"/>
    <cellStyle name="Normal 109 5" xfId="12139"/>
    <cellStyle name="Normal 11" xfId="243"/>
    <cellStyle name="Normal 11 2" xfId="252"/>
    <cellStyle name="Normal 11 2 2" xfId="12142"/>
    <cellStyle name="Normal 11 2 2 2" xfId="12143"/>
    <cellStyle name="Normal 11 2 3" xfId="12144"/>
    <cellStyle name="Normal 11 2 3 2" xfId="12145"/>
    <cellStyle name="Normal 11 2 3 2 2" xfId="12146"/>
    <cellStyle name="Normal 11 2 3 3" xfId="12147"/>
    <cellStyle name="Normal 11 2 4" xfId="12148"/>
    <cellStyle name="Normal 11 2 5" xfId="12141"/>
    <cellStyle name="Normal 11 3" xfId="12149"/>
    <cellStyle name="Normal 11 3 2" xfId="12150"/>
    <cellStyle name="Normal 11 3 2 2" xfId="12151"/>
    <cellStyle name="Normal 11 3 2 2 2" xfId="12152"/>
    <cellStyle name="Normal 11 3 2 3" xfId="12153"/>
    <cellStyle name="Normal 11 3 3" xfId="12154"/>
    <cellStyle name="Normal 11 3 3 2" xfId="12155"/>
    <cellStyle name="Normal 11 3 3 2 2" xfId="12156"/>
    <cellStyle name="Normal 11 3 3 3" xfId="12157"/>
    <cellStyle name="Normal 11 3 4" xfId="12158"/>
    <cellStyle name="Normal 11 4" xfId="12159"/>
    <cellStyle name="Normal 11 4 2" xfId="12160"/>
    <cellStyle name="Normal 11 5" xfId="12161"/>
    <cellStyle name="Normal 11 5 2" xfId="12162"/>
    <cellStyle name="Normal 11 5 2 2" xfId="12163"/>
    <cellStyle name="Normal 11 5 3" xfId="12164"/>
    <cellStyle name="Normal 11 6" xfId="12165"/>
    <cellStyle name="Normal 11 6 2" xfId="12166"/>
    <cellStyle name="Normal 11 6 2 2" xfId="12167"/>
    <cellStyle name="Normal 11 6 3" xfId="12168"/>
    <cellStyle name="Normal 11 7" xfId="12169"/>
    <cellStyle name="Normal 11 7 2" xfId="12170"/>
    <cellStyle name="Normal 11 8" xfId="12171"/>
    <cellStyle name="Normal 11 9" xfId="12140"/>
    <cellStyle name="Normal 110" xfId="12172"/>
    <cellStyle name="Normal 110 2" xfId="12173"/>
    <cellStyle name="Normal 110 2 2" xfId="12174"/>
    <cellStyle name="Normal 110 2 2 2" xfId="12175"/>
    <cellStyle name="Normal 110 2 3" xfId="12176"/>
    <cellStyle name="Normal 110 3" xfId="12177"/>
    <cellStyle name="Normal 110 3 2" xfId="12178"/>
    <cellStyle name="Normal 110 3 2 2" xfId="12179"/>
    <cellStyle name="Normal 110 3 3" xfId="12180"/>
    <cellStyle name="Normal 110 3 3 2" xfId="12181"/>
    <cellStyle name="Normal 110 3 3 2 2" xfId="12182"/>
    <cellStyle name="Normal 110 3 3 3" xfId="12183"/>
    <cellStyle name="Normal 110 3 4" xfId="12184"/>
    <cellStyle name="Normal 110 4" xfId="12185"/>
    <cellStyle name="Normal 110 4 2" xfId="12186"/>
    <cellStyle name="Normal 110 4 2 2" xfId="12187"/>
    <cellStyle name="Normal 110 4 3" xfId="12188"/>
    <cellStyle name="Normal 110 5" xfId="12189"/>
    <cellStyle name="Normal 111" xfId="12190"/>
    <cellStyle name="Normal 111 2" xfId="12191"/>
    <cellStyle name="Normal 111 2 2" xfId="12192"/>
    <cellStyle name="Normal 111 2 2 2" xfId="12193"/>
    <cellStyle name="Normal 111 2 3" xfId="12194"/>
    <cellStyle name="Normal 111 3" xfId="12195"/>
    <cellStyle name="Normal 111 3 2" xfId="12196"/>
    <cellStyle name="Normal 111 3 2 2" xfId="12197"/>
    <cellStyle name="Normal 111 3 3" xfId="12198"/>
    <cellStyle name="Normal 111 3 3 2" xfId="12199"/>
    <cellStyle name="Normal 111 3 3 2 2" xfId="12200"/>
    <cellStyle name="Normal 111 3 3 3" xfId="12201"/>
    <cellStyle name="Normal 111 3 4" xfId="12202"/>
    <cellStyle name="Normal 111 4" xfId="12203"/>
    <cellStyle name="Normal 111 4 2" xfId="12204"/>
    <cellStyle name="Normal 111 4 2 2" xfId="12205"/>
    <cellStyle name="Normal 111 4 3" xfId="12206"/>
    <cellStyle name="Normal 111 5" xfId="12207"/>
    <cellStyle name="Normal 112" xfId="12208"/>
    <cellStyle name="Normal 112 2" xfId="12209"/>
    <cellStyle name="Normal 112 2 2" xfId="12210"/>
    <cellStyle name="Normal 112 2 2 2" xfId="12211"/>
    <cellStyle name="Normal 112 2 3" xfId="12212"/>
    <cellStyle name="Normal 112 3" xfId="12213"/>
    <cellStyle name="Normal 112 3 2" xfId="12214"/>
    <cellStyle name="Normal 112 3 2 2" xfId="12215"/>
    <cellStyle name="Normal 112 3 3" xfId="12216"/>
    <cellStyle name="Normal 112 3 3 2" xfId="12217"/>
    <cellStyle name="Normal 112 3 3 2 2" xfId="12218"/>
    <cellStyle name="Normal 112 3 3 3" xfId="12219"/>
    <cellStyle name="Normal 112 3 4" xfId="12220"/>
    <cellStyle name="Normal 112 4" xfId="12221"/>
    <cellStyle name="Normal 112 4 2" xfId="12222"/>
    <cellStyle name="Normal 112 4 2 2" xfId="12223"/>
    <cellStyle name="Normal 112 4 3" xfId="12224"/>
    <cellStyle name="Normal 112 5" xfId="12225"/>
    <cellStyle name="Normal 113" xfId="12226"/>
    <cellStyle name="Normal 113 2" xfId="12227"/>
    <cellStyle name="Normal 113 2 2" xfId="12228"/>
    <cellStyle name="Normal 113 2 2 2" xfId="12229"/>
    <cellStyle name="Normal 113 2 3" xfId="12230"/>
    <cellStyle name="Normal 113 3" xfId="12231"/>
    <cellStyle name="Normal 113 3 2" xfId="12232"/>
    <cellStyle name="Normal 113 3 2 2" xfId="12233"/>
    <cellStyle name="Normal 113 3 3" xfId="12234"/>
    <cellStyle name="Normal 113 3 3 2" xfId="12235"/>
    <cellStyle name="Normal 113 3 3 2 2" xfId="12236"/>
    <cellStyle name="Normal 113 3 3 3" xfId="12237"/>
    <cellStyle name="Normal 113 3 4" xfId="12238"/>
    <cellStyle name="Normal 113 4" xfId="12239"/>
    <cellStyle name="Normal 113 4 2" xfId="12240"/>
    <cellStyle name="Normal 113 4 2 2" xfId="12241"/>
    <cellStyle name="Normal 113 4 3" xfId="12242"/>
    <cellStyle name="Normal 113 5" xfId="12243"/>
    <cellStyle name="Normal 114" xfId="12244"/>
    <cellStyle name="Normal 114 2" xfId="12245"/>
    <cellStyle name="Normal 114 2 2" xfId="12246"/>
    <cellStyle name="Normal 114 2 2 2" xfId="12247"/>
    <cellStyle name="Normal 114 2 3" xfId="12248"/>
    <cellStyle name="Normal 114 3" xfId="12249"/>
    <cellStyle name="Normal 114 3 2" xfId="12250"/>
    <cellStyle name="Normal 114 3 2 2" xfId="12251"/>
    <cellStyle name="Normal 114 3 3" xfId="12252"/>
    <cellStyle name="Normal 114 3 3 2" xfId="12253"/>
    <cellStyle name="Normal 114 3 3 2 2" xfId="12254"/>
    <cellStyle name="Normal 114 3 3 3" xfId="12255"/>
    <cellStyle name="Normal 114 3 4" xfId="12256"/>
    <cellStyle name="Normal 114 4" xfId="12257"/>
    <cellStyle name="Normal 114 4 2" xfId="12258"/>
    <cellStyle name="Normal 114 4 2 2" xfId="12259"/>
    <cellStyle name="Normal 114 4 3" xfId="12260"/>
    <cellStyle name="Normal 114 5" xfId="12261"/>
    <cellStyle name="Normal 115" xfId="12262"/>
    <cellStyle name="Normal 115 2" xfId="12263"/>
    <cellStyle name="Normal 115 2 2" xfId="12264"/>
    <cellStyle name="Normal 115 2 2 2" xfId="12265"/>
    <cellStyle name="Normal 115 2 3" xfId="12266"/>
    <cellStyle name="Normal 115 3" xfId="12267"/>
    <cellStyle name="Normal 115 3 2" xfId="12268"/>
    <cellStyle name="Normal 115 3 2 2" xfId="12269"/>
    <cellStyle name="Normal 115 3 3" xfId="12270"/>
    <cellStyle name="Normal 115 3 3 2" xfId="12271"/>
    <cellStyle name="Normal 115 3 3 2 2" xfId="12272"/>
    <cellStyle name="Normal 115 3 3 3" xfId="12273"/>
    <cellStyle name="Normal 115 3 4" xfId="12274"/>
    <cellStyle name="Normal 115 4" xfId="12275"/>
    <cellStyle name="Normal 115 4 2" xfId="12276"/>
    <cellStyle name="Normal 115 4 2 2" xfId="12277"/>
    <cellStyle name="Normal 115 4 3" xfId="12278"/>
    <cellStyle name="Normal 115 5" xfId="12279"/>
    <cellStyle name="Normal 116" xfId="12280"/>
    <cellStyle name="Normal 116 2" xfId="12281"/>
    <cellStyle name="Normal 116 2 2" xfId="12282"/>
    <cellStyle name="Normal 116 2 2 2" xfId="12283"/>
    <cellStyle name="Normal 116 2 3" xfId="12284"/>
    <cellStyle name="Normal 116 3" xfId="12285"/>
    <cellStyle name="Normal 116 3 2" xfId="12286"/>
    <cellStyle name="Normal 116 3 2 2" xfId="12287"/>
    <cellStyle name="Normal 116 3 3" xfId="12288"/>
    <cellStyle name="Normal 116 3 3 2" xfId="12289"/>
    <cellStyle name="Normal 116 3 3 2 2" xfId="12290"/>
    <cellStyle name="Normal 116 3 3 3" xfId="12291"/>
    <cellStyle name="Normal 116 3 4" xfId="12292"/>
    <cellStyle name="Normal 116 4" xfId="12293"/>
    <cellStyle name="Normal 116 4 2" xfId="12294"/>
    <cellStyle name="Normal 116 4 2 2" xfId="12295"/>
    <cellStyle name="Normal 116 4 3" xfId="12296"/>
    <cellStyle name="Normal 116 5" xfId="12297"/>
    <cellStyle name="Normal 117" xfId="12298"/>
    <cellStyle name="Normal 117 2" xfId="12299"/>
    <cellStyle name="Normal 117 2 2" xfId="12300"/>
    <cellStyle name="Normal 117 2 2 2" xfId="12301"/>
    <cellStyle name="Normal 117 2 3" xfId="12302"/>
    <cellStyle name="Normal 117 3" xfId="12303"/>
    <cellStyle name="Normal 117 3 2" xfId="12304"/>
    <cellStyle name="Normal 117 3 2 2" xfId="12305"/>
    <cellStyle name="Normal 117 3 3" xfId="12306"/>
    <cellStyle name="Normal 117 3 3 2" xfId="12307"/>
    <cellStyle name="Normal 117 3 3 2 2" xfId="12308"/>
    <cellStyle name="Normal 117 3 3 3" xfId="12309"/>
    <cellStyle name="Normal 117 3 4" xfId="12310"/>
    <cellStyle name="Normal 117 4" xfId="12311"/>
    <cellStyle name="Normal 117 4 2" xfId="12312"/>
    <cellStyle name="Normal 117 4 2 2" xfId="12313"/>
    <cellStyle name="Normal 117 4 3" xfId="12314"/>
    <cellStyle name="Normal 117 5" xfId="12315"/>
    <cellStyle name="Normal 118" xfId="12316"/>
    <cellStyle name="Normal 118 2" xfId="12317"/>
    <cellStyle name="Normal 118 2 2" xfId="12318"/>
    <cellStyle name="Normal 118 2 2 2" xfId="12319"/>
    <cellStyle name="Normal 118 2 3" xfId="12320"/>
    <cellStyle name="Normal 118 3" xfId="12321"/>
    <cellStyle name="Normal 118 3 2" xfId="12322"/>
    <cellStyle name="Normal 118 3 2 2" xfId="12323"/>
    <cellStyle name="Normal 118 3 3" xfId="12324"/>
    <cellStyle name="Normal 118 3 3 2" xfId="12325"/>
    <cellStyle name="Normal 118 3 3 2 2" xfId="12326"/>
    <cellStyle name="Normal 118 3 3 3" xfId="12327"/>
    <cellStyle name="Normal 118 3 4" xfId="12328"/>
    <cellStyle name="Normal 118 4" xfId="12329"/>
    <cellStyle name="Normal 118 4 2" xfId="12330"/>
    <cellStyle name="Normal 118 4 2 2" xfId="12331"/>
    <cellStyle name="Normal 118 4 3" xfId="12332"/>
    <cellStyle name="Normal 118 5" xfId="12333"/>
    <cellStyle name="Normal 119" xfId="12334"/>
    <cellStyle name="Normal 119 2" xfId="12335"/>
    <cellStyle name="Normal 119 2 2" xfId="12336"/>
    <cellStyle name="Normal 119 2 2 2" xfId="12337"/>
    <cellStyle name="Normal 119 2 2 2 2" xfId="12338"/>
    <cellStyle name="Normal 119 2 2 3" xfId="12339"/>
    <cellStyle name="Normal 119 2 3" xfId="12340"/>
    <cellStyle name="Normal 119 2 3 2" xfId="12341"/>
    <cellStyle name="Normal 119 2 3 2 2" xfId="12342"/>
    <cellStyle name="Normal 119 2 3 3" xfId="12343"/>
    <cellStyle name="Normal 119 2 3 3 2" xfId="12344"/>
    <cellStyle name="Normal 119 2 3 3 2 2" xfId="12345"/>
    <cellStyle name="Normal 119 2 3 3 3" xfId="12346"/>
    <cellStyle name="Normal 119 2 3 4" xfId="12347"/>
    <cellStyle name="Normal 119 2 4" xfId="12348"/>
    <cellStyle name="Normal 119 2 4 2" xfId="12349"/>
    <cellStyle name="Normal 119 2 4 2 2" xfId="12350"/>
    <cellStyle name="Normal 119 2 4 3" xfId="12351"/>
    <cellStyle name="Normal 119 2 5" xfId="12352"/>
    <cellStyle name="Normal 119 3" xfId="12353"/>
    <cellStyle name="Normal 119 3 2" xfId="12354"/>
    <cellStyle name="Normal 119 3 2 2" xfId="12355"/>
    <cellStyle name="Normal 119 3 3" xfId="12356"/>
    <cellStyle name="Normal 119 4" xfId="12357"/>
    <cellStyle name="Normal 119 4 2" xfId="12358"/>
    <cellStyle name="Normal 119 4 2 2" xfId="12359"/>
    <cellStyle name="Normal 119 4 3" xfId="12360"/>
    <cellStyle name="Normal 119 4 3 2" xfId="12361"/>
    <cellStyle name="Normal 119 4 3 2 2" xfId="12362"/>
    <cellStyle name="Normal 119 4 3 3" xfId="12363"/>
    <cellStyle name="Normal 119 4 4" xfId="12364"/>
    <cellStyle name="Normal 119 5" xfId="12365"/>
    <cellStyle name="Normal 119 5 2" xfId="12366"/>
    <cellStyle name="Normal 119 5 2 2" xfId="12367"/>
    <cellStyle name="Normal 119 5 3" xfId="12368"/>
    <cellStyle name="Normal 119 6" xfId="12369"/>
    <cellStyle name="Normal 12" xfId="127"/>
    <cellStyle name="Normal 12 2" xfId="12371"/>
    <cellStyle name="Normal 12 2 2" xfId="12372"/>
    <cellStyle name="Normal 12 2 2 2" xfId="12373"/>
    <cellStyle name="Normal 12 2 3" xfId="12374"/>
    <cellStyle name="Normal 12 2 3 2" xfId="12375"/>
    <cellStyle name="Normal 12 2 3 2 2" xfId="12376"/>
    <cellStyle name="Normal 12 2 3 3" xfId="12377"/>
    <cellStyle name="Normal 12 2 4" xfId="12378"/>
    <cellStyle name="Normal 12 3" xfId="12379"/>
    <cellStyle name="Normal 12 3 2" xfId="12380"/>
    <cellStyle name="Normal 12 3 2 2" xfId="12381"/>
    <cellStyle name="Normal 12 3 2 2 2" xfId="12382"/>
    <cellStyle name="Normal 12 3 2 3" xfId="12383"/>
    <cellStyle name="Normal 12 3 3" xfId="12384"/>
    <cellStyle name="Normal 12 3 3 2" xfId="12385"/>
    <cellStyle name="Normal 12 3 3 2 2" xfId="12386"/>
    <cellStyle name="Normal 12 3 3 3" xfId="12387"/>
    <cellStyle name="Normal 12 3 4" xfId="12388"/>
    <cellStyle name="Normal 12 4" xfId="12389"/>
    <cellStyle name="Normal 12 4 2" xfId="12390"/>
    <cellStyle name="Normal 12 5" xfId="12391"/>
    <cellStyle name="Normal 12 5 2" xfId="12392"/>
    <cellStyle name="Normal 12 5 2 2" xfId="12393"/>
    <cellStyle name="Normal 12 5 3" xfId="12394"/>
    <cellStyle name="Normal 12 6" xfId="12395"/>
    <cellStyle name="Normal 12 6 2" xfId="12396"/>
    <cellStyle name="Normal 12 6 2 2" xfId="12397"/>
    <cellStyle name="Normal 12 6 3" xfId="12398"/>
    <cellStyle name="Normal 12 7" xfId="12399"/>
    <cellStyle name="Normal 12 7 2" xfId="12400"/>
    <cellStyle name="Normal 12 8" xfId="12401"/>
    <cellStyle name="Normal 12 9" xfId="12370"/>
    <cellStyle name="Normal 120" xfId="12402"/>
    <cellStyle name="Normal 120 2" xfId="12403"/>
    <cellStyle name="Normal 120 2 2" xfId="12404"/>
    <cellStyle name="Normal 120 2 2 2" xfId="12405"/>
    <cellStyle name="Normal 120 2 2 2 2" xfId="12406"/>
    <cellStyle name="Normal 120 2 2 3" xfId="12407"/>
    <cellStyle name="Normal 120 2 3" xfId="12408"/>
    <cellStyle name="Normal 120 2 3 2" xfId="12409"/>
    <cellStyle name="Normal 120 2 3 2 2" xfId="12410"/>
    <cellStyle name="Normal 120 2 3 3" xfId="12411"/>
    <cellStyle name="Normal 120 2 3 3 2" xfId="12412"/>
    <cellStyle name="Normal 120 2 3 3 2 2" xfId="12413"/>
    <cellStyle name="Normal 120 2 3 3 3" xfId="12414"/>
    <cellStyle name="Normal 120 2 3 4" xfId="12415"/>
    <cellStyle name="Normal 120 2 4" xfId="12416"/>
    <cellStyle name="Normal 120 2 4 2" xfId="12417"/>
    <cellStyle name="Normal 120 2 4 2 2" xfId="12418"/>
    <cellStyle name="Normal 120 2 4 3" xfId="12419"/>
    <cellStyle name="Normal 120 2 5" xfId="12420"/>
    <cellStyle name="Normal 120 3" xfId="12421"/>
    <cellStyle name="Normal 120 3 2" xfId="12422"/>
    <cellStyle name="Normal 120 3 2 2" xfId="12423"/>
    <cellStyle name="Normal 120 3 3" xfId="12424"/>
    <cellStyle name="Normal 120 4" xfId="12425"/>
    <cellStyle name="Normal 120 4 2" xfId="12426"/>
    <cellStyle name="Normal 120 4 2 2" xfId="12427"/>
    <cellStyle name="Normal 120 4 3" xfId="12428"/>
    <cellStyle name="Normal 120 4 3 2" xfId="12429"/>
    <cellStyle name="Normal 120 4 3 2 2" xfId="12430"/>
    <cellStyle name="Normal 120 4 3 3" xfId="12431"/>
    <cellStyle name="Normal 120 4 4" xfId="12432"/>
    <cellStyle name="Normal 120 5" xfId="12433"/>
    <cellStyle name="Normal 120 5 2" xfId="12434"/>
    <cellStyle name="Normal 120 5 2 2" xfId="12435"/>
    <cellStyle name="Normal 120 5 3" xfId="12436"/>
    <cellStyle name="Normal 120 6" xfId="12437"/>
    <cellStyle name="Normal 121" xfId="12438"/>
    <cellStyle name="Normal 121 2" xfId="12439"/>
    <cellStyle name="Normal 121 2 2" xfId="12440"/>
    <cellStyle name="Normal 121 2 2 2" xfId="12441"/>
    <cellStyle name="Normal 121 2 2 2 2" xfId="12442"/>
    <cellStyle name="Normal 121 2 2 3" xfId="12443"/>
    <cellStyle name="Normal 121 2 3" xfId="12444"/>
    <cellStyle name="Normal 121 2 3 2" xfId="12445"/>
    <cellStyle name="Normal 121 2 3 2 2" xfId="12446"/>
    <cellStyle name="Normal 121 2 3 3" xfId="12447"/>
    <cellStyle name="Normal 121 2 3 3 2" xfId="12448"/>
    <cellStyle name="Normal 121 2 3 3 2 2" xfId="12449"/>
    <cellStyle name="Normal 121 2 3 3 3" xfId="12450"/>
    <cellStyle name="Normal 121 2 3 4" xfId="12451"/>
    <cellStyle name="Normal 121 2 4" xfId="12452"/>
    <cellStyle name="Normal 121 2 4 2" xfId="12453"/>
    <cellStyle name="Normal 121 2 4 2 2" xfId="12454"/>
    <cellStyle name="Normal 121 2 4 3" xfId="12455"/>
    <cellStyle name="Normal 121 2 5" xfId="12456"/>
    <cellStyle name="Normal 121 3" xfId="12457"/>
    <cellStyle name="Normal 121 3 2" xfId="12458"/>
    <cellStyle name="Normal 121 3 2 2" xfId="12459"/>
    <cellStyle name="Normal 121 3 3" xfId="12460"/>
    <cellStyle name="Normal 121 4" xfId="12461"/>
    <cellStyle name="Normal 121 4 2" xfId="12462"/>
    <cellStyle name="Normal 121 4 2 2" xfId="12463"/>
    <cellStyle name="Normal 121 4 3" xfId="12464"/>
    <cellStyle name="Normal 121 4 3 2" xfId="12465"/>
    <cellStyle name="Normal 121 4 3 2 2" xfId="12466"/>
    <cellStyle name="Normal 121 4 3 3" xfId="12467"/>
    <cellStyle name="Normal 121 4 4" xfId="12468"/>
    <cellStyle name="Normal 121 5" xfId="12469"/>
    <cellStyle name="Normal 121 5 2" xfId="12470"/>
    <cellStyle name="Normal 121 5 2 2" xfId="12471"/>
    <cellStyle name="Normal 121 5 3" xfId="12472"/>
    <cellStyle name="Normal 121 6" xfId="12473"/>
    <cellStyle name="Normal 122" xfId="12474"/>
    <cellStyle name="Normal 122 2" xfId="12475"/>
    <cellStyle name="Normal 122 2 2" xfId="12476"/>
    <cellStyle name="Normal 122 2 2 2" xfId="12477"/>
    <cellStyle name="Normal 122 2 3" xfId="12478"/>
    <cellStyle name="Normal 122 3" xfId="12479"/>
    <cellStyle name="Normal 122 3 2" xfId="12480"/>
    <cellStyle name="Normal 122 3 2 2" xfId="12481"/>
    <cellStyle name="Normal 122 3 3" xfId="12482"/>
    <cellStyle name="Normal 122 3 3 2" xfId="12483"/>
    <cellStyle name="Normal 122 3 3 2 2" xfId="12484"/>
    <cellStyle name="Normal 122 3 3 3" xfId="12485"/>
    <cellStyle name="Normal 122 3 4" xfId="12486"/>
    <cellStyle name="Normal 122 4" xfId="12487"/>
    <cellStyle name="Normal 122 4 2" xfId="12488"/>
    <cellStyle name="Normal 122 4 2 2" xfId="12489"/>
    <cellStyle name="Normal 122 4 3" xfId="12490"/>
    <cellStyle name="Normal 122 5" xfId="12491"/>
    <cellStyle name="Normal 123" xfId="12492"/>
    <cellStyle name="Normal 123 2" xfId="12493"/>
    <cellStyle name="Normal 123 2 2" xfId="12494"/>
    <cellStyle name="Normal 123 2 2 2" xfId="12495"/>
    <cellStyle name="Normal 123 2 3" xfId="12496"/>
    <cellStyle name="Normal 123 3" xfId="12497"/>
    <cellStyle name="Normal 123 3 2" xfId="12498"/>
    <cellStyle name="Normal 123 3 2 2" xfId="12499"/>
    <cellStyle name="Normal 123 3 3" xfId="12500"/>
    <cellStyle name="Normal 123 3 3 2" xfId="12501"/>
    <cellStyle name="Normal 123 3 3 2 2" xfId="12502"/>
    <cellStyle name="Normal 123 3 3 3" xfId="12503"/>
    <cellStyle name="Normal 123 3 4" xfId="12504"/>
    <cellStyle name="Normal 123 4" xfId="12505"/>
    <cellStyle name="Normal 123 4 2" xfId="12506"/>
    <cellStyle name="Normal 123 4 2 2" xfId="12507"/>
    <cellStyle name="Normal 123 4 3" xfId="12508"/>
    <cellStyle name="Normal 123 5" xfId="12509"/>
    <cellStyle name="Normal 124" xfId="12510"/>
    <cellStyle name="Normal 124 2" xfId="12511"/>
    <cellStyle name="Normal 124 2 2" xfId="12512"/>
    <cellStyle name="Normal 124 2 2 2" xfId="12513"/>
    <cellStyle name="Normal 124 2 3" xfId="12514"/>
    <cellStyle name="Normal 124 3" xfId="12515"/>
    <cellStyle name="Normal 124 3 2" xfId="12516"/>
    <cellStyle name="Normal 124 3 2 2" xfId="12517"/>
    <cellStyle name="Normal 124 3 3" xfId="12518"/>
    <cellStyle name="Normal 124 3 3 2" xfId="12519"/>
    <cellStyle name="Normal 124 3 3 2 2" xfId="12520"/>
    <cellStyle name="Normal 124 3 3 3" xfId="12521"/>
    <cellStyle name="Normal 124 3 4" xfId="12522"/>
    <cellStyle name="Normal 124 4" xfId="12523"/>
    <cellStyle name="Normal 124 4 2" xfId="12524"/>
    <cellStyle name="Normal 124 4 2 2" xfId="12525"/>
    <cellStyle name="Normal 124 4 3" xfId="12526"/>
    <cellStyle name="Normal 124 5" xfId="12527"/>
    <cellStyle name="Normal 125" xfId="12528"/>
    <cellStyle name="Normal 125 2" xfId="12529"/>
    <cellStyle name="Normal 125 2 2" xfId="12530"/>
    <cellStyle name="Normal 125 2 2 2" xfId="12531"/>
    <cellStyle name="Normal 125 2 3" xfId="12532"/>
    <cellStyle name="Normal 125 3" xfId="12533"/>
    <cellStyle name="Normal 125 3 2" xfId="12534"/>
    <cellStyle name="Normal 125 3 2 2" xfId="12535"/>
    <cellStyle name="Normal 125 3 3" xfId="12536"/>
    <cellStyle name="Normal 125 3 3 2" xfId="12537"/>
    <cellStyle name="Normal 125 3 3 2 2" xfId="12538"/>
    <cellStyle name="Normal 125 3 3 3" xfId="12539"/>
    <cellStyle name="Normal 125 3 4" xfId="12540"/>
    <cellStyle name="Normal 125 4" xfId="12541"/>
    <cellStyle name="Normal 125 4 2" xfId="12542"/>
    <cellStyle name="Normal 125 4 2 2" xfId="12543"/>
    <cellStyle name="Normal 125 4 3" xfId="12544"/>
    <cellStyle name="Normal 125 5" xfId="12545"/>
    <cellStyle name="Normal 126" xfId="12546"/>
    <cellStyle name="Normal 126 2" xfId="12547"/>
    <cellStyle name="Normal 126 2 2" xfId="12548"/>
    <cellStyle name="Normal 126 2 2 2" xfId="12549"/>
    <cellStyle name="Normal 126 2 3" xfId="12550"/>
    <cellStyle name="Normal 126 3" xfId="12551"/>
    <cellStyle name="Normal 126 3 2" xfId="12552"/>
    <cellStyle name="Normal 126 3 2 2" xfId="12553"/>
    <cellStyle name="Normal 126 3 3" xfId="12554"/>
    <cellStyle name="Normal 126 3 3 2" xfId="12555"/>
    <cellStyle name="Normal 126 3 3 2 2" xfId="12556"/>
    <cellStyle name="Normal 126 3 3 3" xfId="12557"/>
    <cellStyle name="Normal 126 3 4" xfId="12558"/>
    <cellStyle name="Normal 126 4" xfId="12559"/>
    <cellStyle name="Normal 126 4 2" xfId="12560"/>
    <cellStyle name="Normal 126 4 2 2" xfId="12561"/>
    <cellStyle name="Normal 126 4 3" xfId="12562"/>
    <cellStyle name="Normal 126 5" xfId="12563"/>
    <cellStyle name="Normal 127" xfId="12564"/>
    <cellStyle name="Normal 127 2" xfId="12565"/>
    <cellStyle name="Normal 127 2 2" xfId="12566"/>
    <cellStyle name="Normal 127 2 2 2" xfId="12567"/>
    <cellStyle name="Normal 127 2 3" xfId="12568"/>
    <cellStyle name="Normal 127 3" xfId="12569"/>
    <cellStyle name="Normal 127 3 2" xfId="12570"/>
    <cellStyle name="Normal 127 3 2 2" xfId="12571"/>
    <cellStyle name="Normal 127 3 3" xfId="12572"/>
    <cellStyle name="Normal 127 3 3 2" xfId="12573"/>
    <cellStyle name="Normal 127 3 3 2 2" xfId="12574"/>
    <cellStyle name="Normal 127 3 3 3" xfId="12575"/>
    <cellStyle name="Normal 127 3 4" xfId="12576"/>
    <cellStyle name="Normal 127 4" xfId="12577"/>
    <cellStyle name="Normal 127 4 2" xfId="12578"/>
    <cellStyle name="Normal 127 4 2 2" xfId="12579"/>
    <cellStyle name="Normal 127 4 3" xfId="12580"/>
    <cellStyle name="Normal 127 5" xfId="12581"/>
    <cellStyle name="Normal 128" xfId="12582"/>
    <cellStyle name="Normal 128 2" xfId="12583"/>
    <cellStyle name="Normal 128 2 2" xfId="12584"/>
    <cellStyle name="Normal 128 2 2 2" xfId="12585"/>
    <cellStyle name="Normal 128 2 3" xfId="12586"/>
    <cellStyle name="Normal 128 3" xfId="12587"/>
    <cellStyle name="Normal 128 3 2" xfId="12588"/>
    <cellStyle name="Normal 128 3 2 2" xfId="12589"/>
    <cellStyle name="Normal 128 3 3" xfId="12590"/>
    <cellStyle name="Normal 128 3 3 2" xfId="12591"/>
    <cellStyle name="Normal 128 3 3 2 2" xfId="12592"/>
    <cellStyle name="Normal 128 3 3 3" xfId="12593"/>
    <cellStyle name="Normal 128 3 4" xfId="12594"/>
    <cellStyle name="Normal 128 4" xfId="12595"/>
    <cellStyle name="Normal 128 4 2" xfId="12596"/>
    <cellStyle name="Normal 128 4 2 2" xfId="12597"/>
    <cellStyle name="Normal 128 4 3" xfId="12598"/>
    <cellStyle name="Normal 128 5" xfId="12599"/>
    <cellStyle name="Normal 129" xfId="12600"/>
    <cellStyle name="Normal 129 2" xfId="12601"/>
    <cellStyle name="Normal 129 2 2" xfId="12602"/>
    <cellStyle name="Normal 129 2 2 2" xfId="12603"/>
    <cellStyle name="Normal 129 2 3" xfId="12604"/>
    <cellStyle name="Normal 129 3" xfId="12605"/>
    <cellStyle name="Normal 129 3 2" xfId="12606"/>
    <cellStyle name="Normal 129 3 2 2" xfId="12607"/>
    <cellStyle name="Normal 129 3 3" xfId="12608"/>
    <cellStyle name="Normal 129 3 3 2" xfId="12609"/>
    <cellStyle name="Normal 129 3 3 2 2" xfId="12610"/>
    <cellStyle name="Normal 129 3 3 3" xfId="12611"/>
    <cellStyle name="Normal 129 3 4" xfId="12612"/>
    <cellStyle name="Normal 129 4" xfId="12613"/>
    <cellStyle name="Normal 129 4 2" xfId="12614"/>
    <cellStyle name="Normal 129 4 2 2" xfId="12615"/>
    <cellStyle name="Normal 129 4 3" xfId="12616"/>
    <cellStyle name="Normal 129 5" xfId="12617"/>
    <cellStyle name="Normal 13" xfId="129"/>
    <cellStyle name="Normal 13 2" xfId="12619"/>
    <cellStyle name="Normal 13 2 2" xfId="12620"/>
    <cellStyle name="Normal 13 2 2 2" xfId="12621"/>
    <cellStyle name="Normal 13 2 3" xfId="12622"/>
    <cellStyle name="Normal 13 2 3 2" xfId="12623"/>
    <cellStyle name="Normal 13 2 3 2 2" xfId="12624"/>
    <cellStyle name="Normal 13 2 3 3" xfId="12625"/>
    <cellStyle name="Normal 13 2 4" xfId="12626"/>
    <cellStyle name="Normal 13 3" xfId="12627"/>
    <cellStyle name="Normal 13 3 2" xfId="12628"/>
    <cellStyle name="Normal 13 3 2 2" xfId="12629"/>
    <cellStyle name="Normal 13 3 2 2 2" xfId="12630"/>
    <cellStyle name="Normal 13 3 2 3" xfId="12631"/>
    <cellStyle name="Normal 13 3 3" xfId="12632"/>
    <cellStyle name="Normal 13 3 3 2" xfId="12633"/>
    <cellStyle name="Normal 13 3 3 2 2" xfId="12634"/>
    <cellStyle name="Normal 13 3 3 3" xfId="12635"/>
    <cellStyle name="Normal 13 3 4" xfId="12636"/>
    <cellStyle name="Normal 13 4" xfId="12637"/>
    <cellStyle name="Normal 13 4 2" xfId="12638"/>
    <cellStyle name="Normal 13 5" xfId="12639"/>
    <cellStyle name="Normal 13 5 2" xfId="12640"/>
    <cellStyle name="Normal 13 5 2 2" xfId="12641"/>
    <cellStyle name="Normal 13 5 3" xfId="12642"/>
    <cellStyle name="Normal 13 6" xfId="12643"/>
    <cellStyle name="Normal 13 6 2" xfId="12644"/>
    <cellStyle name="Normal 13 6 2 2" xfId="12645"/>
    <cellStyle name="Normal 13 6 3" xfId="12646"/>
    <cellStyle name="Normal 13 7" xfId="12647"/>
    <cellStyle name="Normal 13 7 2" xfId="12648"/>
    <cellStyle name="Normal 13 8" xfId="12649"/>
    <cellStyle name="Normal 13 9" xfId="12618"/>
    <cellStyle name="Normal 130" xfId="12650"/>
    <cellStyle name="Normal 130 2" xfId="12651"/>
    <cellStyle name="Normal 130 2 2" xfId="12652"/>
    <cellStyle name="Normal 130 2 2 2" xfId="12653"/>
    <cellStyle name="Normal 130 2 3" xfId="12654"/>
    <cellStyle name="Normal 130 3" xfId="12655"/>
    <cellStyle name="Normal 130 3 2" xfId="12656"/>
    <cellStyle name="Normal 130 3 2 2" xfId="12657"/>
    <cellStyle name="Normal 130 3 3" xfId="12658"/>
    <cellStyle name="Normal 130 3 3 2" xfId="12659"/>
    <cellStyle name="Normal 130 3 3 2 2" xfId="12660"/>
    <cellStyle name="Normal 130 3 3 3" xfId="12661"/>
    <cellStyle name="Normal 130 3 4" xfId="12662"/>
    <cellStyle name="Normal 130 4" xfId="12663"/>
    <cellStyle name="Normal 130 4 2" xfId="12664"/>
    <cellStyle name="Normal 130 4 2 2" xfId="12665"/>
    <cellStyle name="Normal 130 4 3" xfId="12666"/>
    <cellStyle name="Normal 130 5" xfId="12667"/>
    <cellStyle name="Normal 131" xfId="12668"/>
    <cellStyle name="Normal 131 2" xfId="12669"/>
    <cellStyle name="Normal 131 2 2" xfId="12670"/>
    <cellStyle name="Normal 131 2 2 2" xfId="12671"/>
    <cellStyle name="Normal 131 2 3" xfId="12672"/>
    <cellStyle name="Normal 131 3" xfId="12673"/>
    <cellStyle name="Normal 131 3 2" xfId="12674"/>
    <cellStyle name="Normal 131 3 2 2" xfId="12675"/>
    <cellStyle name="Normal 131 3 3" xfId="12676"/>
    <cellStyle name="Normal 131 3 3 2" xfId="12677"/>
    <cellStyle name="Normal 131 3 3 2 2" xfId="12678"/>
    <cellStyle name="Normal 131 3 3 3" xfId="12679"/>
    <cellStyle name="Normal 131 3 4" xfId="12680"/>
    <cellStyle name="Normal 131 4" xfId="12681"/>
    <cellStyle name="Normal 131 4 2" xfId="12682"/>
    <cellStyle name="Normal 131 4 2 2" xfId="12683"/>
    <cellStyle name="Normal 131 4 3" xfId="12684"/>
    <cellStyle name="Normal 131 5" xfId="12685"/>
    <cellStyle name="Normal 132" xfId="12686"/>
    <cellStyle name="Normal 132 2" xfId="12687"/>
    <cellStyle name="Normal 132 2 2" xfId="12688"/>
    <cellStyle name="Normal 132 2 2 2" xfId="12689"/>
    <cellStyle name="Normal 132 2 3" xfId="12690"/>
    <cellStyle name="Normal 132 3" xfId="12691"/>
    <cellStyle name="Normal 132 3 2" xfId="12692"/>
    <cellStyle name="Normal 132 3 2 2" xfId="12693"/>
    <cellStyle name="Normal 132 3 3" xfId="12694"/>
    <cellStyle name="Normal 132 3 3 2" xfId="12695"/>
    <cellStyle name="Normal 132 3 3 2 2" xfId="12696"/>
    <cellStyle name="Normal 132 3 3 3" xfId="12697"/>
    <cellStyle name="Normal 132 3 4" xfId="12698"/>
    <cellStyle name="Normal 132 4" xfId="12699"/>
    <cellStyle name="Normal 132 4 2" xfId="12700"/>
    <cellStyle name="Normal 132 4 2 2" xfId="12701"/>
    <cellStyle name="Normal 132 4 3" xfId="12702"/>
    <cellStyle name="Normal 132 5" xfId="12703"/>
    <cellStyle name="Normal 133" xfId="12704"/>
    <cellStyle name="Normal 133 2" xfId="12705"/>
    <cellStyle name="Normal 133 2 2" xfId="12706"/>
    <cellStyle name="Normal 133 2 2 2" xfId="12707"/>
    <cellStyle name="Normal 133 2 3" xfId="12708"/>
    <cellStyle name="Normal 133 3" xfId="12709"/>
    <cellStyle name="Normal 133 3 2" xfId="12710"/>
    <cellStyle name="Normal 133 3 2 2" xfId="12711"/>
    <cellStyle name="Normal 133 3 3" xfId="12712"/>
    <cellStyle name="Normal 133 3 3 2" xfId="12713"/>
    <cellStyle name="Normal 133 3 3 2 2" xfId="12714"/>
    <cellStyle name="Normal 133 3 3 3" xfId="12715"/>
    <cellStyle name="Normal 133 3 4" xfId="12716"/>
    <cellStyle name="Normal 133 4" xfId="12717"/>
    <cellStyle name="Normal 133 4 2" xfId="12718"/>
    <cellStyle name="Normal 133 4 2 2" xfId="12719"/>
    <cellStyle name="Normal 133 4 3" xfId="12720"/>
    <cellStyle name="Normal 133 5" xfId="12721"/>
    <cellStyle name="Normal 134" xfId="12722"/>
    <cellStyle name="Normal 134 2" xfId="12723"/>
    <cellStyle name="Normal 134 2 2" xfId="12724"/>
    <cellStyle name="Normal 134 2 2 2" xfId="12725"/>
    <cellStyle name="Normal 134 2 3" xfId="12726"/>
    <cellStyle name="Normal 134 3" xfId="12727"/>
    <cellStyle name="Normal 134 3 2" xfId="12728"/>
    <cellStyle name="Normal 134 3 2 2" xfId="12729"/>
    <cellStyle name="Normal 134 3 3" xfId="12730"/>
    <cellStyle name="Normal 134 3 3 2" xfId="12731"/>
    <cellStyle name="Normal 134 3 3 2 2" xfId="12732"/>
    <cellStyle name="Normal 134 3 3 3" xfId="12733"/>
    <cellStyle name="Normal 134 3 4" xfId="12734"/>
    <cellStyle name="Normal 134 4" xfId="12735"/>
    <cellStyle name="Normal 134 4 2" xfId="12736"/>
    <cellStyle name="Normal 134 4 2 2" xfId="12737"/>
    <cellStyle name="Normal 134 4 3" xfId="12738"/>
    <cellStyle name="Normal 134 5" xfId="12739"/>
    <cellStyle name="Normal 135" xfId="12740"/>
    <cellStyle name="Normal 135 2" xfId="12741"/>
    <cellStyle name="Normal 135 2 2" xfId="12742"/>
    <cellStyle name="Normal 135 2 2 2" xfId="12743"/>
    <cellStyle name="Normal 135 2 3" xfId="12744"/>
    <cellStyle name="Normal 135 3" xfId="12745"/>
    <cellStyle name="Normal 135 3 2" xfId="12746"/>
    <cellStyle name="Normal 135 3 2 2" xfId="12747"/>
    <cellStyle name="Normal 135 3 3" xfId="12748"/>
    <cellStyle name="Normal 135 3 3 2" xfId="12749"/>
    <cellStyle name="Normal 135 3 3 2 2" xfId="12750"/>
    <cellStyle name="Normal 135 3 3 3" xfId="12751"/>
    <cellStyle name="Normal 135 3 4" xfId="12752"/>
    <cellStyle name="Normal 135 4" xfId="12753"/>
    <cellStyle name="Normal 135 4 2" xfId="12754"/>
    <cellStyle name="Normal 135 4 2 2" xfId="12755"/>
    <cellStyle name="Normal 135 4 3" xfId="12756"/>
    <cellStyle name="Normal 135 5" xfId="12757"/>
    <cellStyle name="Normal 136" xfId="12758"/>
    <cellStyle name="Normal 136 2" xfId="12759"/>
    <cellStyle name="Normal 136 2 2" xfId="12760"/>
    <cellStyle name="Normal 136 2 2 2" xfId="12761"/>
    <cellStyle name="Normal 136 2 3" xfId="12762"/>
    <cellStyle name="Normal 136 2 3 2" xfId="12763"/>
    <cellStyle name="Normal 136 2 3 2 2" xfId="12764"/>
    <cellStyle name="Normal 136 2 3 3" xfId="12765"/>
    <cellStyle name="Normal 136 2 4" xfId="12766"/>
    <cellStyle name="Normal 136 2 4 2" xfId="12767"/>
    <cellStyle name="Normal 136 2 4 2 2" xfId="12768"/>
    <cellStyle name="Normal 136 2 4 3" xfId="12769"/>
    <cellStyle name="Normal 136 2 5" xfId="12770"/>
    <cellStyle name="Normal 136 3" xfId="12771"/>
    <cellStyle name="Normal 136 3 2" xfId="12772"/>
    <cellStyle name="Normal 136 3 2 2" xfId="12773"/>
    <cellStyle name="Normal 136 3 2 2 2" xfId="12774"/>
    <cellStyle name="Normal 136 3 2 3" xfId="12775"/>
    <cellStyle name="Normal 136 3 2 3 2" xfId="12776"/>
    <cellStyle name="Normal 136 3 2 3 2 2" xfId="12777"/>
    <cellStyle name="Normal 136 3 2 3 3" xfId="12778"/>
    <cellStyle name="Normal 136 3 2 4" xfId="12779"/>
    <cellStyle name="Normal 136 3 3" xfId="12780"/>
    <cellStyle name="Normal 136 3 3 2" xfId="12781"/>
    <cellStyle name="Normal 136 3 3 2 2" xfId="12782"/>
    <cellStyle name="Normal 136 3 3 3" xfId="12783"/>
    <cellStyle name="Normal 136 3 4" xfId="12784"/>
    <cellStyle name="Normal 136 3 4 2" xfId="12785"/>
    <cellStyle name="Normal 136 3 4 2 2" xfId="12786"/>
    <cellStyle name="Normal 136 3 4 3" xfId="12787"/>
    <cellStyle name="Normal 136 3 5" xfId="12788"/>
    <cellStyle name="Normal 136 3 5 2" xfId="12789"/>
    <cellStyle name="Normal 136 3 5 2 2" xfId="12790"/>
    <cellStyle name="Normal 136 3 5 3" xfId="12791"/>
    <cellStyle name="Normal 136 3 6" xfId="12792"/>
    <cellStyle name="Normal 136 4" xfId="12793"/>
    <cellStyle name="Normal 136 4 2" xfId="12794"/>
    <cellStyle name="Normal 136 4 2 2" xfId="12795"/>
    <cellStyle name="Normal 136 4 3" xfId="12796"/>
    <cellStyle name="Normal 136 5" xfId="12797"/>
    <cellStyle name="Normal 136 5 2" xfId="12798"/>
    <cellStyle name="Normal 136 5 2 2" xfId="12799"/>
    <cellStyle name="Normal 136 5 3" xfId="12800"/>
    <cellStyle name="Normal 136 6" xfId="12801"/>
    <cellStyle name="Normal 136 6 2" xfId="12802"/>
    <cellStyle name="Normal 136 6 2 2" xfId="12803"/>
    <cellStyle name="Normal 136 6 3" xfId="12804"/>
    <cellStyle name="Normal 136 7" xfId="12805"/>
    <cellStyle name="Normal 137" xfId="12806"/>
    <cellStyle name="Normal 137 2" xfId="12807"/>
    <cellStyle name="Normal 137 2 2" xfId="12808"/>
    <cellStyle name="Normal 137 2 2 2" xfId="12809"/>
    <cellStyle name="Normal 137 2 3" xfId="12810"/>
    <cellStyle name="Normal 137 2 3 2" xfId="12811"/>
    <cellStyle name="Normal 137 2 3 2 2" xfId="12812"/>
    <cellStyle name="Normal 137 2 3 3" xfId="12813"/>
    <cellStyle name="Normal 137 2 4" xfId="12814"/>
    <cellStyle name="Normal 137 2 4 2" xfId="12815"/>
    <cellStyle name="Normal 137 2 4 2 2" xfId="12816"/>
    <cellStyle name="Normal 137 2 4 3" xfId="12817"/>
    <cellStyle name="Normal 137 2 5" xfId="12818"/>
    <cellStyle name="Normal 137 3" xfId="12819"/>
    <cellStyle name="Normal 137 3 2" xfId="12820"/>
    <cellStyle name="Normal 137 3 2 2" xfId="12821"/>
    <cellStyle name="Normal 137 3 2 2 2" xfId="12822"/>
    <cellStyle name="Normal 137 3 2 3" xfId="12823"/>
    <cellStyle name="Normal 137 3 2 3 2" xfId="12824"/>
    <cellStyle name="Normal 137 3 2 3 2 2" xfId="12825"/>
    <cellStyle name="Normal 137 3 2 3 3" xfId="12826"/>
    <cellStyle name="Normal 137 3 2 4" xfId="12827"/>
    <cellStyle name="Normal 137 3 3" xfId="12828"/>
    <cellStyle name="Normal 137 3 3 2" xfId="12829"/>
    <cellStyle name="Normal 137 3 3 2 2" xfId="12830"/>
    <cellStyle name="Normal 137 3 3 3" xfId="12831"/>
    <cellStyle name="Normal 137 3 4" xfId="12832"/>
    <cellStyle name="Normal 137 3 4 2" xfId="12833"/>
    <cellStyle name="Normal 137 3 4 2 2" xfId="12834"/>
    <cellStyle name="Normal 137 3 4 3" xfId="12835"/>
    <cellStyle name="Normal 137 3 5" xfId="12836"/>
    <cellStyle name="Normal 137 3 5 2" xfId="12837"/>
    <cellStyle name="Normal 137 3 5 2 2" xfId="12838"/>
    <cellStyle name="Normal 137 3 5 3" xfId="12839"/>
    <cellStyle name="Normal 137 3 6" xfId="12840"/>
    <cellStyle name="Normal 137 4" xfId="12841"/>
    <cellStyle name="Normal 137 4 2" xfId="12842"/>
    <cellStyle name="Normal 137 4 2 2" xfId="12843"/>
    <cellStyle name="Normal 137 4 3" xfId="12844"/>
    <cellStyle name="Normal 137 5" xfId="12845"/>
    <cellStyle name="Normal 137 5 2" xfId="12846"/>
    <cellStyle name="Normal 137 5 2 2" xfId="12847"/>
    <cellStyle name="Normal 137 5 3" xfId="12848"/>
    <cellStyle name="Normal 137 6" xfId="12849"/>
    <cellStyle name="Normal 137 6 2" xfId="12850"/>
    <cellStyle name="Normal 137 6 2 2" xfId="12851"/>
    <cellStyle name="Normal 137 6 3" xfId="12852"/>
    <cellStyle name="Normal 137 7" xfId="12853"/>
    <cellStyle name="Normal 138" xfId="12854"/>
    <cellStyle name="Normal 138 2" xfId="12855"/>
    <cellStyle name="Normal 138 2 2" xfId="12856"/>
    <cellStyle name="Normal 138 2 2 2" xfId="12857"/>
    <cellStyle name="Normal 138 2 3" xfId="12858"/>
    <cellStyle name="Normal 138 2 3 2" xfId="12859"/>
    <cellStyle name="Normal 138 2 3 2 2" xfId="12860"/>
    <cellStyle name="Normal 138 2 3 3" xfId="12861"/>
    <cellStyle name="Normal 138 2 4" xfId="12862"/>
    <cellStyle name="Normal 138 2 4 2" xfId="12863"/>
    <cellStyle name="Normal 138 2 4 2 2" xfId="12864"/>
    <cellStyle name="Normal 138 2 4 3" xfId="12865"/>
    <cellStyle name="Normal 138 2 5" xfId="12866"/>
    <cellStyle name="Normal 138 3" xfId="12867"/>
    <cellStyle name="Normal 138 3 2" xfId="12868"/>
    <cellStyle name="Normal 138 3 2 2" xfId="12869"/>
    <cellStyle name="Normal 138 3 2 2 2" xfId="12870"/>
    <cellStyle name="Normal 138 3 2 3" xfId="12871"/>
    <cellStyle name="Normal 138 3 2 3 2" xfId="12872"/>
    <cellStyle name="Normal 138 3 2 3 2 2" xfId="12873"/>
    <cellStyle name="Normal 138 3 2 3 3" xfId="12874"/>
    <cellStyle name="Normal 138 3 2 4" xfId="12875"/>
    <cellStyle name="Normal 138 3 3" xfId="12876"/>
    <cellStyle name="Normal 138 3 3 2" xfId="12877"/>
    <cellStyle name="Normal 138 3 3 2 2" xfId="12878"/>
    <cellStyle name="Normal 138 3 3 3" xfId="12879"/>
    <cellStyle name="Normal 138 3 4" xfId="12880"/>
    <cellStyle name="Normal 138 3 4 2" xfId="12881"/>
    <cellStyle name="Normal 138 3 4 2 2" xfId="12882"/>
    <cellStyle name="Normal 138 3 4 3" xfId="12883"/>
    <cellStyle name="Normal 138 3 5" xfId="12884"/>
    <cellStyle name="Normal 138 3 5 2" xfId="12885"/>
    <cellStyle name="Normal 138 3 5 2 2" xfId="12886"/>
    <cellStyle name="Normal 138 3 5 3" xfId="12887"/>
    <cellStyle name="Normal 138 3 6" xfId="12888"/>
    <cellStyle name="Normal 138 4" xfId="12889"/>
    <cellStyle name="Normal 138 4 2" xfId="12890"/>
    <cellStyle name="Normal 138 4 2 2" xfId="12891"/>
    <cellStyle name="Normal 138 4 3" xfId="12892"/>
    <cellStyle name="Normal 138 5" xfId="12893"/>
    <cellStyle name="Normal 138 5 2" xfId="12894"/>
    <cellStyle name="Normal 138 5 2 2" xfId="12895"/>
    <cellStyle name="Normal 138 5 3" xfId="12896"/>
    <cellStyle name="Normal 138 6" xfId="12897"/>
    <cellStyle name="Normal 138 6 2" xfId="12898"/>
    <cellStyle name="Normal 138 6 2 2" xfId="12899"/>
    <cellStyle name="Normal 138 6 3" xfId="12900"/>
    <cellStyle name="Normal 138 7" xfId="12901"/>
    <cellStyle name="Normal 139" xfId="12902"/>
    <cellStyle name="Normal 139 2" xfId="12903"/>
    <cellStyle name="Normal 139 2 2" xfId="12904"/>
    <cellStyle name="Normal 139 2 2 2" xfId="12905"/>
    <cellStyle name="Normal 139 2 3" xfId="12906"/>
    <cellStyle name="Normal 139 2 3 2" xfId="12907"/>
    <cellStyle name="Normal 139 2 3 2 2" xfId="12908"/>
    <cellStyle name="Normal 139 2 3 3" xfId="12909"/>
    <cellStyle name="Normal 139 2 4" xfId="12910"/>
    <cellStyle name="Normal 139 2 4 2" xfId="12911"/>
    <cellStyle name="Normal 139 2 4 2 2" xfId="12912"/>
    <cellStyle name="Normal 139 2 4 3" xfId="12913"/>
    <cellStyle name="Normal 139 2 5" xfId="12914"/>
    <cellStyle name="Normal 139 3" xfId="12915"/>
    <cellStyle name="Normal 139 3 2" xfId="12916"/>
    <cellStyle name="Normal 139 3 2 2" xfId="12917"/>
    <cellStyle name="Normal 139 3 2 2 2" xfId="12918"/>
    <cellStyle name="Normal 139 3 2 3" xfId="12919"/>
    <cellStyle name="Normal 139 3 2 3 2" xfId="12920"/>
    <cellStyle name="Normal 139 3 2 3 2 2" xfId="12921"/>
    <cellStyle name="Normal 139 3 2 3 3" xfId="12922"/>
    <cellStyle name="Normal 139 3 2 4" xfId="12923"/>
    <cellStyle name="Normal 139 3 3" xfId="12924"/>
    <cellStyle name="Normal 139 3 3 2" xfId="12925"/>
    <cellStyle name="Normal 139 3 3 2 2" xfId="12926"/>
    <cellStyle name="Normal 139 3 3 3" xfId="12927"/>
    <cellStyle name="Normal 139 3 4" xfId="12928"/>
    <cellStyle name="Normal 139 3 4 2" xfId="12929"/>
    <cellStyle name="Normal 139 3 4 2 2" xfId="12930"/>
    <cellStyle name="Normal 139 3 4 3" xfId="12931"/>
    <cellStyle name="Normal 139 3 5" xfId="12932"/>
    <cellStyle name="Normal 139 3 5 2" xfId="12933"/>
    <cellStyle name="Normal 139 3 5 2 2" xfId="12934"/>
    <cellStyle name="Normal 139 3 5 3" xfId="12935"/>
    <cellStyle name="Normal 139 3 6" xfId="12936"/>
    <cellStyle name="Normal 139 4" xfId="12937"/>
    <cellStyle name="Normal 139 4 2" xfId="12938"/>
    <cellStyle name="Normal 139 4 2 2" xfId="12939"/>
    <cellStyle name="Normal 139 4 3" xfId="12940"/>
    <cellStyle name="Normal 139 5" xfId="12941"/>
    <cellStyle name="Normal 139 5 2" xfId="12942"/>
    <cellStyle name="Normal 139 5 2 2" xfId="12943"/>
    <cellStyle name="Normal 139 5 3" xfId="12944"/>
    <cellStyle name="Normal 139 6" xfId="12945"/>
    <cellStyle name="Normal 139 6 2" xfId="12946"/>
    <cellStyle name="Normal 139 6 2 2" xfId="12947"/>
    <cellStyle name="Normal 139 6 3" xfId="12948"/>
    <cellStyle name="Normal 139 7" xfId="12949"/>
    <cellStyle name="Normal 14" xfId="128"/>
    <cellStyle name="Normal 14 2" xfId="12951"/>
    <cellStyle name="Normal 14 2 2" xfId="12952"/>
    <cellStyle name="Normal 14 2 2 2" xfId="12953"/>
    <cellStyle name="Normal 14 2 2 2 2" xfId="12954"/>
    <cellStyle name="Normal 14 2 2 3" xfId="12955"/>
    <cellStyle name="Normal 14 2 2 3 2" xfId="12956"/>
    <cellStyle name="Normal 14 2 2 3 2 2" xfId="12957"/>
    <cellStyle name="Normal 14 2 2 3 3" xfId="12958"/>
    <cellStyle name="Normal 14 2 2 4" xfId="12959"/>
    <cellStyle name="Normal 14 2 2 4 2" xfId="12960"/>
    <cellStyle name="Normal 14 2 2 4 2 2" xfId="12961"/>
    <cellStyle name="Normal 14 2 2 4 3" xfId="12962"/>
    <cellStyle name="Normal 14 2 2 5" xfId="12963"/>
    <cellStyle name="Normal 14 2 3" xfId="12964"/>
    <cellStyle name="Normal 14 2 3 2" xfId="12965"/>
    <cellStyle name="Normal 14 2 3 2 2" xfId="12966"/>
    <cellStyle name="Normal 14 2 3 2 2 2" xfId="12967"/>
    <cellStyle name="Normal 14 2 3 2 3" xfId="12968"/>
    <cellStyle name="Normal 14 2 3 2 3 2" xfId="12969"/>
    <cellStyle name="Normal 14 2 3 2 3 2 2" xfId="12970"/>
    <cellStyle name="Normal 14 2 3 2 3 3" xfId="12971"/>
    <cellStyle name="Normal 14 2 3 2 4" xfId="12972"/>
    <cellStyle name="Normal 14 2 3 3" xfId="12973"/>
    <cellStyle name="Normal 14 2 3 3 2" xfId="12974"/>
    <cellStyle name="Normal 14 2 3 3 2 2" xfId="12975"/>
    <cellStyle name="Normal 14 2 3 3 3" xfId="12976"/>
    <cellStyle name="Normal 14 2 3 4" xfId="12977"/>
    <cellStyle name="Normal 14 2 3 4 2" xfId="12978"/>
    <cellStyle name="Normal 14 2 3 4 2 2" xfId="12979"/>
    <cellStyle name="Normal 14 2 3 4 3" xfId="12980"/>
    <cellStyle name="Normal 14 2 3 5" xfId="12981"/>
    <cellStyle name="Normal 14 2 3 5 2" xfId="12982"/>
    <cellStyle name="Normal 14 2 3 5 2 2" xfId="12983"/>
    <cellStyle name="Normal 14 2 3 5 3" xfId="12984"/>
    <cellStyle name="Normal 14 2 3 6" xfId="12985"/>
    <cellStyle name="Normal 14 2 4" xfId="12986"/>
    <cellStyle name="Normal 14 3" xfId="12987"/>
    <cellStyle name="Normal 14 3 2" xfId="12988"/>
    <cellStyle name="Normal 14 3 2 2" xfId="12989"/>
    <cellStyle name="Normal 14 3 2 2 2" xfId="12990"/>
    <cellStyle name="Normal 14 3 2 3" xfId="12991"/>
    <cellStyle name="Normal 14 3 2 3 2" xfId="12992"/>
    <cellStyle name="Normal 14 3 2 3 2 2" xfId="12993"/>
    <cellStyle name="Normal 14 3 2 3 3" xfId="12994"/>
    <cellStyle name="Normal 14 3 2 4" xfId="12995"/>
    <cellStyle name="Normal 14 3 2 4 2" xfId="12996"/>
    <cellStyle name="Normal 14 3 2 4 2 2" xfId="12997"/>
    <cellStyle name="Normal 14 3 2 4 3" xfId="12998"/>
    <cellStyle name="Normal 14 3 2 5" xfId="12999"/>
    <cellStyle name="Normal 14 3 3" xfId="13000"/>
    <cellStyle name="Normal 14 3 3 2" xfId="13001"/>
    <cellStyle name="Normal 14 3 3 2 2" xfId="13002"/>
    <cellStyle name="Normal 14 3 3 3" xfId="13003"/>
    <cellStyle name="Normal 14 3 4" xfId="13004"/>
    <cellStyle name="Normal 14 3 4 2" xfId="13005"/>
    <cellStyle name="Normal 14 3 4 2 2" xfId="13006"/>
    <cellStyle name="Normal 14 3 4 3" xfId="13007"/>
    <cellStyle name="Normal 14 3 5" xfId="13008"/>
    <cellStyle name="Normal 14 3 5 2" xfId="13009"/>
    <cellStyle name="Normal 14 3 5 2 2" xfId="13010"/>
    <cellStyle name="Normal 14 3 5 3" xfId="13011"/>
    <cellStyle name="Normal 14 3 6" xfId="13012"/>
    <cellStyle name="Normal 14 4" xfId="13013"/>
    <cellStyle name="Normal 14 4 2" xfId="13014"/>
    <cellStyle name="Normal 14 4 2 2" xfId="13015"/>
    <cellStyle name="Normal 14 4 3" xfId="13016"/>
    <cellStyle name="Normal 14 4 3 2" xfId="13017"/>
    <cellStyle name="Normal 14 4 3 2 2" xfId="13018"/>
    <cellStyle name="Normal 14 4 3 3" xfId="13019"/>
    <cellStyle name="Normal 14 4 4" xfId="13020"/>
    <cellStyle name="Normal 14 4 4 2" xfId="13021"/>
    <cellStyle name="Normal 14 4 4 2 2" xfId="13022"/>
    <cellStyle name="Normal 14 4 4 3" xfId="13023"/>
    <cellStyle name="Normal 14 4 5" xfId="13024"/>
    <cellStyle name="Normal 14 5" xfId="13025"/>
    <cellStyle name="Normal 14 5 2" xfId="13026"/>
    <cellStyle name="Normal 14 5 2 2" xfId="13027"/>
    <cellStyle name="Normal 14 5 2 2 2" xfId="13028"/>
    <cellStyle name="Normal 14 5 2 3" xfId="13029"/>
    <cellStyle name="Normal 14 5 2 3 2" xfId="13030"/>
    <cellStyle name="Normal 14 5 2 3 2 2" xfId="13031"/>
    <cellStyle name="Normal 14 5 2 3 3" xfId="13032"/>
    <cellStyle name="Normal 14 5 2 4" xfId="13033"/>
    <cellStyle name="Normal 14 5 3" xfId="13034"/>
    <cellStyle name="Normal 14 5 3 2" xfId="13035"/>
    <cellStyle name="Normal 14 5 3 2 2" xfId="13036"/>
    <cellStyle name="Normal 14 5 3 3" xfId="13037"/>
    <cellStyle name="Normal 14 5 4" xfId="13038"/>
    <cellStyle name="Normal 14 5 4 2" xfId="13039"/>
    <cellStyle name="Normal 14 5 4 2 2" xfId="13040"/>
    <cellStyle name="Normal 14 5 4 3" xfId="13041"/>
    <cellStyle name="Normal 14 5 5" xfId="13042"/>
    <cellStyle name="Normal 14 5 5 2" xfId="13043"/>
    <cellStyle name="Normal 14 5 5 2 2" xfId="13044"/>
    <cellStyle name="Normal 14 5 5 3" xfId="13045"/>
    <cellStyle name="Normal 14 5 6" xfId="13046"/>
    <cellStyle name="Normal 14 6" xfId="13047"/>
    <cellStyle name="Normal 14 6 2" xfId="13048"/>
    <cellStyle name="Normal 14 6 2 2" xfId="13049"/>
    <cellStyle name="Normal 14 6 2 2 2" xfId="13050"/>
    <cellStyle name="Normal 14 6 2 3" xfId="13051"/>
    <cellStyle name="Normal 14 6 2 3 2" xfId="13052"/>
    <cellStyle name="Normal 14 6 2 3 2 2" xfId="13053"/>
    <cellStyle name="Normal 14 6 2 3 3" xfId="13054"/>
    <cellStyle name="Normal 14 6 2 4" xfId="13055"/>
    <cellStyle name="Normal 14 6 3" xfId="13056"/>
    <cellStyle name="Normal 14 6 3 2" xfId="13057"/>
    <cellStyle name="Normal 14 6 3 2 2" xfId="13058"/>
    <cellStyle name="Normal 14 6 3 3" xfId="13059"/>
    <cellStyle name="Normal 14 6 4" xfId="13060"/>
    <cellStyle name="Normal 14 6 4 2" xfId="13061"/>
    <cellStyle name="Normal 14 6 4 2 2" xfId="13062"/>
    <cellStyle name="Normal 14 6 4 3" xfId="13063"/>
    <cellStyle name="Normal 14 6 5" xfId="13064"/>
    <cellStyle name="Normal 14 7" xfId="13065"/>
    <cellStyle name="Normal 14 7 2" xfId="13066"/>
    <cellStyle name="Normal 14 8" xfId="13067"/>
    <cellStyle name="Normal 14 9" xfId="12950"/>
    <cellStyle name="Normal 140" xfId="13068"/>
    <cellStyle name="Normal 140 2" xfId="13069"/>
    <cellStyle name="Normal 140 2 2" xfId="13070"/>
    <cellStyle name="Normal 140 2 2 2" xfId="13071"/>
    <cellStyle name="Normal 140 2 3" xfId="13072"/>
    <cellStyle name="Normal 140 2 3 2" xfId="13073"/>
    <cellStyle name="Normal 140 2 3 2 2" xfId="13074"/>
    <cellStyle name="Normal 140 2 3 3" xfId="13075"/>
    <cellStyle name="Normal 140 2 4" xfId="13076"/>
    <cellStyle name="Normal 140 2 4 2" xfId="13077"/>
    <cellStyle name="Normal 140 2 4 2 2" xfId="13078"/>
    <cellStyle name="Normal 140 2 4 3" xfId="13079"/>
    <cellStyle name="Normal 140 2 5" xfId="13080"/>
    <cellStyle name="Normal 140 3" xfId="13081"/>
    <cellStyle name="Normal 140 3 2" xfId="13082"/>
    <cellStyle name="Normal 140 3 2 2" xfId="13083"/>
    <cellStyle name="Normal 140 3 2 2 2" xfId="13084"/>
    <cellStyle name="Normal 140 3 2 3" xfId="13085"/>
    <cellStyle name="Normal 140 3 2 3 2" xfId="13086"/>
    <cellStyle name="Normal 140 3 2 3 2 2" xfId="13087"/>
    <cellStyle name="Normal 140 3 2 3 3" xfId="13088"/>
    <cellStyle name="Normal 140 3 2 4" xfId="13089"/>
    <cellStyle name="Normal 140 3 3" xfId="13090"/>
    <cellStyle name="Normal 140 3 3 2" xfId="13091"/>
    <cellStyle name="Normal 140 3 3 2 2" xfId="13092"/>
    <cellStyle name="Normal 140 3 3 3" xfId="13093"/>
    <cellStyle name="Normal 140 3 4" xfId="13094"/>
    <cellStyle name="Normal 140 3 4 2" xfId="13095"/>
    <cellStyle name="Normal 140 3 4 2 2" xfId="13096"/>
    <cellStyle name="Normal 140 3 4 3" xfId="13097"/>
    <cellStyle name="Normal 140 3 5" xfId="13098"/>
    <cellStyle name="Normal 140 3 5 2" xfId="13099"/>
    <cellStyle name="Normal 140 3 5 2 2" xfId="13100"/>
    <cellStyle name="Normal 140 3 5 3" xfId="13101"/>
    <cellStyle name="Normal 140 3 6" xfId="13102"/>
    <cellStyle name="Normal 140 4" xfId="13103"/>
    <cellStyle name="Normal 140 4 2" xfId="13104"/>
    <cellStyle name="Normal 140 4 2 2" xfId="13105"/>
    <cellStyle name="Normal 140 4 3" xfId="13106"/>
    <cellStyle name="Normal 140 5" xfId="13107"/>
    <cellStyle name="Normal 140 5 2" xfId="13108"/>
    <cellStyle name="Normal 140 5 2 2" xfId="13109"/>
    <cellStyle name="Normal 140 5 3" xfId="13110"/>
    <cellStyle name="Normal 140 6" xfId="13111"/>
    <cellStyle name="Normal 140 6 2" xfId="13112"/>
    <cellStyle name="Normal 140 6 2 2" xfId="13113"/>
    <cellStyle name="Normal 140 6 3" xfId="13114"/>
    <cellStyle name="Normal 140 7" xfId="13115"/>
    <cellStyle name="Normal 141" xfId="13116"/>
    <cellStyle name="Normal 141 2" xfId="13117"/>
    <cellStyle name="Normal 141 2 2" xfId="13118"/>
    <cellStyle name="Normal 141 2 2 2" xfId="13119"/>
    <cellStyle name="Normal 141 2 3" xfId="13120"/>
    <cellStyle name="Normal 141 2 3 2" xfId="13121"/>
    <cellStyle name="Normal 141 2 3 2 2" xfId="13122"/>
    <cellStyle name="Normal 141 2 3 3" xfId="13123"/>
    <cellStyle name="Normal 141 2 4" xfId="13124"/>
    <cellStyle name="Normal 141 2 4 2" xfId="13125"/>
    <cellStyle name="Normal 141 2 4 2 2" xfId="13126"/>
    <cellStyle name="Normal 141 2 4 3" xfId="13127"/>
    <cellStyle name="Normal 141 2 5" xfId="13128"/>
    <cellStyle name="Normal 141 3" xfId="13129"/>
    <cellStyle name="Normal 141 3 2" xfId="13130"/>
    <cellStyle name="Normal 141 3 2 2" xfId="13131"/>
    <cellStyle name="Normal 141 3 2 2 2" xfId="13132"/>
    <cellStyle name="Normal 141 3 2 3" xfId="13133"/>
    <cellStyle name="Normal 141 3 2 3 2" xfId="13134"/>
    <cellStyle name="Normal 141 3 2 3 2 2" xfId="13135"/>
    <cellStyle name="Normal 141 3 2 3 3" xfId="13136"/>
    <cellStyle name="Normal 141 3 2 4" xfId="13137"/>
    <cellStyle name="Normal 141 3 3" xfId="13138"/>
    <cellStyle name="Normal 141 3 3 2" xfId="13139"/>
    <cellStyle name="Normal 141 3 3 2 2" xfId="13140"/>
    <cellStyle name="Normal 141 3 3 3" xfId="13141"/>
    <cellStyle name="Normal 141 3 4" xfId="13142"/>
    <cellStyle name="Normal 141 3 4 2" xfId="13143"/>
    <cellStyle name="Normal 141 3 4 2 2" xfId="13144"/>
    <cellStyle name="Normal 141 3 4 3" xfId="13145"/>
    <cellStyle name="Normal 141 3 5" xfId="13146"/>
    <cellStyle name="Normal 141 3 5 2" xfId="13147"/>
    <cellStyle name="Normal 141 3 5 2 2" xfId="13148"/>
    <cellStyle name="Normal 141 3 5 3" xfId="13149"/>
    <cellStyle name="Normal 141 3 6" xfId="13150"/>
    <cellStyle name="Normal 141 4" xfId="13151"/>
    <cellStyle name="Normal 141 4 2" xfId="13152"/>
    <cellStyle name="Normal 141 4 2 2" xfId="13153"/>
    <cellStyle name="Normal 141 4 3" xfId="13154"/>
    <cellStyle name="Normal 141 5" xfId="13155"/>
    <cellStyle name="Normal 141 5 2" xfId="13156"/>
    <cellStyle name="Normal 141 5 2 2" xfId="13157"/>
    <cellStyle name="Normal 141 5 3" xfId="13158"/>
    <cellStyle name="Normal 141 6" xfId="13159"/>
    <cellStyle name="Normal 141 6 2" xfId="13160"/>
    <cellStyle name="Normal 141 6 2 2" xfId="13161"/>
    <cellStyle name="Normal 141 6 3" xfId="13162"/>
    <cellStyle name="Normal 141 7" xfId="13163"/>
    <cellStyle name="Normal 142" xfId="13164"/>
    <cellStyle name="Normal 142 2" xfId="13165"/>
    <cellStyle name="Normal 142 2 2" xfId="13166"/>
    <cellStyle name="Normal 142 2 2 2" xfId="13167"/>
    <cellStyle name="Normal 142 2 3" xfId="13168"/>
    <cellStyle name="Normal 142 2 3 2" xfId="13169"/>
    <cellStyle name="Normal 142 2 3 2 2" xfId="13170"/>
    <cellStyle name="Normal 142 2 3 3" xfId="13171"/>
    <cellStyle name="Normal 142 2 4" xfId="13172"/>
    <cellStyle name="Normal 142 2 4 2" xfId="13173"/>
    <cellStyle name="Normal 142 2 4 2 2" xfId="13174"/>
    <cellStyle name="Normal 142 2 4 3" xfId="13175"/>
    <cellStyle name="Normal 142 2 5" xfId="13176"/>
    <cellStyle name="Normal 142 3" xfId="13177"/>
    <cellStyle name="Normal 142 3 2" xfId="13178"/>
    <cellStyle name="Normal 142 3 2 2" xfId="13179"/>
    <cellStyle name="Normal 142 3 2 2 2" xfId="13180"/>
    <cellStyle name="Normal 142 3 2 3" xfId="13181"/>
    <cellStyle name="Normal 142 3 2 3 2" xfId="13182"/>
    <cellStyle name="Normal 142 3 2 3 2 2" xfId="13183"/>
    <cellStyle name="Normal 142 3 2 3 3" xfId="13184"/>
    <cellStyle name="Normal 142 3 2 4" xfId="13185"/>
    <cellStyle name="Normal 142 3 3" xfId="13186"/>
    <cellStyle name="Normal 142 3 3 2" xfId="13187"/>
    <cellStyle name="Normal 142 3 3 2 2" xfId="13188"/>
    <cellStyle name="Normal 142 3 3 3" xfId="13189"/>
    <cellStyle name="Normal 142 3 4" xfId="13190"/>
    <cellStyle name="Normal 142 3 4 2" xfId="13191"/>
    <cellStyle name="Normal 142 3 4 2 2" xfId="13192"/>
    <cellStyle name="Normal 142 3 4 3" xfId="13193"/>
    <cellStyle name="Normal 142 3 5" xfId="13194"/>
    <cellStyle name="Normal 142 3 5 2" xfId="13195"/>
    <cellStyle name="Normal 142 3 5 2 2" xfId="13196"/>
    <cellStyle name="Normal 142 3 5 3" xfId="13197"/>
    <cellStyle name="Normal 142 3 6" xfId="13198"/>
    <cellStyle name="Normal 142 4" xfId="13199"/>
    <cellStyle name="Normal 142 4 2" xfId="13200"/>
    <cellStyle name="Normal 142 4 2 2" xfId="13201"/>
    <cellStyle name="Normal 142 4 3" xfId="13202"/>
    <cellStyle name="Normal 142 5" xfId="13203"/>
    <cellStyle name="Normal 142 5 2" xfId="13204"/>
    <cellStyle name="Normal 142 5 2 2" xfId="13205"/>
    <cellStyle name="Normal 142 5 3" xfId="13206"/>
    <cellStyle name="Normal 142 6" xfId="13207"/>
    <cellStyle name="Normal 142 6 2" xfId="13208"/>
    <cellStyle name="Normal 142 6 2 2" xfId="13209"/>
    <cellStyle name="Normal 142 6 3" xfId="13210"/>
    <cellStyle name="Normal 142 7" xfId="13211"/>
    <cellStyle name="Normal 143" xfId="13212"/>
    <cellStyle name="Normal 143 2" xfId="13213"/>
    <cellStyle name="Normal 143 2 2" xfId="13214"/>
    <cellStyle name="Normal 143 2 2 2" xfId="13215"/>
    <cellStyle name="Normal 143 2 3" xfId="13216"/>
    <cellStyle name="Normal 143 2 3 2" xfId="13217"/>
    <cellStyle name="Normal 143 2 3 2 2" xfId="13218"/>
    <cellStyle name="Normal 143 2 3 3" xfId="13219"/>
    <cellStyle name="Normal 143 2 4" xfId="13220"/>
    <cellStyle name="Normal 143 2 4 2" xfId="13221"/>
    <cellStyle name="Normal 143 2 4 2 2" xfId="13222"/>
    <cellStyle name="Normal 143 2 4 3" xfId="13223"/>
    <cellStyle name="Normal 143 2 5" xfId="13224"/>
    <cellStyle name="Normal 143 3" xfId="13225"/>
    <cellStyle name="Normal 143 3 2" xfId="13226"/>
    <cellStyle name="Normal 143 3 2 2" xfId="13227"/>
    <cellStyle name="Normal 143 3 2 2 2" xfId="13228"/>
    <cellStyle name="Normal 143 3 2 3" xfId="13229"/>
    <cellStyle name="Normal 143 3 2 3 2" xfId="13230"/>
    <cellStyle name="Normal 143 3 2 3 2 2" xfId="13231"/>
    <cellStyle name="Normal 143 3 2 3 3" xfId="13232"/>
    <cellStyle name="Normal 143 3 2 4" xfId="13233"/>
    <cellStyle name="Normal 143 3 3" xfId="13234"/>
    <cellStyle name="Normal 143 3 3 2" xfId="13235"/>
    <cellStyle name="Normal 143 3 3 2 2" xfId="13236"/>
    <cellStyle name="Normal 143 3 3 3" xfId="13237"/>
    <cellStyle name="Normal 143 3 4" xfId="13238"/>
    <cellStyle name="Normal 143 3 4 2" xfId="13239"/>
    <cellStyle name="Normal 143 3 4 2 2" xfId="13240"/>
    <cellStyle name="Normal 143 3 4 3" xfId="13241"/>
    <cellStyle name="Normal 143 3 5" xfId="13242"/>
    <cellStyle name="Normal 143 3 5 2" xfId="13243"/>
    <cellStyle name="Normal 143 3 5 2 2" xfId="13244"/>
    <cellStyle name="Normal 143 3 5 3" xfId="13245"/>
    <cellStyle name="Normal 143 3 6" xfId="13246"/>
    <cellStyle name="Normal 143 4" xfId="13247"/>
    <cellStyle name="Normal 143 4 2" xfId="13248"/>
    <cellStyle name="Normal 143 4 2 2" xfId="13249"/>
    <cellStyle name="Normal 143 4 3" xfId="13250"/>
    <cellStyle name="Normal 143 5" xfId="13251"/>
    <cellStyle name="Normal 143 5 2" xfId="13252"/>
    <cellStyle name="Normal 143 5 2 2" xfId="13253"/>
    <cellStyle name="Normal 143 5 3" xfId="13254"/>
    <cellStyle name="Normal 143 6" xfId="13255"/>
    <cellStyle name="Normal 143 6 2" xfId="13256"/>
    <cellStyle name="Normal 143 6 2 2" xfId="13257"/>
    <cellStyle name="Normal 143 6 3" xfId="13258"/>
    <cellStyle name="Normal 143 7" xfId="13259"/>
    <cellStyle name="Normal 144" xfId="13260"/>
    <cellStyle name="Normal 144 2" xfId="13261"/>
    <cellStyle name="Normal 144 2 2" xfId="13262"/>
    <cellStyle name="Normal 144 2 2 2" xfId="13263"/>
    <cellStyle name="Normal 144 2 3" xfId="13264"/>
    <cellStyle name="Normal 144 2 3 2" xfId="13265"/>
    <cellStyle name="Normal 144 2 3 2 2" xfId="13266"/>
    <cellStyle name="Normal 144 2 3 3" xfId="13267"/>
    <cellStyle name="Normal 144 2 4" xfId="13268"/>
    <cellStyle name="Normal 144 2 4 2" xfId="13269"/>
    <cellStyle name="Normal 144 2 4 2 2" xfId="13270"/>
    <cellStyle name="Normal 144 2 4 3" xfId="13271"/>
    <cellStyle name="Normal 144 2 5" xfId="13272"/>
    <cellStyle name="Normal 144 3" xfId="13273"/>
    <cellStyle name="Normal 144 3 2" xfId="13274"/>
    <cellStyle name="Normal 144 3 2 2" xfId="13275"/>
    <cellStyle name="Normal 144 3 2 2 2" xfId="13276"/>
    <cellStyle name="Normal 144 3 2 3" xfId="13277"/>
    <cellStyle name="Normal 144 3 2 3 2" xfId="13278"/>
    <cellStyle name="Normal 144 3 2 3 2 2" xfId="13279"/>
    <cellStyle name="Normal 144 3 2 3 3" xfId="13280"/>
    <cellStyle name="Normal 144 3 2 4" xfId="13281"/>
    <cellStyle name="Normal 144 3 3" xfId="13282"/>
    <cellStyle name="Normal 144 3 3 2" xfId="13283"/>
    <cellStyle name="Normal 144 3 3 2 2" xfId="13284"/>
    <cellStyle name="Normal 144 3 3 3" xfId="13285"/>
    <cellStyle name="Normal 144 3 4" xfId="13286"/>
    <cellStyle name="Normal 144 3 4 2" xfId="13287"/>
    <cellStyle name="Normal 144 3 4 2 2" xfId="13288"/>
    <cellStyle name="Normal 144 3 4 3" xfId="13289"/>
    <cellStyle name="Normal 144 3 5" xfId="13290"/>
    <cellStyle name="Normal 144 3 5 2" xfId="13291"/>
    <cellStyle name="Normal 144 3 5 2 2" xfId="13292"/>
    <cellStyle name="Normal 144 3 5 3" xfId="13293"/>
    <cellStyle name="Normal 144 3 6" xfId="13294"/>
    <cellStyle name="Normal 144 4" xfId="13295"/>
    <cellStyle name="Normal 144 4 2" xfId="13296"/>
    <cellStyle name="Normal 144 4 2 2" xfId="13297"/>
    <cellStyle name="Normal 144 4 3" xfId="13298"/>
    <cellStyle name="Normal 144 5" xfId="13299"/>
    <cellStyle name="Normal 144 5 2" xfId="13300"/>
    <cellStyle name="Normal 144 5 2 2" xfId="13301"/>
    <cellStyle name="Normal 144 5 3" xfId="13302"/>
    <cellStyle name="Normal 144 6" xfId="13303"/>
    <cellStyle name="Normal 144 6 2" xfId="13304"/>
    <cellStyle name="Normal 144 6 2 2" xfId="13305"/>
    <cellStyle name="Normal 144 6 3" xfId="13306"/>
    <cellStyle name="Normal 144 7" xfId="13307"/>
    <cellStyle name="Normal 145" xfId="13308"/>
    <cellStyle name="Normal 145 2" xfId="13309"/>
    <cellStyle name="Normal 145 2 2" xfId="13310"/>
    <cellStyle name="Normal 145 2 2 2" xfId="13311"/>
    <cellStyle name="Normal 145 2 3" xfId="13312"/>
    <cellStyle name="Normal 145 2 3 2" xfId="13313"/>
    <cellStyle name="Normal 145 2 3 2 2" xfId="13314"/>
    <cellStyle name="Normal 145 2 3 3" xfId="13315"/>
    <cellStyle name="Normal 145 2 4" xfId="13316"/>
    <cellStyle name="Normal 145 2 4 2" xfId="13317"/>
    <cellStyle name="Normal 145 2 4 2 2" xfId="13318"/>
    <cellStyle name="Normal 145 2 4 3" xfId="13319"/>
    <cellStyle name="Normal 145 2 5" xfId="13320"/>
    <cellStyle name="Normal 145 3" xfId="13321"/>
    <cellStyle name="Normal 145 3 2" xfId="13322"/>
    <cellStyle name="Normal 145 3 2 2" xfId="13323"/>
    <cellStyle name="Normal 145 3 2 2 2" xfId="13324"/>
    <cellStyle name="Normal 145 3 2 3" xfId="13325"/>
    <cellStyle name="Normal 145 3 2 3 2" xfId="13326"/>
    <cellStyle name="Normal 145 3 2 3 2 2" xfId="13327"/>
    <cellStyle name="Normal 145 3 2 3 3" xfId="13328"/>
    <cellStyle name="Normal 145 3 2 4" xfId="13329"/>
    <cellStyle name="Normal 145 3 3" xfId="13330"/>
    <cellStyle name="Normal 145 3 3 2" xfId="13331"/>
    <cellStyle name="Normal 145 3 3 2 2" xfId="13332"/>
    <cellStyle name="Normal 145 3 3 3" xfId="13333"/>
    <cellStyle name="Normal 145 3 4" xfId="13334"/>
    <cellStyle name="Normal 145 3 4 2" xfId="13335"/>
    <cellStyle name="Normal 145 3 4 2 2" xfId="13336"/>
    <cellStyle name="Normal 145 3 4 3" xfId="13337"/>
    <cellStyle name="Normal 145 3 5" xfId="13338"/>
    <cellStyle name="Normal 145 3 5 2" xfId="13339"/>
    <cellStyle name="Normal 145 3 5 2 2" xfId="13340"/>
    <cellStyle name="Normal 145 3 5 3" xfId="13341"/>
    <cellStyle name="Normal 145 3 6" xfId="13342"/>
    <cellStyle name="Normal 145 4" xfId="13343"/>
    <cellStyle name="Normal 145 4 2" xfId="13344"/>
    <cellStyle name="Normal 145 4 2 2" xfId="13345"/>
    <cellStyle name="Normal 145 4 3" xfId="13346"/>
    <cellStyle name="Normal 145 5" xfId="13347"/>
    <cellStyle name="Normal 145 5 2" xfId="13348"/>
    <cellStyle name="Normal 145 5 2 2" xfId="13349"/>
    <cellStyle name="Normal 145 5 3" xfId="13350"/>
    <cellStyle name="Normal 145 6" xfId="13351"/>
    <cellStyle name="Normal 145 6 2" xfId="13352"/>
    <cellStyle name="Normal 145 6 2 2" xfId="13353"/>
    <cellStyle name="Normal 145 6 3" xfId="13354"/>
    <cellStyle name="Normal 145 7" xfId="13355"/>
    <cellStyle name="Normal 146" xfId="13356"/>
    <cellStyle name="Normal 146 2" xfId="13357"/>
    <cellStyle name="Normal 146 2 2" xfId="13358"/>
    <cellStyle name="Normal 146 2 2 2" xfId="13359"/>
    <cellStyle name="Normal 146 2 3" xfId="13360"/>
    <cellStyle name="Normal 146 2 3 2" xfId="13361"/>
    <cellStyle name="Normal 146 2 3 2 2" xfId="13362"/>
    <cellStyle name="Normal 146 2 3 3" xfId="13363"/>
    <cellStyle name="Normal 146 2 4" xfId="13364"/>
    <cellStyle name="Normal 146 2 4 2" xfId="13365"/>
    <cellStyle name="Normal 146 2 4 2 2" xfId="13366"/>
    <cellStyle name="Normal 146 2 4 3" xfId="13367"/>
    <cellStyle name="Normal 146 2 5" xfId="13368"/>
    <cellStyle name="Normal 146 3" xfId="13369"/>
    <cellStyle name="Normal 146 3 2" xfId="13370"/>
    <cellStyle name="Normal 146 3 2 2" xfId="13371"/>
    <cellStyle name="Normal 146 3 2 2 2" xfId="13372"/>
    <cellStyle name="Normal 146 3 2 3" xfId="13373"/>
    <cellStyle name="Normal 146 3 2 3 2" xfId="13374"/>
    <cellStyle name="Normal 146 3 2 3 2 2" xfId="13375"/>
    <cellStyle name="Normal 146 3 2 3 3" xfId="13376"/>
    <cellStyle name="Normal 146 3 2 4" xfId="13377"/>
    <cellStyle name="Normal 146 3 3" xfId="13378"/>
    <cellStyle name="Normal 146 3 3 2" xfId="13379"/>
    <cellStyle name="Normal 146 3 3 2 2" xfId="13380"/>
    <cellStyle name="Normal 146 3 3 3" xfId="13381"/>
    <cellStyle name="Normal 146 3 4" xfId="13382"/>
    <cellStyle name="Normal 146 3 4 2" xfId="13383"/>
    <cellStyle name="Normal 146 3 4 2 2" xfId="13384"/>
    <cellStyle name="Normal 146 3 4 3" xfId="13385"/>
    <cellStyle name="Normal 146 3 5" xfId="13386"/>
    <cellStyle name="Normal 146 3 5 2" xfId="13387"/>
    <cellStyle name="Normal 146 3 5 2 2" xfId="13388"/>
    <cellStyle name="Normal 146 3 5 3" xfId="13389"/>
    <cellStyle name="Normal 146 3 6" xfId="13390"/>
    <cellStyle name="Normal 146 4" xfId="13391"/>
    <cellStyle name="Normal 146 4 2" xfId="13392"/>
    <cellStyle name="Normal 146 4 2 2" xfId="13393"/>
    <cellStyle name="Normal 146 4 3" xfId="13394"/>
    <cellStyle name="Normal 146 5" xfId="13395"/>
    <cellStyle name="Normal 146 5 2" xfId="13396"/>
    <cellStyle name="Normal 146 5 2 2" xfId="13397"/>
    <cellStyle name="Normal 146 5 3" xfId="13398"/>
    <cellStyle name="Normal 146 6" xfId="13399"/>
    <cellStyle name="Normal 146 6 2" xfId="13400"/>
    <cellStyle name="Normal 146 6 2 2" xfId="13401"/>
    <cellStyle name="Normal 146 6 3" xfId="13402"/>
    <cellStyle name="Normal 146 7" xfId="13403"/>
    <cellStyle name="Normal 147" xfId="13404"/>
    <cellStyle name="Normal 147 2" xfId="13405"/>
    <cellStyle name="Normal 147 2 2" xfId="13406"/>
    <cellStyle name="Normal 147 2 2 2" xfId="13407"/>
    <cellStyle name="Normal 147 2 3" xfId="13408"/>
    <cellStyle name="Normal 147 2 3 2" xfId="13409"/>
    <cellStyle name="Normal 147 2 3 2 2" xfId="13410"/>
    <cellStyle name="Normal 147 2 3 3" xfId="13411"/>
    <cellStyle name="Normal 147 2 4" xfId="13412"/>
    <cellStyle name="Normal 147 2 4 2" xfId="13413"/>
    <cellStyle name="Normal 147 2 4 2 2" xfId="13414"/>
    <cellStyle name="Normal 147 2 4 3" xfId="13415"/>
    <cellStyle name="Normal 147 2 5" xfId="13416"/>
    <cellStyle name="Normal 147 3" xfId="13417"/>
    <cellStyle name="Normal 147 3 2" xfId="13418"/>
    <cellStyle name="Normal 147 3 2 2" xfId="13419"/>
    <cellStyle name="Normal 147 3 2 2 2" xfId="13420"/>
    <cellStyle name="Normal 147 3 2 3" xfId="13421"/>
    <cellStyle name="Normal 147 3 2 3 2" xfId="13422"/>
    <cellStyle name="Normal 147 3 2 3 2 2" xfId="13423"/>
    <cellStyle name="Normal 147 3 2 3 3" xfId="13424"/>
    <cellStyle name="Normal 147 3 2 4" xfId="13425"/>
    <cellStyle name="Normal 147 3 3" xfId="13426"/>
    <cellStyle name="Normal 147 3 3 2" xfId="13427"/>
    <cellStyle name="Normal 147 3 3 2 2" xfId="13428"/>
    <cellStyle name="Normal 147 3 3 3" xfId="13429"/>
    <cellStyle name="Normal 147 3 4" xfId="13430"/>
    <cellStyle name="Normal 147 3 4 2" xfId="13431"/>
    <cellStyle name="Normal 147 3 4 2 2" xfId="13432"/>
    <cellStyle name="Normal 147 3 4 3" xfId="13433"/>
    <cellStyle name="Normal 147 3 5" xfId="13434"/>
    <cellStyle name="Normal 147 3 5 2" xfId="13435"/>
    <cellStyle name="Normal 147 3 5 2 2" xfId="13436"/>
    <cellStyle name="Normal 147 3 5 3" xfId="13437"/>
    <cellStyle name="Normal 147 3 6" xfId="13438"/>
    <cellStyle name="Normal 147 4" xfId="13439"/>
    <cellStyle name="Normal 147 4 2" xfId="13440"/>
    <cellStyle name="Normal 147 4 2 2" xfId="13441"/>
    <cellStyle name="Normal 147 4 3" xfId="13442"/>
    <cellStyle name="Normal 147 5" xfId="13443"/>
    <cellStyle name="Normal 147 5 2" xfId="13444"/>
    <cellStyle name="Normal 147 5 2 2" xfId="13445"/>
    <cellStyle name="Normal 147 5 3" xfId="13446"/>
    <cellStyle name="Normal 147 6" xfId="13447"/>
    <cellStyle name="Normal 147 6 2" xfId="13448"/>
    <cellStyle name="Normal 147 6 2 2" xfId="13449"/>
    <cellStyle name="Normal 147 6 3" xfId="13450"/>
    <cellStyle name="Normal 147 7" xfId="13451"/>
    <cellStyle name="Normal 148" xfId="13452"/>
    <cellStyle name="Normal 148 2" xfId="13453"/>
    <cellStyle name="Normal 148 2 2" xfId="13454"/>
    <cellStyle name="Normal 148 2 2 2" xfId="13455"/>
    <cellStyle name="Normal 148 2 3" xfId="13456"/>
    <cellStyle name="Normal 148 2 3 2" xfId="13457"/>
    <cellStyle name="Normal 148 2 3 2 2" xfId="13458"/>
    <cellStyle name="Normal 148 2 3 3" xfId="13459"/>
    <cellStyle name="Normal 148 2 4" xfId="13460"/>
    <cellStyle name="Normal 148 2 4 2" xfId="13461"/>
    <cellStyle name="Normal 148 2 4 2 2" xfId="13462"/>
    <cellStyle name="Normal 148 2 4 3" xfId="13463"/>
    <cellStyle name="Normal 148 2 5" xfId="13464"/>
    <cellStyle name="Normal 148 3" xfId="13465"/>
    <cellStyle name="Normal 148 3 2" xfId="13466"/>
    <cellStyle name="Normal 148 3 2 2" xfId="13467"/>
    <cellStyle name="Normal 148 3 2 2 2" xfId="13468"/>
    <cellStyle name="Normal 148 3 2 3" xfId="13469"/>
    <cellStyle name="Normal 148 3 2 3 2" xfId="13470"/>
    <cellStyle name="Normal 148 3 2 3 2 2" xfId="13471"/>
    <cellStyle name="Normal 148 3 2 3 3" xfId="13472"/>
    <cellStyle name="Normal 148 3 2 4" xfId="13473"/>
    <cellStyle name="Normal 148 3 3" xfId="13474"/>
    <cellStyle name="Normal 148 3 3 2" xfId="13475"/>
    <cellStyle name="Normal 148 3 3 2 2" xfId="13476"/>
    <cellStyle name="Normal 148 3 3 3" xfId="13477"/>
    <cellStyle name="Normal 148 3 4" xfId="13478"/>
    <cellStyle name="Normal 148 3 4 2" xfId="13479"/>
    <cellStyle name="Normal 148 3 4 2 2" xfId="13480"/>
    <cellStyle name="Normal 148 3 4 3" xfId="13481"/>
    <cellStyle name="Normal 148 3 5" xfId="13482"/>
    <cellStyle name="Normal 148 3 5 2" xfId="13483"/>
    <cellStyle name="Normal 148 3 5 2 2" xfId="13484"/>
    <cellStyle name="Normal 148 3 5 3" xfId="13485"/>
    <cellStyle name="Normal 148 3 6" xfId="13486"/>
    <cellStyle name="Normal 148 4" xfId="13487"/>
    <cellStyle name="Normal 148 4 2" xfId="13488"/>
    <cellStyle name="Normal 148 4 2 2" xfId="13489"/>
    <cellStyle name="Normal 148 4 3" xfId="13490"/>
    <cellStyle name="Normal 148 5" xfId="13491"/>
    <cellStyle name="Normal 148 5 2" xfId="13492"/>
    <cellStyle name="Normal 148 5 2 2" xfId="13493"/>
    <cellStyle name="Normal 148 5 3" xfId="13494"/>
    <cellStyle name="Normal 148 6" xfId="13495"/>
    <cellStyle name="Normal 148 6 2" xfId="13496"/>
    <cellStyle name="Normal 148 6 2 2" xfId="13497"/>
    <cellStyle name="Normal 148 6 3" xfId="13498"/>
    <cellStyle name="Normal 148 7" xfId="13499"/>
    <cellStyle name="Normal 149" xfId="13500"/>
    <cellStyle name="Normal 149 2" xfId="13501"/>
    <cellStyle name="Normal 149 2 2" xfId="13502"/>
    <cellStyle name="Normal 149 2 2 2" xfId="13503"/>
    <cellStyle name="Normal 149 2 3" xfId="13504"/>
    <cellStyle name="Normal 149 2 3 2" xfId="13505"/>
    <cellStyle name="Normal 149 2 3 2 2" xfId="13506"/>
    <cellStyle name="Normal 149 2 3 3" xfId="13507"/>
    <cellStyle name="Normal 149 2 4" xfId="13508"/>
    <cellStyle name="Normal 149 2 4 2" xfId="13509"/>
    <cellStyle name="Normal 149 2 4 2 2" xfId="13510"/>
    <cellStyle name="Normal 149 2 4 3" xfId="13511"/>
    <cellStyle name="Normal 149 2 5" xfId="13512"/>
    <cellStyle name="Normal 149 3" xfId="13513"/>
    <cellStyle name="Normal 149 3 2" xfId="13514"/>
    <cellStyle name="Normal 149 3 2 2" xfId="13515"/>
    <cellStyle name="Normal 149 3 2 2 2" xfId="13516"/>
    <cellStyle name="Normal 149 3 2 3" xfId="13517"/>
    <cellStyle name="Normal 149 3 2 3 2" xfId="13518"/>
    <cellStyle name="Normal 149 3 2 3 2 2" xfId="13519"/>
    <cellStyle name="Normal 149 3 2 3 3" xfId="13520"/>
    <cellStyle name="Normal 149 3 2 4" xfId="13521"/>
    <cellStyle name="Normal 149 3 3" xfId="13522"/>
    <cellStyle name="Normal 149 3 3 2" xfId="13523"/>
    <cellStyle name="Normal 149 3 3 2 2" xfId="13524"/>
    <cellStyle name="Normal 149 3 3 3" xfId="13525"/>
    <cellStyle name="Normal 149 3 4" xfId="13526"/>
    <cellStyle name="Normal 149 3 4 2" xfId="13527"/>
    <cellStyle name="Normal 149 3 4 2 2" xfId="13528"/>
    <cellStyle name="Normal 149 3 4 3" xfId="13529"/>
    <cellStyle name="Normal 149 3 5" xfId="13530"/>
    <cellStyle name="Normal 149 3 5 2" xfId="13531"/>
    <cellStyle name="Normal 149 3 5 2 2" xfId="13532"/>
    <cellStyle name="Normal 149 3 5 3" xfId="13533"/>
    <cellStyle name="Normal 149 3 6" xfId="13534"/>
    <cellStyle name="Normal 149 4" xfId="13535"/>
    <cellStyle name="Normal 149 4 2" xfId="13536"/>
    <cellStyle name="Normal 149 4 2 2" xfId="13537"/>
    <cellStyle name="Normal 149 4 3" xfId="13538"/>
    <cellStyle name="Normal 149 5" xfId="13539"/>
    <cellStyle name="Normal 149 5 2" xfId="13540"/>
    <cellStyle name="Normal 149 5 2 2" xfId="13541"/>
    <cellStyle name="Normal 149 5 3" xfId="13542"/>
    <cellStyle name="Normal 149 6" xfId="13543"/>
    <cellStyle name="Normal 149 6 2" xfId="13544"/>
    <cellStyle name="Normal 149 6 2 2" xfId="13545"/>
    <cellStyle name="Normal 149 6 3" xfId="13546"/>
    <cellStyle name="Normal 149 7" xfId="13547"/>
    <cellStyle name="Normal 15" xfId="131"/>
    <cellStyle name="Normal 15 2" xfId="13549"/>
    <cellStyle name="Normal 15 2 2" xfId="13550"/>
    <cellStyle name="Normal 15 2 2 2" xfId="13551"/>
    <cellStyle name="Normal 15 2 2 2 2" xfId="13552"/>
    <cellStyle name="Normal 15 2 2 3" xfId="13553"/>
    <cellStyle name="Normal 15 2 2 3 2" xfId="13554"/>
    <cellStyle name="Normal 15 2 2 3 2 2" xfId="13555"/>
    <cellStyle name="Normal 15 2 2 3 3" xfId="13556"/>
    <cellStyle name="Normal 15 2 2 4" xfId="13557"/>
    <cellStyle name="Normal 15 2 2 4 2" xfId="13558"/>
    <cellStyle name="Normal 15 2 2 4 2 2" xfId="13559"/>
    <cellStyle name="Normal 15 2 2 4 3" xfId="13560"/>
    <cellStyle name="Normal 15 2 2 5" xfId="13561"/>
    <cellStyle name="Normal 15 2 3" xfId="13562"/>
    <cellStyle name="Normal 15 2 3 2" xfId="13563"/>
    <cellStyle name="Normal 15 2 3 2 2" xfId="13564"/>
    <cellStyle name="Normal 15 2 3 2 2 2" xfId="13565"/>
    <cellStyle name="Normal 15 2 3 2 3" xfId="13566"/>
    <cellStyle name="Normal 15 2 3 2 3 2" xfId="13567"/>
    <cellStyle name="Normal 15 2 3 2 3 2 2" xfId="13568"/>
    <cellStyle name="Normal 15 2 3 2 3 3" xfId="13569"/>
    <cellStyle name="Normal 15 2 3 2 4" xfId="13570"/>
    <cellStyle name="Normal 15 2 3 3" xfId="13571"/>
    <cellStyle name="Normal 15 2 3 3 2" xfId="13572"/>
    <cellStyle name="Normal 15 2 3 3 2 2" xfId="13573"/>
    <cellStyle name="Normal 15 2 3 3 3" xfId="13574"/>
    <cellStyle name="Normal 15 2 3 4" xfId="13575"/>
    <cellStyle name="Normal 15 2 3 4 2" xfId="13576"/>
    <cellStyle name="Normal 15 2 3 4 2 2" xfId="13577"/>
    <cellStyle name="Normal 15 2 3 4 3" xfId="13578"/>
    <cellStyle name="Normal 15 2 3 5" xfId="13579"/>
    <cellStyle name="Normal 15 2 3 5 2" xfId="13580"/>
    <cellStyle name="Normal 15 2 3 5 2 2" xfId="13581"/>
    <cellStyle name="Normal 15 2 3 5 3" xfId="13582"/>
    <cellStyle name="Normal 15 2 3 6" xfId="13583"/>
    <cellStyle name="Normal 15 2 4" xfId="13584"/>
    <cellStyle name="Normal 15 3" xfId="13585"/>
    <cellStyle name="Normal 15 3 2" xfId="13586"/>
    <cellStyle name="Normal 15 3 2 2" xfId="13587"/>
    <cellStyle name="Normal 15 3 2 2 2" xfId="13588"/>
    <cellStyle name="Normal 15 3 2 3" xfId="13589"/>
    <cellStyle name="Normal 15 3 2 3 2" xfId="13590"/>
    <cellStyle name="Normal 15 3 2 3 2 2" xfId="13591"/>
    <cellStyle name="Normal 15 3 2 3 3" xfId="13592"/>
    <cellStyle name="Normal 15 3 2 4" xfId="13593"/>
    <cellStyle name="Normal 15 3 2 4 2" xfId="13594"/>
    <cellStyle name="Normal 15 3 2 4 2 2" xfId="13595"/>
    <cellStyle name="Normal 15 3 2 4 3" xfId="13596"/>
    <cellStyle name="Normal 15 3 2 5" xfId="13597"/>
    <cellStyle name="Normal 15 3 3" xfId="13598"/>
    <cellStyle name="Normal 15 3 3 2" xfId="13599"/>
    <cellStyle name="Normal 15 3 3 2 2" xfId="13600"/>
    <cellStyle name="Normal 15 3 3 3" xfId="13601"/>
    <cellStyle name="Normal 15 3 4" xfId="13602"/>
    <cellStyle name="Normal 15 3 4 2" xfId="13603"/>
    <cellStyle name="Normal 15 3 4 2 2" xfId="13604"/>
    <cellStyle name="Normal 15 3 4 3" xfId="13605"/>
    <cellStyle name="Normal 15 3 5" xfId="13606"/>
    <cellStyle name="Normal 15 3 5 2" xfId="13607"/>
    <cellStyle name="Normal 15 3 5 2 2" xfId="13608"/>
    <cellStyle name="Normal 15 3 5 3" xfId="13609"/>
    <cellStyle name="Normal 15 3 6" xfId="13610"/>
    <cellStyle name="Normal 15 4" xfId="13611"/>
    <cellStyle name="Normal 15 4 2" xfId="13612"/>
    <cellStyle name="Normal 15 4 2 2" xfId="13613"/>
    <cellStyle name="Normal 15 4 3" xfId="13614"/>
    <cellStyle name="Normal 15 4 3 2" xfId="13615"/>
    <cellStyle name="Normal 15 4 3 2 2" xfId="13616"/>
    <cellStyle name="Normal 15 4 3 3" xfId="13617"/>
    <cellStyle name="Normal 15 4 4" xfId="13618"/>
    <cellStyle name="Normal 15 4 4 2" xfId="13619"/>
    <cellStyle name="Normal 15 4 4 2 2" xfId="13620"/>
    <cellStyle name="Normal 15 4 4 3" xfId="13621"/>
    <cellStyle name="Normal 15 4 5" xfId="13622"/>
    <cellStyle name="Normal 15 5" xfId="13623"/>
    <cellStyle name="Normal 15 5 2" xfId="13624"/>
    <cellStyle name="Normal 15 5 2 2" xfId="13625"/>
    <cellStyle name="Normal 15 5 2 2 2" xfId="13626"/>
    <cellStyle name="Normal 15 5 2 3" xfId="13627"/>
    <cellStyle name="Normal 15 5 2 3 2" xfId="13628"/>
    <cellStyle name="Normal 15 5 2 3 2 2" xfId="13629"/>
    <cellStyle name="Normal 15 5 2 3 3" xfId="13630"/>
    <cellStyle name="Normal 15 5 2 4" xfId="13631"/>
    <cellStyle name="Normal 15 5 3" xfId="13632"/>
    <cellStyle name="Normal 15 5 3 2" xfId="13633"/>
    <cellStyle name="Normal 15 5 3 2 2" xfId="13634"/>
    <cellStyle name="Normal 15 5 3 3" xfId="13635"/>
    <cellStyle name="Normal 15 5 4" xfId="13636"/>
    <cellStyle name="Normal 15 5 4 2" xfId="13637"/>
    <cellStyle name="Normal 15 5 4 2 2" xfId="13638"/>
    <cellStyle name="Normal 15 5 4 3" xfId="13639"/>
    <cellStyle name="Normal 15 5 5" xfId="13640"/>
    <cellStyle name="Normal 15 5 5 2" xfId="13641"/>
    <cellStyle name="Normal 15 5 5 2 2" xfId="13642"/>
    <cellStyle name="Normal 15 5 5 3" xfId="13643"/>
    <cellStyle name="Normal 15 5 6" xfId="13644"/>
    <cellStyle name="Normal 15 6" xfId="13645"/>
    <cellStyle name="Normal 15 6 2" xfId="13646"/>
    <cellStyle name="Normal 15 6 2 2" xfId="13647"/>
    <cellStyle name="Normal 15 6 2 2 2" xfId="13648"/>
    <cellStyle name="Normal 15 6 2 3" xfId="13649"/>
    <cellStyle name="Normal 15 6 2 3 2" xfId="13650"/>
    <cellStyle name="Normal 15 6 2 3 2 2" xfId="13651"/>
    <cellStyle name="Normal 15 6 2 3 3" xfId="13652"/>
    <cellStyle name="Normal 15 6 2 4" xfId="13653"/>
    <cellStyle name="Normal 15 6 3" xfId="13654"/>
    <cellStyle name="Normal 15 6 3 2" xfId="13655"/>
    <cellStyle name="Normal 15 6 3 2 2" xfId="13656"/>
    <cellStyle name="Normal 15 6 3 3" xfId="13657"/>
    <cellStyle name="Normal 15 6 4" xfId="13658"/>
    <cellStyle name="Normal 15 6 4 2" xfId="13659"/>
    <cellStyle name="Normal 15 6 4 2 2" xfId="13660"/>
    <cellStyle name="Normal 15 6 4 3" xfId="13661"/>
    <cellStyle name="Normal 15 6 5" xfId="13662"/>
    <cellStyle name="Normal 15 7" xfId="13663"/>
    <cellStyle name="Normal 15 8" xfId="13548"/>
    <cellStyle name="Normal 150" xfId="13664"/>
    <cellStyle name="Normal 150 2" xfId="13665"/>
    <cellStyle name="Normal 150 2 2" xfId="13666"/>
    <cellStyle name="Normal 150 2 2 2" xfId="13667"/>
    <cellStyle name="Normal 150 2 3" xfId="13668"/>
    <cellStyle name="Normal 150 2 3 2" xfId="13669"/>
    <cellStyle name="Normal 150 2 3 2 2" xfId="13670"/>
    <cellStyle name="Normal 150 2 3 3" xfId="13671"/>
    <cellStyle name="Normal 150 2 4" xfId="13672"/>
    <cellStyle name="Normal 150 2 4 2" xfId="13673"/>
    <cellStyle name="Normal 150 2 4 2 2" xfId="13674"/>
    <cellStyle name="Normal 150 2 4 3" xfId="13675"/>
    <cellStyle name="Normal 150 2 5" xfId="13676"/>
    <cellStyle name="Normal 150 3" xfId="13677"/>
    <cellStyle name="Normal 150 3 2" xfId="13678"/>
    <cellStyle name="Normal 150 3 2 2" xfId="13679"/>
    <cellStyle name="Normal 150 3 2 2 2" xfId="13680"/>
    <cellStyle name="Normal 150 3 2 3" xfId="13681"/>
    <cellStyle name="Normal 150 3 2 3 2" xfId="13682"/>
    <cellStyle name="Normal 150 3 2 3 2 2" xfId="13683"/>
    <cellStyle name="Normal 150 3 2 3 3" xfId="13684"/>
    <cellStyle name="Normal 150 3 2 4" xfId="13685"/>
    <cellStyle name="Normal 150 3 3" xfId="13686"/>
    <cellStyle name="Normal 150 3 3 2" xfId="13687"/>
    <cellStyle name="Normal 150 3 3 2 2" xfId="13688"/>
    <cellStyle name="Normal 150 3 3 3" xfId="13689"/>
    <cellStyle name="Normal 150 3 4" xfId="13690"/>
    <cellStyle name="Normal 150 3 4 2" xfId="13691"/>
    <cellStyle name="Normal 150 3 4 2 2" xfId="13692"/>
    <cellStyle name="Normal 150 3 4 3" xfId="13693"/>
    <cellStyle name="Normal 150 3 5" xfId="13694"/>
    <cellStyle name="Normal 150 3 5 2" xfId="13695"/>
    <cellStyle name="Normal 150 3 5 2 2" xfId="13696"/>
    <cellStyle name="Normal 150 3 5 3" xfId="13697"/>
    <cellStyle name="Normal 150 3 6" xfId="13698"/>
    <cellStyle name="Normal 150 4" xfId="13699"/>
    <cellStyle name="Normal 150 4 2" xfId="13700"/>
    <cellStyle name="Normal 150 4 2 2" xfId="13701"/>
    <cellStyle name="Normal 150 4 3" xfId="13702"/>
    <cellStyle name="Normal 150 5" xfId="13703"/>
    <cellStyle name="Normal 150 5 2" xfId="13704"/>
    <cellStyle name="Normal 150 5 2 2" xfId="13705"/>
    <cellStyle name="Normal 150 5 3" xfId="13706"/>
    <cellStyle name="Normal 150 6" xfId="13707"/>
    <cellStyle name="Normal 150 6 2" xfId="13708"/>
    <cellStyle name="Normal 150 6 2 2" xfId="13709"/>
    <cellStyle name="Normal 150 6 3" xfId="13710"/>
    <cellStyle name="Normal 150 7" xfId="13711"/>
    <cellStyle name="Normal 151" xfId="13712"/>
    <cellStyle name="Normal 151 2" xfId="13713"/>
    <cellStyle name="Normal 151 2 2" xfId="13714"/>
    <cellStyle name="Normal 151 2 2 2" xfId="13715"/>
    <cellStyle name="Normal 151 2 3" xfId="13716"/>
    <cellStyle name="Normal 151 2 3 2" xfId="13717"/>
    <cellStyle name="Normal 151 2 3 2 2" xfId="13718"/>
    <cellStyle name="Normal 151 2 3 3" xfId="13719"/>
    <cellStyle name="Normal 151 2 4" xfId="13720"/>
    <cellStyle name="Normal 151 2 4 2" xfId="13721"/>
    <cellStyle name="Normal 151 2 4 2 2" xfId="13722"/>
    <cellStyle name="Normal 151 2 4 3" xfId="13723"/>
    <cellStyle name="Normal 151 2 5" xfId="13724"/>
    <cellStyle name="Normal 151 3" xfId="13725"/>
    <cellStyle name="Normal 151 3 2" xfId="13726"/>
    <cellStyle name="Normal 151 3 2 2" xfId="13727"/>
    <cellStyle name="Normal 151 3 2 2 2" xfId="13728"/>
    <cellStyle name="Normal 151 3 2 3" xfId="13729"/>
    <cellStyle name="Normal 151 3 2 3 2" xfId="13730"/>
    <cellStyle name="Normal 151 3 2 3 2 2" xfId="13731"/>
    <cellStyle name="Normal 151 3 2 3 3" xfId="13732"/>
    <cellStyle name="Normal 151 3 2 4" xfId="13733"/>
    <cellStyle name="Normal 151 3 3" xfId="13734"/>
    <cellStyle name="Normal 151 3 3 2" xfId="13735"/>
    <cellStyle name="Normal 151 3 3 2 2" xfId="13736"/>
    <cellStyle name="Normal 151 3 3 3" xfId="13737"/>
    <cellStyle name="Normal 151 3 4" xfId="13738"/>
    <cellStyle name="Normal 151 3 4 2" xfId="13739"/>
    <cellStyle name="Normal 151 3 4 2 2" xfId="13740"/>
    <cellStyle name="Normal 151 3 4 3" xfId="13741"/>
    <cellStyle name="Normal 151 3 5" xfId="13742"/>
    <cellStyle name="Normal 151 3 5 2" xfId="13743"/>
    <cellStyle name="Normal 151 3 5 2 2" xfId="13744"/>
    <cellStyle name="Normal 151 3 5 3" xfId="13745"/>
    <cellStyle name="Normal 151 3 6" xfId="13746"/>
    <cellStyle name="Normal 151 4" xfId="13747"/>
    <cellStyle name="Normal 151 4 2" xfId="13748"/>
    <cellStyle name="Normal 151 4 2 2" xfId="13749"/>
    <cellStyle name="Normal 151 4 3" xfId="13750"/>
    <cellStyle name="Normal 151 5" xfId="13751"/>
    <cellStyle name="Normal 151 5 2" xfId="13752"/>
    <cellStyle name="Normal 151 5 2 2" xfId="13753"/>
    <cellStyle name="Normal 151 5 3" xfId="13754"/>
    <cellStyle name="Normal 151 6" xfId="13755"/>
    <cellStyle name="Normal 151 6 2" xfId="13756"/>
    <cellStyle name="Normal 151 6 2 2" xfId="13757"/>
    <cellStyle name="Normal 151 6 3" xfId="13758"/>
    <cellStyle name="Normal 151 7" xfId="13759"/>
    <cellStyle name="Normal 152" xfId="13760"/>
    <cellStyle name="Normal 152 2" xfId="13761"/>
    <cellStyle name="Normal 152 2 2" xfId="13762"/>
    <cellStyle name="Normal 152 2 2 2" xfId="13763"/>
    <cellStyle name="Normal 152 2 3" xfId="13764"/>
    <cellStyle name="Normal 152 2 3 2" xfId="13765"/>
    <cellStyle name="Normal 152 2 3 2 2" xfId="13766"/>
    <cellStyle name="Normal 152 2 3 3" xfId="13767"/>
    <cellStyle name="Normal 152 2 4" xfId="13768"/>
    <cellStyle name="Normal 152 2 4 2" xfId="13769"/>
    <cellStyle name="Normal 152 2 4 2 2" xfId="13770"/>
    <cellStyle name="Normal 152 2 4 3" xfId="13771"/>
    <cellStyle name="Normal 152 2 5" xfId="13772"/>
    <cellStyle name="Normal 152 3" xfId="13773"/>
    <cellStyle name="Normal 152 3 2" xfId="13774"/>
    <cellStyle name="Normal 152 3 2 2" xfId="13775"/>
    <cellStyle name="Normal 152 3 2 2 2" xfId="13776"/>
    <cellStyle name="Normal 152 3 2 3" xfId="13777"/>
    <cellStyle name="Normal 152 3 2 3 2" xfId="13778"/>
    <cellStyle name="Normal 152 3 2 3 2 2" xfId="13779"/>
    <cellStyle name="Normal 152 3 2 3 3" xfId="13780"/>
    <cellStyle name="Normal 152 3 2 4" xfId="13781"/>
    <cellStyle name="Normal 152 3 3" xfId="13782"/>
    <cellStyle name="Normal 152 3 3 2" xfId="13783"/>
    <cellStyle name="Normal 152 3 3 2 2" xfId="13784"/>
    <cellStyle name="Normal 152 3 3 3" xfId="13785"/>
    <cellStyle name="Normal 152 3 4" xfId="13786"/>
    <cellStyle name="Normal 152 3 4 2" xfId="13787"/>
    <cellStyle name="Normal 152 3 4 2 2" xfId="13788"/>
    <cellStyle name="Normal 152 3 4 3" xfId="13789"/>
    <cellStyle name="Normal 152 3 5" xfId="13790"/>
    <cellStyle name="Normal 152 3 5 2" xfId="13791"/>
    <cellStyle name="Normal 152 3 5 2 2" xfId="13792"/>
    <cellStyle name="Normal 152 3 5 3" xfId="13793"/>
    <cellStyle name="Normal 152 3 6" xfId="13794"/>
    <cellStyle name="Normal 152 4" xfId="13795"/>
    <cellStyle name="Normal 152 4 2" xfId="13796"/>
    <cellStyle name="Normal 152 4 2 2" xfId="13797"/>
    <cellStyle name="Normal 152 4 3" xfId="13798"/>
    <cellStyle name="Normal 152 5" xfId="13799"/>
    <cellStyle name="Normal 152 5 2" xfId="13800"/>
    <cellStyle name="Normal 152 5 2 2" xfId="13801"/>
    <cellStyle name="Normal 152 5 3" xfId="13802"/>
    <cellStyle name="Normal 152 6" xfId="13803"/>
    <cellStyle name="Normal 152 6 2" xfId="13804"/>
    <cellStyle name="Normal 152 6 2 2" xfId="13805"/>
    <cellStyle name="Normal 152 6 3" xfId="13806"/>
    <cellStyle name="Normal 152 7" xfId="13807"/>
    <cellStyle name="Normal 153" xfId="13808"/>
    <cellStyle name="Normal 153 2" xfId="13809"/>
    <cellStyle name="Normal 153 2 2" xfId="13810"/>
    <cellStyle name="Normal 153 2 2 2" xfId="13811"/>
    <cellStyle name="Normal 153 2 3" xfId="13812"/>
    <cellStyle name="Normal 153 2 3 2" xfId="13813"/>
    <cellStyle name="Normal 153 2 3 2 2" xfId="13814"/>
    <cellStyle name="Normal 153 2 3 3" xfId="13815"/>
    <cellStyle name="Normal 153 2 4" xfId="13816"/>
    <cellStyle name="Normal 153 2 4 2" xfId="13817"/>
    <cellStyle name="Normal 153 2 4 2 2" xfId="13818"/>
    <cellStyle name="Normal 153 2 4 3" xfId="13819"/>
    <cellStyle name="Normal 153 2 5" xfId="13820"/>
    <cellStyle name="Normal 153 3" xfId="13821"/>
    <cellStyle name="Normal 153 3 2" xfId="13822"/>
    <cellStyle name="Normal 153 3 2 2" xfId="13823"/>
    <cellStyle name="Normal 153 3 2 2 2" xfId="13824"/>
    <cellStyle name="Normal 153 3 2 3" xfId="13825"/>
    <cellStyle name="Normal 153 3 2 3 2" xfId="13826"/>
    <cellStyle name="Normal 153 3 2 3 2 2" xfId="13827"/>
    <cellStyle name="Normal 153 3 2 3 3" xfId="13828"/>
    <cellStyle name="Normal 153 3 2 4" xfId="13829"/>
    <cellStyle name="Normal 153 3 3" xfId="13830"/>
    <cellStyle name="Normal 153 3 3 2" xfId="13831"/>
    <cellStyle name="Normal 153 3 3 2 2" xfId="13832"/>
    <cellStyle name="Normal 153 3 3 3" xfId="13833"/>
    <cellStyle name="Normal 153 3 4" xfId="13834"/>
    <cellStyle name="Normal 153 3 4 2" xfId="13835"/>
    <cellStyle name="Normal 153 3 4 2 2" xfId="13836"/>
    <cellStyle name="Normal 153 3 4 3" xfId="13837"/>
    <cellStyle name="Normal 153 3 5" xfId="13838"/>
    <cellStyle name="Normal 153 3 5 2" xfId="13839"/>
    <cellStyle name="Normal 153 3 5 2 2" xfId="13840"/>
    <cellStyle name="Normal 153 3 5 3" xfId="13841"/>
    <cellStyle name="Normal 153 3 6" xfId="13842"/>
    <cellStyle name="Normal 153 4" xfId="13843"/>
    <cellStyle name="Normal 153 4 2" xfId="13844"/>
    <cellStyle name="Normal 153 4 2 2" xfId="13845"/>
    <cellStyle name="Normal 153 4 3" xfId="13846"/>
    <cellStyle name="Normal 153 5" xfId="13847"/>
    <cellStyle name="Normal 153 5 2" xfId="13848"/>
    <cellStyle name="Normal 153 5 2 2" xfId="13849"/>
    <cellStyle name="Normal 153 5 3" xfId="13850"/>
    <cellStyle name="Normal 153 6" xfId="13851"/>
    <cellStyle name="Normal 153 6 2" xfId="13852"/>
    <cellStyle name="Normal 153 6 2 2" xfId="13853"/>
    <cellStyle name="Normal 153 6 3" xfId="13854"/>
    <cellStyle name="Normal 153 7" xfId="13855"/>
    <cellStyle name="Normal 154" xfId="13856"/>
    <cellStyle name="Normal 154 2" xfId="13857"/>
    <cellStyle name="Normal 154 2 2" xfId="13858"/>
    <cellStyle name="Normal 154 2 2 2" xfId="13859"/>
    <cellStyle name="Normal 154 2 3" xfId="13860"/>
    <cellStyle name="Normal 154 2 3 2" xfId="13861"/>
    <cellStyle name="Normal 154 2 3 2 2" xfId="13862"/>
    <cellStyle name="Normal 154 2 3 3" xfId="13863"/>
    <cellStyle name="Normal 154 2 4" xfId="13864"/>
    <cellStyle name="Normal 154 2 4 2" xfId="13865"/>
    <cellStyle name="Normal 154 2 4 2 2" xfId="13866"/>
    <cellStyle name="Normal 154 2 4 3" xfId="13867"/>
    <cellStyle name="Normal 154 2 5" xfId="13868"/>
    <cellStyle name="Normal 154 3" xfId="13869"/>
    <cellStyle name="Normal 154 3 2" xfId="13870"/>
    <cellStyle name="Normal 154 3 2 2" xfId="13871"/>
    <cellStyle name="Normal 154 3 2 2 2" xfId="13872"/>
    <cellStyle name="Normal 154 3 2 3" xfId="13873"/>
    <cellStyle name="Normal 154 3 2 3 2" xfId="13874"/>
    <cellStyle name="Normal 154 3 2 3 2 2" xfId="13875"/>
    <cellStyle name="Normal 154 3 2 3 3" xfId="13876"/>
    <cellStyle name="Normal 154 3 2 4" xfId="13877"/>
    <cellStyle name="Normal 154 3 3" xfId="13878"/>
    <cellStyle name="Normal 154 3 3 2" xfId="13879"/>
    <cellStyle name="Normal 154 3 3 2 2" xfId="13880"/>
    <cellStyle name="Normal 154 3 3 3" xfId="13881"/>
    <cellStyle name="Normal 154 3 4" xfId="13882"/>
    <cellStyle name="Normal 154 3 4 2" xfId="13883"/>
    <cellStyle name="Normal 154 3 4 2 2" xfId="13884"/>
    <cellStyle name="Normal 154 3 4 3" xfId="13885"/>
    <cellStyle name="Normal 154 3 5" xfId="13886"/>
    <cellStyle name="Normal 154 3 5 2" xfId="13887"/>
    <cellStyle name="Normal 154 3 5 2 2" xfId="13888"/>
    <cellStyle name="Normal 154 3 5 3" xfId="13889"/>
    <cellStyle name="Normal 154 3 6" xfId="13890"/>
    <cellStyle name="Normal 154 4" xfId="13891"/>
    <cellStyle name="Normal 154 4 2" xfId="13892"/>
    <cellStyle name="Normal 154 4 2 2" xfId="13893"/>
    <cellStyle name="Normal 154 4 3" xfId="13894"/>
    <cellStyle name="Normal 154 5" xfId="13895"/>
    <cellStyle name="Normal 154 5 2" xfId="13896"/>
    <cellStyle name="Normal 154 5 2 2" xfId="13897"/>
    <cellStyle name="Normal 154 5 3" xfId="13898"/>
    <cellStyle name="Normal 154 6" xfId="13899"/>
    <cellStyle name="Normal 154 6 2" xfId="13900"/>
    <cellStyle name="Normal 154 6 2 2" xfId="13901"/>
    <cellStyle name="Normal 154 6 3" xfId="13902"/>
    <cellStyle name="Normal 154 7" xfId="13903"/>
    <cellStyle name="Normal 155" xfId="13904"/>
    <cellStyle name="Normal 155 2" xfId="13905"/>
    <cellStyle name="Normal 155 2 2" xfId="13906"/>
    <cellStyle name="Normal 155 2 2 2" xfId="13907"/>
    <cellStyle name="Normal 155 2 3" xfId="13908"/>
    <cellStyle name="Normal 155 2 3 2" xfId="13909"/>
    <cellStyle name="Normal 155 2 3 2 2" xfId="13910"/>
    <cellStyle name="Normal 155 2 3 3" xfId="13911"/>
    <cellStyle name="Normal 155 2 4" xfId="13912"/>
    <cellStyle name="Normal 155 2 4 2" xfId="13913"/>
    <cellStyle name="Normal 155 2 4 2 2" xfId="13914"/>
    <cellStyle name="Normal 155 2 4 3" xfId="13915"/>
    <cellStyle name="Normal 155 2 5" xfId="13916"/>
    <cellStyle name="Normal 155 3" xfId="13917"/>
    <cellStyle name="Normal 155 3 2" xfId="13918"/>
    <cellStyle name="Normal 155 3 2 2" xfId="13919"/>
    <cellStyle name="Normal 155 3 2 2 2" xfId="13920"/>
    <cellStyle name="Normal 155 3 2 3" xfId="13921"/>
    <cellStyle name="Normal 155 3 2 3 2" xfId="13922"/>
    <cellStyle name="Normal 155 3 2 3 2 2" xfId="13923"/>
    <cellStyle name="Normal 155 3 2 3 3" xfId="13924"/>
    <cellStyle name="Normal 155 3 2 4" xfId="13925"/>
    <cellStyle name="Normal 155 3 3" xfId="13926"/>
    <cellStyle name="Normal 155 3 3 2" xfId="13927"/>
    <cellStyle name="Normal 155 3 3 2 2" xfId="13928"/>
    <cellStyle name="Normal 155 3 3 3" xfId="13929"/>
    <cellStyle name="Normal 155 3 4" xfId="13930"/>
    <cellStyle name="Normal 155 3 4 2" xfId="13931"/>
    <cellStyle name="Normal 155 3 4 2 2" xfId="13932"/>
    <cellStyle name="Normal 155 3 4 3" xfId="13933"/>
    <cellStyle name="Normal 155 3 5" xfId="13934"/>
    <cellStyle name="Normal 155 3 5 2" xfId="13935"/>
    <cellStyle name="Normal 155 3 5 2 2" xfId="13936"/>
    <cellStyle name="Normal 155 3 5 3" xfId="13937"/>
    <cellStyle name="Normal 155 3 6" xfId="13938"/>
    <cellStyle name="Normal 155 4" xfId="13939"/>
    <cellStyle name="Normal 155 4 2" xfId="13940"/>
    <cellStyle name="Normal 155 4 2 2" xfId="13941"/>
    <cellStyle name="Normal 155 4 3" xfId="13942"/>
    <cellStyle name="Normal 155 5" xfId="13943"/>
    <cellStyle name="Normal 155 5 2" xfId="13944"/>
    <cellStyle name="Normal 155 5 2 2" xfId="13945"/>
    <cellStyle name="Normal 155 5 3" xfId="13946"/>
    <cellStyle name="Normal 155 6" xfId="13947"/>
    <cellStyle name="Normal 155 6 2" xfId="13948"/>
    <cellStyle name="Normal 155 6 2 2" xfId="13949"/>
    <cellStyle name="Normal 155 6 3" xfId="13950"/>
    <cellStyle name="Normal 155 7" xfId="13951"/>
    <cellStyle name="Normal 156" xfId="13952"/>
    <cellStyle name="Normal 156 2" xfId="13953"/>
    <cellStyle name="Normal 156 2 2" xfId="13954"/>
    <cellStyle name="Normal 156 2 2 2" xfId="13955"/>
    <cellStyle name="Normal 156 2 3" xfId="13956"/>
    <cellStyle name="Normal 156 2 3 2" xfId="13957"/>
    <cellStyle name="Normal 156 2 3 2 2" xfId="13958"/>
    <cellStyle name="Normal 156 2 3 3" xfId="13959"/>
    <cellStyle name="Normal 156 2 4" xfId="13960"/>
    <cellStyle name="Normal 156 2 4 2" xfId="13961"/>
    <cellStyle name="Normal 156 2 4 2 2" xfId="13962"/>
    <cellStyle name="Normal 156 2 4 3" xfId="13963"/>
    <cellStyle name="Normal 156 2 5" xfId="13964"/>
    <cellStyle name="Normal 156 3" xfId="13965"/>
    <cellStyle name="Normal 156 3 2" xfId="13966"/>
    <cellStyle name="Normal 156 3 2 2" xfId="13967"/>
    <cellStyle name="Normal 156 3 2 2 2" xfId="13968"/>
    <cellStyle name="Normal 156 3 2 3" xfId="13969"/>
    <cellStyle name="Normal 156 3 2 3 2" xfId="13970"/>
    <cellStyle name="Normal 156 3 2 3 2 2" xfId="13971"/>
    <cellStyle name="Normal 156 3 2 3 3" xfId="13972"/>
    <cellStyle name="Normal 156 3 2 4" xfId="13973"/>
    <cellStyle name="Normal 156 3 3" xfId="13974"/>
    <cellStyle name="Normal 156 3 3 2" xfId="13975"/>
    <cellStyle name="Normal 156 3 3 2 2" xfId="13976"/>
    <cellStyle name="Normal 156 3 3 3" xfId="13977"/>
    <cellStyle name="Normal 156 3 4" xfId="13978"/>
    <cellStyle name="Normal 156 3 4 2" xfId="13979"/>
    <cellStyle name="Normal 156 3 4 2 2" xfId="13980"/>
    <cellStyle name="Normal 156 3 4 3" xfId="13981"/>
    <cellStyle name="Normal 156 3 5" xfId="13982"/>
    <cellStyle name="Normal 156 3 5 2" xfId="13983"/>
    <cellStyle name="Normal 156 3 5 2 2" xfId="13984"/>
    <cellStyle name="Normal 156 3 5 3" xfId="13985"/>
    <cellStyle name="Normal 156 3 6" xfId="13986"/>
    <cellStyle name="Normal 156 4" xfId="13987"/>
    <cellStyle name="Normal 156 4 2" xfId="13988"/>
    <cellStyle name="Normal 156 4 2 2" xfId="13989"/>
    <cellStyle name="Normal 156 4 3" xfId="13990"/>
    <cellStyle name="Normal 156 5" xfId="13991"/>
    <cellStyle name="Normal 156 5 2" xfId="13992"/>
    <cellStyle name="Normal 156 5 2 2" xfId="13993"/>
    <cellStyle name="Normal 156 5 3" xfId="13994"/>
    <cellStyle name="Normal 156 6" xfId="13995"/>
    <cellStyle name="Normal 156 6 2" xfId="13996"/>
    <cellStyle name="Normal 156 6 2 2" xfId="13997"/>
    <cellStyle name="Normal 156 6 3" xfId="13998"/>
    <cellStyle name="Normal 156 7" xfId="13999"/>
    <cellStyle name="Normal 157" xfId="14000"/>
    <cellStyle name="Normal 157 2" xfId="14001"/>
    <cellStyle name="Normal 157 2 2" xfId="14002"/>
    <cellStyle name="Normal 157 2 2 2" xfId="14003"/>
    <cellStyle name="Normal 157 2 3" xfId="14004"/>
    <cellStyle name="Normal 157 2 3 2" xfId="14005"/>
    <cellStyle name="Normal 157 2 3 2 2" xfId="14006"/>
    <cellStyle name="Normal 157 2 3 3" xfId="14007"/>
    <cellStyle name="Normal 157 2 4" xfId="14008"/>
    <cellStyle name="Normal 157 2 4 2" xfId="14009"/>
    <cellStyle name="Normal 157 2 4 2 2" xfId="14010"/>
    <cellStyle name="Normal 157 2 4 3" xfId="14011"/>
    <cellStyle name="Normal 157 2 5" xfId="14012"/>
    <cellStyle name="Normal 157 3" xfId="14013"/>
    <cellStyle name="Normal 157 3 2" xfId="14014"/>
    <cellStyle name="Normal 157 3 2 2" xfId="14015"/>
    <cellStyle name="Normal 157 3 2 2 2" xfId="14016"/>
    <cellStyle name="Normal 157 3 2 3" xfId="14017"/>
    <cellStyle name="Normal 157 3 2 3 2" xfId="14018"/>
    <cellStyle name="Normal 157 3 2 3 2 2" xfId="14019"/>
    <cellStyle name="Normal 157 3 2 3 3" xfId="14020"/>
    <cellStyle name="Normal 157 3 2 4" xfId="14021"/>
    <cellStyle name="Normal 157 3 3" xfId="14022"/>
    <cellStyle name="Normal 157 3 3 2" xfId="14023"/>
    <cellStyle name="Normal 157 3 3 2 2" xfId="14024"/>
    <cellStyle name="Normal 157 3 3 3" xfId="14025"/>
    <cellStyle name="Normal 157 3 4" xfId="14026"/>
    <cellStyle name="Normal 157 3 4 2" xfId="14027"/>
    <cellStyle name="Normal 157 3 4 2 2" xfId="14028"/>
    <cellStyle name="Normal 157 3 4 3" xfId="14029"/>
    <cellStyle name="Normal 157 3 5" xfId="14030"/>
    <cellStyle name="Normal 157 3 5 2" xfId="14031"/>
    <cellStyle name="Normal 157 3 5 2 2" xfId="14032"/>
    <cellStyle name="Normal 157 3 5 3" xfId="14033"/>
    <cellStyle name="Normal 157 3 6" xfId="14034"/>
    <cellStyle name="Normal 157 4" xfId="14035"/>
    <cellStyle name="Normal 157 4 2" xfId="14036"/>
    <cellStyle name="Normal 157 4 2 2" xfId="14037"/>
    <cellStyle name="Normal 157 4 3" xfId="14038"/>
    <cellStyle name="Normal 157 5" xfId="14039"/>
    <cellStyle name="Normal 157 5 2" xfId="14040"/>
    <cellStyle name="Normal 157 5 2 2" xfId="14041"/>
    <cellStyle name="Normal 157 5 3" xfId="14042"/>
    <cellStyle name="Normal 157 6" xfId="14043"/>
    <cellStyle name="Normal 157 6 2" xfId="14044"/>
    <cellStyle name="Normal 157 6 2 2" xfId="14045"/>
    <cellStyle name="Normal 157 6 3" xfId="14046"/>
    <cellStyle name="Normal 157 7" xfId="14047"/>
    <cellStyle name="Normal 158" xfId="14048"/>
    <cellStyle name="Normal 158 2" xfId="14049"/>
    <cellStyle name="Normal 158 2 2" xfId="14050"/>
    <cellStyle name="Normal 158 2 2 2" xfId="14051"/>
    <cellStyle name="Normal 158 2 3" xfId="14052"/>
    <cellStyle name="Normal 158 2 3 2" xfId="14053"/>
    <cellStyle name="Normal 158 2 3 2 2" xfId="14054"/>
    <cellStyle name="Normal 158 2 3 3" xfId="14055"/>
    <cellStyle name="Normal 158 2 4" xfId="14056"/>
    <cellStyle name="Normal 158 2 4 2" xfId="14057"/>
    <cellStyle name="Normal 158 2 4 2 2" xfId="14058"/>
    <cellStyle name="Normal 158 2 4 3" xfId="14059"/>
    <cellStyle name="Normal 158 2 5" xfId="14060"/>
    <cellStyle name="Normal 158 3" xfId="14061"/>
    <cellStyle name="Normal 158 3 2" xfId="14062"/>
    <cellStyle name="Normal 158 3 2 2" xfId="14063"/>
    <cellStyle name="Normal 158 3 2 2 2" xfId="14064"/>
    <cellStyle name="Normal 158 3 2 3" xfId="14065"/>
    <cellStyle name="Normal 158 3 2 3 2" xfId="14066"/>
    <cellStyle name="Normal 158 3 2 3 2 2" xfId="14067"/>
    <cellStyle name="Normal 158 3 2 3 3" xfId="14068"/>
    <cellStyle name="Normal 158 3 2 4" xfId="14069"/>
    <cellStyle name="Normal 158 3 3" xfId="14070"/>
    <cellStyle name="Normal 158 3 3 2" xfId="14071"/>
    <cellStyle name="Normal 158 3 3 2 2" xfId="14072"/>
    <cellStyle name="Normal 158 3 3 3" xfId="14073"/>
    <cellStyle name="Normal 158 3 4" xfId="14074"/>
    <cellStyle name="Normal 158 3 4 2" xfId="14075"/>
    <cellStyle name="Normal 158 3 4 2 2" xfId="14076"/>
    <cellStyle name="Normal 158 3 4 3" xfId="14077"/>
    <cellStyle name="Normal 158 3 5" xfId="14078"/>
    <cellStyle name="Normal 158 3 5 2" xfId="14079"/>
    <cellStyle name="Normal 158 3 5 2 2" xfId="14080"/>
    <cellStyle name="Normal 158 3 5 3" xfId="14081"/>
    <cellStyle name="Normal 158 3 6" xfId="14082"/>
    <cellStyle name="Normal 158 4" xfId="14083"/>
    <cellStyle name="Normal 158 4 2" xfId="14084"/>
    <cellStyle name="Normal 158 4 2 2" xfId="14085"/>
    <cellStyle name="Normal 158 4 3" xfId="14086"/>
    <cellStyle name="Normal 158 5" xfId="14087"/>
    <cellStyle name="Normal 158 5 2" xfId="14088"/>
    <cellStyle name="Normal 158 5 2 2" xfId="14089"/>
    <cellStyle name="Normal 158 5 3" xfId="14090"/>
    <cellStyle name="Normal 158 6" xfId="14091"/>
    <cellStyle name="Normal 158 6 2" xfId="14092"/>
    <cellStyle name="Normal 158 6 2 2" xfId="14093"/>
    <cellStyle name="Normal 158 6 3" xfId="14094"/>
    <cellStyle name="Normal 158 7" xfId="14095"/>
    <cellStyle name="Normal 159" xfId="14096"/>
    <cellStyle name="Normal 159 2" xfId="14097"/>
    <cellStyle name="Normal 159 2 2" xfId="14098"/>
    <cellStyle name="Normal 159 2 2 2" xfId="14099"/>
    <cellStyle name="Normal 159 2 3" xfId="14100"/>
    <cellStyle name="Normal 159 2 3 2" xfId="14101"/>
    <cellStyle name="Normal 159 2 3 2 2" xfId="14102"/>
    <cellStyle name="Normal 159 2 3 3" xfId="14103"/>
    <cellStyle name="Normal 159 2 4" xfId="14104"/>
    <cellStyle name="Normal 159 2 4 2" xfId="14105"/>
    <cellStyle name="Normal 159 2 4 2 2" xfId="14106"/>
    <cellStyle name="Normal 159 2 4 3" xfId="14107"/>
    <cellStyle name="Normal 159 2 5" xfId="14108"/>
    <cellStyle name="Normal 159 3" xfId="14109"/>
    <cellStyle name="Normal 159 3 2" xfId="14110"/>
    <cellStyle name="Normal 159 3 2 2" xfId="14111"/>
    <cellStyle name="Normal 159 3 2 2 2" xfId="14112"/>
    <cellStyle name="Normal 159 3 2 3" xfId="14113"/>
    <cellStyle name="Normal 159 3 2 3 2" xfId="14114"/>
    <cellStyle name="Normal 159 3 2 3 2 2" xfId="14115"/>
    <cellStyle name="Normal 159 3 2 3 3" xfId="14116"/>
    <cellStyle name="Normal 159 3 2 4" xfId="14117"/>
    <cellStyle name="Normal 159 3 3" xfId="14118"/>
    <cellStyle name="Normal 159 3 3 2" xfId="14119"/>
    <cellStyle name="Normal 159 3 3 2 2" xfId="14120"/>
    <cellStyle name="Normal 159 3 3 3" xfId="14121"/>
    <cellStyle name="Normal 159 3 4" xfId="14122"/>
    <cellStyle name="Normal 159 3 4 2" xfId="14123"/>
    <cellStyle name="Normal 159 3 4 2 2" xfId="14124"/>
    <cellStyle name="Normal 159 3 4 3" xfId="14125"/>
    <cellStyle name="Normal 159 3 5" xfId="14126"/>
    <cellStyle name="Normal 159 3 5 2" xfId="14127"/>
    <cellStyle name="Normal 159 3 5 2 2" xfId="14128"/>
    <cellStyle name="Normal 159 3 5 3" xfId="14129"/>
    <cellStyle name="Normal 159 3 6" xfId="14130"/>
    <cellStyle name="Normal 159 4" xfId="14131"/>
    <cellStyle name="Normal 159 4 2" xfId="14132"/>
    <cellStyle name="Normal 159 4 2 2" xfId="14133"/>
    <cellStyle name="Normal 159 4 3" xfId="14134"/>
    <cellStyle name="Normal 159 5" xfId="14135"/>
    <cellStyle name="Normal 159 5 2" xfId="14136"/>
    <cellStyle name="Normal 159 5 2 2" xfId="14137"/>
    <cellStyle name="Normal 159 5 3" xfId="14138"/>
    <cellStyle name="Normal 159 6" xfId="14139"/>
    <cellStyle name="Normal 159 6 2" xfId="14140"/>
    <cellStyle name="Normal 159 6 2 2" xfId="14141"/>
    <cellStyle name="Normal 159 6 3" xfId="14142"/>
    <cellStyle name="Normal 159 7" xfId="14143"/>
    <cellStyle name="Normal 16" xfId="130"/>
    <cellStyle name="Normal 16 2" xfId="14145"/>
    <cellStyle name="Normal 16 2 2" xfId="14146"/>
    <cellStyle name="Normal 16 2 2 2" xfId="14147"/>
    <cellStyle name="Normal 16 2 2 2 2" xfId="14148"/>
    <cellStyle name="Normal 16 2 2 3" xfId="14149"/>
    <cellStyle name="Normal 16 2 2 3 2" xfId="14150"/>
    <cellStyle name="Normal 16 2 2 3 2 2" xfId="14151"/>
    <cellStyle name="Normal 16 2 2 3 3" xfId="14152"/>
    <cellStyle name="Normal 16 2 2 4" xfId="14153"/>
    <cellStyle name="Normal 16 2 2 4 2" xfId="14154"/>
    <cellStyle name="Normal 16 2 2 4 2 2" xfId="14155"/>
    <cellStyle name="Normal 16 2 2 4 3" xfId="14156"/>
    <cellStyle name="Normal 16 2 2 5" xfId="14157"/>
    <cellStyle name="Normal 16 2 3" xfId="14158"/>
    <cellStyle name="Normal 16 2 3 2" xfId="14159"/>
    <cellStyle name="Normal 16 2 3 2 2" xfId="14160"/>
    <cellStyle name="Normal 16 2 3 2 2 2" xfId="14161"/>
    <cellStyle name="Normal 16 2 3 2 3" xfId="14162"/>
    <cellStyle name="Normal 16 2 3 2 3 2" xfId="14163"/>
    <cellStyle name="Normal 16 2 3 2 3 2 2" xfId="14164"/>
    <cellStyle name="Normal 16 2 3 2 3 3" xfId="14165"/>
    <cellStyle name="Normal 16 2 3 2 4" xfId="14166"/>
    <cellStyle name="Normal 16 2 3 3" xfId="14167"/>
    <cellStyle name="Normal 16 2 3 3 2" xfId="14168"/>
    <cellStyle name="Normal 16 2 3 3 2 2" xfId="14169"/>
    <cellStyle name="Normal 16 2 3 3 3" xfId="14170"/>
    <cellStyle name="Normal 16 2 3 4" xfId="14171"/>
    <cellStyle name="Normal 16 2 3 4 2" xfId="14172"/>
    <cellStyle name="Normal 16 2 3 4 2 2" xfId="14173"/>
    <cellStyle name="Normal 16 2 3 4 3" xfId="14174"/>
    <cellStyle name="Normal 16 2 3 5" xfId="14175"/>
    <cellStyle name="Normal 16 2 3 5 2" xfId="14176"/>
    <cellStyle name="Normal 16 2 3 5 2 2" xfId="14177"/>
    <cellStyle name="Normal 16 2 3 5 3" xfId="14178"/>
    <cellStyle name="Normal 16 2 3 6" xfId="14179"/>
    <cellStyle name="Normal 16 2 4" xfId="14180"/>
    <cellStyle name="Normal 16 3" xfId="14181"/>
    <cellStyle name="Normal 16 3 2" xfId="14182"/>
    <cellStyle name="Normal 16 3 2 2" xfId="14183"/>
    <cellStyle name="Normal 16 3 2 2 2" xfId="14184"/>
    <cellStyle name="Normal 16 3 2 3" xfId="14185"/>
    <cellStyle name="Normal 16 3 2 3 2" xfId="14186"/>
    <cellStyle name="Normal 16 3 2 3 2 2" xfId="14187"/>
    <cellStyle name="Normal 16 3 2 3 3" xfId="14188"/>
    <cellStyle name="Normal 16 3 2 4" xfId="14189"/>
    <cellStyle name="Normal 16 3 2 4 2" xfId="14190"/>
    <cellStyle name="Normal 16 3 2 4 2 2" xfId="14191"/>
    <cellStyle name="Normal 16 3 2 4 3" xfId="14192"/>
    <cellStyle name="Normal 16 3 2 5" xfId="14193"/>
    <cellStyle name="Normal 16 3 3" xfId="14194"/>
    <cellStyle name="Normal 16 3 3 2" xfId="14195"/>
    <cellStyle name="Normal 16 3 3 2 2" xfId="14196"/>
    <cellStyle name="Normal 16 3 3 3" xfId="14197"/>
    <cellStyle name="Normal 16 3 4" xfId="14198"/>
    <cellStyle name="Normal 16 3 4 2" xfId="14199"/>
    <cellStyle name="Normal 16 3 4 2 2" xfId="14200"/>
    <cellStyle name="Normal 16 3 4 3" xfId="14201"/>
    <cellStyle name="Normal 16 3 5" xfId="14202"/>
    <cellStyle name="Normal 16 3 5 2" xfId="14203"/>
    <cellStyle name="Normal 16 3 5 2 2" xfId="14204"/>
    <cellStyle name="Normal 16 3 5 3" xfId="14205"/>
    <cellStyle name="Normal 16 3 6" xfId="14206"/>
    <cellStyle name="Normal 16 4" xfId="14207"/>
    <cellStyle name="Normal 16 4 2" xfId="14208"/>
    <cellStyle name="Normal 16 4 2 2" xfId="14209"/>
    <cellStyle name="Normal 16 4 3" xfId="14210"/>
    <cellStyle name="Normal 16 4 3 2" xfId="14211"/>
    <cellStyle name="Normal 16 4 3 2 2" xfId="14212"/>
    <cellStyle name="Normal 16 4 3 3" xfId="14213"/>
    <cellStyle name="Normal 16 4 4" xfId="14214"/>
    <cellStyle name="Normal 16 4 4 2" xfId="14215"/>
    <cellStyle name="Normal 16 4 4 2 2" xfId="14216"/>
    <cellStyle name="Normal 16 4 4 3" xfId="14217"/>
    <cellStyle name="Normal 16 4 5" xfId="14218"/>
    <cellStyle name="Normal 16 5" xfId="14219"/>
    <cellStyle name="Normal 16 5 2" xfId="14220"/>
    <cellStyle name="Normal 16 5 2 2" xfId="14221"/>
    <cellStyle name="Normal 16 5 2 2 2" xfId="14222"/>
    <cellStyle name="Normal 16 5 2 3" xfId="14223"/>
    <cellStyle name="Normal 16 5 2 3 2" xfId="14224"/>
    <cellStyle name="Normal 16 5 2 3 2 2" xfId="14225"/>
    <cellStyle name="Normal 16 5 2 3 3" xfId="14226"/>
    <cellStyle name="Normal 16 5 2 4" xfId="14227"/>
    <cellStyle name="Normal 16 5 3" xfId="14228"/>
    <cellStyle name="Normal 16 5 3 2" xfId="14229"/>
    <cellStyle name="Normal 16 5 3 2 2" xfId="14230"/>
    <cellStyle name="Normal 16 5 3 3" xfId="14231"/>
    <cellStyle name="Normal 16 5 4" xfId="14232"/>
    <cellStyle name="Normal 16 5 4 2" xfId="14233"/>
    <cellStyle name="Normal 16 5 4 2 2" xfId="14234"/>
    <cellStyle name="Normal 16 5 4 3" xfId="14235"/>
    <cellStyle name="Normal 16 5 5" xfId="14236"/>
    <cellStyle name="Normal 16 5 5 2" xfId="14237"/>
    <cellStyle name="Normal 16 5 5 2 2" xfId="14238"/>
    <cellStyle name="Normal 16 5 5 3" xfId="14239"/>
    <cellStyle name="Normal 16 5 6" xfId="14240"/>
    <cellStyle name="Normal 16 6" xfId="14241"/>
    <cellStyle name="Normal 16 7" xfId="14144"/>
    <cellStyle name="Normal 160" xfId="14242"/>
    <cellStyle name="Normal 160 2" xfId="14243"/>
    <cellStyle name="Normal 160 2 2" xfId="14244"/>
    <cellStyle name="Normal 160 2 2 2" xfId="14245"/>
    <cellStyle name="Normal 160 2 3" xfId="14246"/>
    <cellStyle name="Normal 160 2 3 2" xfId="14247"/>
    <cellStyle name="Normal 160 2 3 2 2" xfId="14248"/>
    <cellStyle name="Normal 160 2 3 3" xfId="14249"/>
    <cellStyle name="Normal 160 2 4" xfId="14250"/>
    <cellStyle name="Normal 160 2 4 2" xfId="14251"/>
    <cellStyle name="Normal 160 2 4 2 2" xfId="14252"/>
    <cellStyle name="Normal 160 2 4 3" xfId="14253"/>
    <cellStyle name="Normal 160 2 5" xfId="14254"/>
    <cellStyle name="Normal 160 3" xfId="14255"/>
    <cellStyle name="Normal 160 3 2" xfId="14256"/>
    <cellStyle name="Normal 160 3 2 2" xfId="14257"/>
    <cellStyle name="Normal 160 3 2 2 2" xfId="14258"/>
    <cellStyle name="Normal 160 3 2 3" xfId="14259"/>
    <cellStyle name="Normal 160 3 2 3 2" xfId="14260"/>
    <cellStyle name="Normal 160 3 2 3 2 2" xfId="14261"/>
    <cellStyle name="Normal 160 3 2 3 3" xfId="14262"/>
    <cellStyle name="Normal 160 3 2 4" xfId="14263"/>
    <cellStyle name="Normal 160 3 3" xfId="14264"/>
    <cellStyle name="Normal 160 3 3 2" xfId="14265"/>
    <cellStyle name="Normal 160 3 3 2 2" xfId="14266"/>
    <cellStyle name="Normal 160 3 3 3" xfId="14267"/>
    <cellStyle name="Normal 160 3 4" xfId="14268"/>
    <cellStyle name="Normal 160 3 4 2" xfId="14269"/>
    <cellStyle name="Normal 160 3 4 2 2" xfId="14270"/>
    <cellStyle name="Normal 160 3 4 3" xfId="14271"/>
    <cellStyle name="Normal 160 3 5" xfId="14272"/>
    <cellStyle name="Normal 160 3 5 2" xfId="14273"/>
    <cellStyle name="Normal 160 3 5 2 2" xfId="14274"/>
    <cellStyle name="Normal 160 3 5 3" xfId="14275"/>
    <cellStyle name="Normal 160 3 6" xfId="14276"/>
    <cellStyle name="Normal 160 4" xfId="14277"/>
    <cellStyle name="Normal 160 4 2" xfId="14278"/>
    <cellStyle name="Normal 160 4 2 2" xfId="14279"/>
    <cellStyle name="Normal 160 4 3" xfId="14280"/>
    <cellStyle name="Normal 160 5" xfId="14281"/>
    <cellStyle name="Normal 160 5 2" xfId="14282"/>
    <cellStyle name="Normal 160 5 2 2" xfId="14283"/>
    <cellStyle name="Normal 160 5 3" xfId="14284"/>
    <cellStyle name="Normal 160 6" xfId="14285"/>
    <cellStyle name="Normal 160 6 2" xfId="14286"/>
    <cellStyle name="Normal 160 6 2 2" xfId="14287"/>
    <cellStyle name="Normal 160 6 3" xfId="14288"/>
    <cellStyle name="Normal 160 7" xfId="14289"/>
    <cellStyle name="Normal 161" xfId="14290"/>
    <cellStyle name="Normal 161 2" xfId="14291"/>
    <cellStyle name="Normal 161 2 2" xfId="14292"/>
    <cellStyle name="Normal 161 2 2 2" xfId="14293"/>
    <cellStyle name="Normal 161 2 3" xfId="14294"/>
    <cellStyle name="Normal 161 2 3 2" xfId="14295"/>
    <cellStyle name="Normal 161 2 3 2 2" xfId="14296"/>
    <cellStyle name="Normal 161 2 3 3" xfId="14297"/>
    <cellStyle name="Normal 161 2 4" xfId="14298"/>
    <cellStyle name="Normal 161 2 4 2" xfId="14299"/>
    <cellStyle name="Normal 161 2 4 2 2" xfId="14300"/>
    <cellStyle name="Normal 161 2 4 3" xfId="14301"/>
    <cellStyle name="Normal 161 2 5" xfId="14302"/>
    <cellStyle name="Normal 161 3" xfId="14303"/>
    <cellStyle name="Normal 161 3 2" xfId="14304"/>
    <cellStyle name="Normal 161 3 2 2" xfId="14305"/>
    <cellStyle name="Normal 161 3 2 2 2" xfId="14306"/>
    <cellStyle name="Normal 161 3 2 3" xfId="14307"/>
    <cellStyle name="Normal 161 3 2 3 2" xfId="14308"/>
    <cellStyle name="Normal 161 3 2 3 2 2" xfId="14309"/>
    <cellStyle name="Normal 161 3 2 3 3" xfId="14310"/>
    <cellStyle name="Normal 161 3 2 4" xfId="14311"/>
    <cellStyle name="Normal 161 3 3" xfId="14312"/>
    <cellStyle name="Normal 161 3 3 2" xfId="14313"/>
    <cellStyle name="Normal 161 3 3 2 2" xfId="14314"/>
    <cellStyle name="Normal 161 3 3 3" xfId="14315"/>
    <cellStyle name="Normal 161 3 4" xfId="14316"/>
    <cellStyle name="Normal 161 3 4 2" xfId="14317"/>
    <cellStyle name="Normal 161 3 4 2 2" xfId="14318"/>
    <cellStyle name="Normal 161 3 4 3" xfId="14319"/>
    <cellStyle name="Normal 161 3 5" xfId="14320"/>
    <cellStyle name="Normal 161 3 5 2" xfId="14321"/>
    <cellStyle name="Normal 161 3 5 2 2" xfId="14322"/>
    <cellStyle name="Normal 161 3 5 3" xfId="14323"/>
    <cellStyle name="Normal 161 3 6" xfId="14324"/>
    <cellStyle name="Normal 161 4" xfId="14325"/>
    <cellStyle name="Normal 161 4 2" xfId="14326"/>
    <cellStyle name="Normal 161 4 2 2" xfId="14327"/>
    <cellStyle name="Normal 161 4 3" xfId="14328"/>
    <cellStyle name="Normal 161 5" xfId="14329"/>
    <cellStyle name="Normal 161 5 2" xfId="14330"/>
    <cellStyle name="Normal 161 5 2 2" xfId="14331"/>
    <cellStyle name="Normal 161 5 3" xfId="14332"/>
    <cellStyle name="Normal 161 6" xfId="14333"/>
    <cellStyle name="Normal 161 6 2" xfId="14334"/>
    <cellStyle name="Normal 161 6 2 2" xfId="14335"/>
    <cellStyle name="Normal 161 6 3" xfId="14336"/>
    <cellStyle name="Normal 161 7" xfId="14337"/>
    <cellStyle name="Normal 162" xfId="14338"/>
    <cellStyle name="Normal 162 2" xfId="14339"/>
    <cellStyle name="Normal 162 2 2" xfId="14340"/>
    <cellStyle name="Normal 162 2 2 2" xfId="14341"/>
    <cellStyle name="Normal 162 2 3" xfId="14342"/>
    <cellStyle name="Normal 162 2 3 2" xfId="14343"/>
    <cellStyle name="Normal 162 2 3 2 2" xfId="14344"/>
    <cellStyle name="Normal 162 2 3 3" xfId="14345"/>
    <cellStyle name="Normal 162 2 4" xfId="14346"/>
    <cellStyle name="Normal 162 2 4 2" xfId="14347"/>
    <cellStyle name="Normal 162 2 4 2 2" xfId="14348"/>
    <cellStyle name="Normal 162 2 4 3" xfId="14349"/>
    <cellStyle name="Normal 162 2 5" xfId="14350"/>
    <cellStyle name="Normal 162 3" xfId="14351"/>
    <cellStyle name="Normal 162 3 2" xfId="14352"/>
    <cellStyle name="Normal 162 3 2 2" xfId="14353"/>
    <cellStyle name="Normal 162 3 2 2 2" xfId="14354"/>
    <cellStyle name="Normal 162 3 2 3" xfId="14355"/>
    <cellStyle name="Normal 162 3 2 3 2" xfId="14356"/>
    <cellStyle name="Normal 162 3 2 3 2 2" xfId="14357"/>
    <cellStyle name="Normal 162 3 2 3 3" xfId="14358"/>
    <cellStyle name="Normal 162 3 2 4" xfId="14359"/>
    <cellStyle name="Normal 162 3 3" xfId="14360"/>
    <cellStyle name="Normal 162 3 3 2" xfId="14361"/>
    <cellStyle name="Normal 162 3 3 2 2" xfId="14362"/>
    <cellStyle name="Normal 162 3 3 3" xfId="14363"/>
    <cellStyle name="Normal 162 3 4" xfId="14364"/>
    <cellStyle name="Normal 162 3 4 2" xfId="14365"/>
    <cellStyle name="Normal 162 3 4 2 2" xfId="14366"/>
    <cellStyle name="Normal 162 3 4 3" xfId="14367"/>
    <cellStyle name="Normal 162 3 5" xfId="14368"/>
    <cellStyle name="Normal 162 3 5 2" xfId="14369"/>
    <cellStyle name="Normal 162 3 5 2 2" xfId="14370"/>
    <cellStyle name="Normal 162 3 5 3" xfId="14371"/>
    <cellStyle name="Normal 162 3 6" xfId="14372"/>
    <cellStyle name="Normal 162 4" xfId="14373"/>
    <cellStyle name="Normal 162 4 2" xfId="14374"/>
    <cellStyle name="Normal 162 4 2 2" xfId="14375"/>
    <cellStyle name="Normal 162 4 3" xfId="14376"/>
    <cellStyle name="Normal 162 5" xfId="14377"/>
    <cellStyle name="Normal 162 5 2" xfId="14378"/>
    <cellStyle name="Normal 162 5 2 2" xfId="14379"/>
    <cellStyle name="Normal 162 5 3" xfId="14380"/>
    <cellStyle name="Normal 162 6" xfId="14381"/>
    <cellStyle name="Normal 162 6 2" xfId="14382"/>
    <cellStyle name="Normal 162 6 2 2" xfId="14383"/>
    <cellStyle name="Normal 162 6 3" xfId="14384"/>
    <cellStyle name="Normal 162 7" xfId="14385"/>
    <cellStyle name="Normal 163" xfId="14386"/>
    <cellStyle name="Normal 163 2" xfId="14387"/>
    <cellStyle name="Normal 163 2 2" xfId="14388"/>
    <cellStyle name="Normal 163 2 2 2" xfId="14389"/>
    <cellStyle name="Normal 163 2 3" xfId="14390"/>
    <cellStyle name="Normal 163 2 3 2" xfId="14391"/>
    <cellStyle name="Normal 163 2 3 2 2" xfId="14392"/>
    <cellStyle name="Normal 163 2 3 3" xfId="14393"/>
    <cellStyle name="Normal 163 2 4" xfId="14394"/>
    <cellStyle name="Normal 163 2 4 2" xfId="14395"/>
    <cellStyle name="Normal 163 2 4 2 2" xfId="14396"/>
    <cellStyle name="Normal 163 2 4 3" xfId="14397"/>
    <cellStyle name="Normal 163 2 5" xfId="14398"/>
    <cellStyle name="Normal 163 3" xfId="14399"/>
    <cellStyle name="Normal 163 3 2" xfId="14400"/>
    <cellStyle name="Normal 163 3 2 2" xfId="14401"/>
    <cellStyle name="Normal 163 3 2 2 2" xfId="14402"/>
    <cellStyle name="Normal 163 3 2 3" xfId="14403"/>
    <cellStyle name="Normal 163 3 2 3 2" xfId="14404"/>
    <cellStyle name="Normal 163 3 2 3 2 2" xfId="14405"/>
    <cellStyle name="Normal 163 3 2 3 3" xfId="14406"/>
    <cellStyle name="Normal 163 3 2 4" xfId="14407"/>
    <cellStyle name="Normal 163 3 3" xfId="14408"/>
    <cellStyle name="Normal 163 3 3 2" xfId="14409"/>
    <cellStyle name="Normal 163 3 3 2 2" xfId="14410"/>
    <cellStyle name="Normal 163 3 3 3" xfId="14411"/>
    <cellStyle name="Normal 163 3 4" xfId="14412"/>
    <cellStyle name="Normal 163 3 4 2" xfId="14413"/>
    <cellStyle name="Normal 163 3 4 2 2" xfId="14414"/>
    <cellStyle name="Normal 163 3 4 3" xfId="14415"/>
    <cellStyle name="Normal 163 3 5" xfId="14416"/>
    <cellStyle name="Normal 163 3 5 2" xfId="14417"/>
    <cellStyle name="Normal 163 3 5 2 2" xfId="14418"/>
    <cellStyle name="Normal 163 3 5 3" xfId="14419"/>
    <cellStyle name="Normal 163 3 6" xfId="14420"/>
    <cellStyle name="Normal 163 4" xfId="14421"/>
    <cellStyle name="Normal 163 4 2" xfId="14422"/>
    <cellStyle name="Normal 163 4 2 2" xfId="14423"/>
    <cellStyle name="Normal 163 4 3" xfId="14424"/>
    <cellStyle name="Normal 163 5" xfId="14425"/>
    <cellStyle name="Normal 163 5 2" xfId="14426"/>
    <cellStyle name="Normal 163 5 2 2" xfId="14427"/>
    <cellStyle name="Normal 163 5 3" xfId="14428"/>
    <cellStyle name="Normal 163 6" xfId="14429"/>
    <cellStyle name="Normal 163 6 2" xfId="14430"/>
    <cellStyle name="Normal 163 6 2 2" xfId="14431"/>
    <cellStyle name="Normal 163 6 3" xfId="14432"/>
    <cellStyle name="Normal 163 7" xfId="14433"/>
    <cellStyle name="Normal 164" xfId="14434"/>
    <cellStyle name="Normal 164 2" xfId="14435"/>
    <cellStyle name="Normal 164 2 2" xfId="14436"/>
    <cellStyle name="Normal 164 2 2 2" xfId="14437"/>
    <cellStyle name="Normal 164 2 3" xfId="14438"/>
    <cellStyle name="Normal 164 2 3 2" xfId="14439"/>
    <cellStyle name="Normal 164 2 3 2 2" xfId="14440"/>
    <cellStyle name="Normal 164 2 3 3" xfId="14441"/>
    <cellStyle name="Normal 164 2 4" xfId="14442"/>
    <cellStyle name="Normal 164 2 4 2" xfId="14443"/>
    <cellStyle name="Normal 164 2 4 2 2" xfId="14444"/>
    <cellStyle name="Normal 164 2 4 3" xfId="14445"/>
    <cellStyle name="Normal 164 2 5" xfId="14446"/>
    <cellStyle name="Normal 164 3" xfId="14447"/>
    <cellStyle name="Normal 164 3 2" xfId="14448"/>
    <cellStyle name="Normal 164 3 2 2" xfId="14449"/>
    <cellStyle name="Normal 164 3 2 2 2" xfId="14450"/>
    <cellStyle name="Normal 164 3 2 3" xfId="14451"/>
    <cellStyle name="Normal 164 3 2 3 2" xfId="14452"/>
    <cellStyle name="Normal 164 3 2 3 2 2" xfId="14453"/>
    <cellStyle name="Normal 164 3 2 3 3" xfId="14454"/>
    <cellStyle name="Normal 164 3 2 4" xfId="14455"/>
    <cellStyle name="Normal 164 3 3" xfId="14456"/>
    <cellStyle name="Normal 164 3 3 2" xfId="14457"/>
    <cellStyle name="Normal 164 3 3 2 2" xfId="14458"/>
    <cellStyle name="Normal 164 3 3 3" xfId="14459"/>
    <cellStyle name="Normal 164 3 4" xfId="14460"/>
    <cellStyle name="Normal 164 3 4 2" xfId="14461"/>
    <cellStyle name="Normal 164 3 4 2 2" xfId="14462"/>
    <cellStyle name="Normal 164 3 4 3" xfId="14463"/>
    <cellStyle name="Normal 164 3 5" xfId="14464"/>
    <cellStyle name="Normal 164 3 5 2" xfId="14465"/>
    <cellStyle name="Normal 164 3 5 2 2" xfId="14466"/>
    <cellStyle name="Normal 164 3 5 3" xfId="14467"/>
    <cellStyle name="Normal 164 3 6" xfId="14468"/>
    <cellStyle name="Normal 164 4" xfId="14469"/>
    <cellStyle name="Normal 164 4 2" xfId="14470"/>
    <cellStyle name="Normal 164 4 2 2" xfId="14471"/>
    <cellStyle name="Normal 164 4 3" xfId="14472"/>
    <cellStyle name="Normal 164 5" xfId="14473"/>
    <cellStyle name="Normal 164 5 2" xfId="14474"/>
    <cellStyle name="Normal 164 5 2 2" xfId="14475"/>
    <cellStyle name="Normal 164 5 3" xfId="14476"/>
    <cellStyle name="Normal 164 6" xfId="14477"/>
    <cellStyle name="Normal 164 6 2" xfId="14478"/>
    <cellStyle name="Normal 164 6 2 2" xfId="14479"/>
    <cellStyle name="Normal 164 6 3" xfId="14480"/>
    <cellStyle name="Normal 164 7" xfId="14481"/>
    <cellStyle name="Normal 165" xfId="14482"/>
    <cellStyle name="Normal 165 2" xfId="14483"/>
    <cellStyle name="Normal 165 2 2" xfId="14484"/>
    <cellStyle name="Normal 165 2 2 2" xfId="14485"/>
    <cellStyle name="Normal 165 2 3" xfId="14486"/>
    <cellStyle name="Normal 165 2 3 2" xfId="14487"/>
    <cellStyle name="Normal 165 2 3 2 2" xfId="14488"/>
    <cellStyle name="Normal 165 2 3 3" xfId="14489"/>
    <cellStyle name="Normal 165 2 4" xfId="14490"/>
    <cellStyle name="Normal 165 2 4 2" xfId="14491"/>
    <cellStyle name="Normal 165 2 4 2 2" xfId="14492"/>
    <cellStyle name="Normal 165 2 4 3" xfId="14493"/>
    <cellStyle name="Normal 165 2 5" xfId="14494"/>
    <cellStyle name="Normal 165 3" xfId="14495"/>
    <cellStyle name="Normal 165 3 2" xfId="14496"/>
    <cellStyle name="Normal 165 3 2 2" xfId="14497"/>
    <cellStyle name="Normal 165 3 2 2 2" xfId="14498"/>
    <cellStyle name="Normal 165 3 2 3" xfId="14499"/>
    <cellStyle name="Normal 165 3 2 3 2" xfId="14500"/>
    <cellStyle name="Normal 165 3 2 3 2 2" xfId="14501"/>
    <cellStyle name="Normal 165 3 2 3 3" xfId="14502"/>
    <cellStyle name="Normal 165 3 2 4" xfId="14503"/>
    <cellStyle name="Normal 165 3 3" xfId="14504"/>
    <cellStyle name="Normal 165 3 3 2" xfId="14505"/>
    <cellStyle name="Normal 165 3 3 2 2" xfId="14506"/>
    <cellStyle name="Normal 165 3 3 3" xfId="14507"/>
    <cellStyle name="Normal 165 3 4" xfId="14508"/>
    <cellStyle name="Normal 165 3 4 2" xfId="14509"/>
    <cellStyle name="Normal 165 3 4 2 2" xfId="14510"/>
    <cellStyle name="Normal 165 3 4 3" xfId="14511"/>
    <cellStyle name="Normal 165 3 5" xfId="14512"/>
    <cellStyle name="Normal 165 3 5 2" xfId="14513"/>
    <cellStyle name="Normal 165 3 5 2 2" xfId="14514"/>
    <cellStyle name="Normal 165 3 5 3" xfId="14515"/>
    <cellStyle name="Normal 165 3 6" xfId="14516"/>
    <cellStyle name="Normal 165 4" xfId="14517"/>
    <cellStyle name="Normal 165 4 2" xfId="14518"/>
    <cellStyle name="Normal 165 4 2 2" xfId="14519"/>
    <cellStyle name="Normal 165 4 3" xfId="14520"/>
    <cellStyle name="Normal 165 5" xfId="14521"/>
    <cellStyle name="Normal 165 5 2" xfId="14522"/>
    <cellStyle name="Normal 165 5 2 2" xfId="14523"/>
    <cellStyle name="Normal 165 5 3" xfId="14524"/>
    <cellStyle name="Normal 165 6" xfId="14525"/>
    <cellStyle name="Normal 165 6 2" xfId="14526"/>
    <cellStyle name="Normal 165 6 2 2" xfId="14527"/>
    <cellStyle name="Normal 165 6 3" xfId="14528"/>
    <cellStyle name="Normal 165 7" xfId="14529"/>
    <cellStyle name="Normal 166" xfId="14530"/>
    <cellStyle name="Normal 166 2" xfId="14531"/>
    <cellStyle name="Normal 166 2 2" xfId="14532"/>
    <cellStyle name="Normal 166 2 2 2" xfId="14533"/>
    <cellStyle name="Normal 166 2 3" xfId="14534"/>
    <cellStyle name="Normal 166 2 3 2" xfId="14535"/>
    <cellStyle name="Normal 166 2 3 2 2" xfId="14536"/>
    <cellStyle name="Normal 166 2 3 3" xfId="14537"/>
    <cellStyle name="Normal 166 2 4" xfId="14538"/>
    <cellStyle name="Normal 166 2 4 2" xfId="14539"/>
    <cellStyle name="Normal 166 2 4 2 2" xfId="14540"/>
    <cellStyle name="Normal 166 2 4 3" xfId="14541"/>
    <cellStyle name="Normal 166 2 5" xfId="14542"/>
    <cellStyle name="Normal 166 3" xfId="14543"/>
    <cellStyle name="Normal 166 3 2" xfId="14544"/>
    <cellStyle name="Normal 166 3 2 2" xfId="14545"/>
    <cellStyle name="Normal 166 3 2 2 2" xfId="14546"/>
    <cellStyle name="Normal 166 3 2 3" xfId="14547"/>
    <cellStyle name="Normal 166 3 2 3 2" xfId="14548"/>
    <cellStyle name="Normal 166 3 2 3 2 2" xfId="14549"/>
    <cellStyle name="Normal 166 3 2 3 3" xfId="14550"/>
    <cellStyle name="Normal 166 3 2 4" xfId="14551"/>
    <cellStyle name="Normal 166 3 3" xfId="14552"/>
    <cellStyle name="Normal 166 3 3 2" xfId="14553"/>
    <cellStyle name="Normal 166 3 3 2 2" xfId="14554"/>
    <cellStyle name="Normal 166 3 3 3" xfId="14555"/>
    <cellStyle name="Normal 166 3 4" xfId="14556"/>
    <cellStyle name="Normal 166 3 4 2" xfId="14557"/>
    <cellStyle name="Normal 166 3 4 2 2" xfId="14558"/>
    <cellStyle name="Normal 166 3 4 3" xfId="14559"/>
    <cellStyle name="Normal 166 3 5" xfId="14560"/>
    <cellStyle name="Normal 166 3 5 2" xfId="14561"/>
    <cellStyle name="Normal 166 3 5 2 2" xfId="14562"/>
    <cellStyle name="Normal 166 3 5 3" xfId="14563"/>
    <cellStyle name="Normal 166 3 6" xfId="14564"/>
    <cellStyle name="Normal 166 4" xfId="14565"/>
    <cellStyle name="Normal 166 4 2" xfId="14566"/>
    <cellStyle name="Normal 166 4 2 2" xfId="14567"/>
    <cellStyle name="Normal 166 4 3" xfId="14568"/>
    <cellStyle name="Normal 166 5" xfId="14569"/>
    <cellStyle name="Normal 166 5 2" xfId="14570"/>
    <cellStyle name="Normal 166 5 2 2" xfId="14571"/>
    <cellStyle name="Normal 166 5 3" xfId="14572"/>
    <cellStyle name="Normal 166 6" xfId="14573"/>
    <cellStyle name="Normal 166 6 2" xfId="14574"/>
    <cellStyle name="Normal 166 6 2 2" xfId="14575"/>
    <cellStyle name="Normal 166 6 3" xfId="14576"/>
    <cellStyle name="Normal 166 7" xfId="14577"/>
    <cellStyle name="Normal 167" xfId="14578"/>
    <cellStyle name="Normal 167 2" xfId="14579"/>
    <cellStyle name="Normal 167 2 2" xfId="14580"/>
    <cellStyle name="Normal 167 2 2 2" xfId="14581"/>
    <cellStyle name="Normal 167 2 3" xfId="14582"/>
    <cellStyle name="Normal 167 2 3 2" xfId="14583"/>
    <cellStyle name="Normal 167 2 3 2 2" xfId="14584"/>
    <cellStyle name="Normal 167 2 3 3" xfId="14585"/>
    <cellStyle name="Normal 167 2 4" xfId="14586"/>
    <cellStyle name="Normal 167 2 4 2" xfId="14587"/>
    <cellStyle name="Normal 167 2 4 2 2" xfId="14588"/>
    <cellStyle name="Normal 167 2 4 3" xfId="14589"/>
    <cellStyle name="Normal 167 2 5" xfId="14590"/>
    <cellStyle name="Normal 167 3" xfId="14591"/>
    <cellStyle name="Normal 167 3 2" xfId="14592"/>
    <cellStyle name="Normal 167 3 2 2" xfId="14593"/>
    <cellStyle name="Normal 167 3 2 2 2" xfId="14594"/>
    <cellStyle name="Normal 167 3 2 3" xfId="14595"/>
    <cellStyle name="Normal 167 3 2 3 2" xfId="14596"/>
    <cellStyle name="Normal 167 3 2 3 2 2" xfId="14597"/>
    <cellStyle name="Normal 167 3 2 3 3" xfId="14598"/>
    <cellStyle name="Normal 167 3 2 4" xfId="14599"/>
    <cellStyle name="Normal 167 3 3" xfId="14600"/>
    <cellStyle name="Normal 167 3 3 2" xfId="14601"/>
    <cellStyle name="Normal 167 3 3 2 2" xfId="14602"/>
    <cellStyle name="Normal 167 3 3 3" xfId="14603"/>
    <cellStyle name="Normal 167 3 4" xfId="14604"/>
    <cellStyle name="Normal 167 3 4 2" xfId="14605"/>
    <cellStyle name="Normal 167 3 4 2 2" xfId="14606"/>
    <cellStyle name="Normal 167 3 4 3" xfId="14607"/>
    <cellStyle name="Normal 167 3 5" xfId="14608"/>
    <cellStyle name="Normal 167 3 5 2" xfId="14609"/>
    <cellStyle name="Normal 167 3 5 2 2" xfId="14610"/>
    <cellStyle name="Normal 167 3 5 3" xfId="14611"/>
    <cellStyle name="Normal 167 3 6" xfId="14612"/>
    <cellStyle name="Normal 167 4" xfId="14613"/>
    <cellStyle name="Normal 167 4 2" xfId="14614"/>
    <cellStyle name="Normal 167 4 2 2" xfId="14615"/>
    <cellStyle name="Normal 167 4 3" xfId="14616"/>
    <cellStyle name="Normal 167 5" xfId="14617"/>
    <cellStyle name="Normal 167 5 2" xfId="14618"/>
    <cellStyle name="Normal 167 5 2 2" xfId="14619"/>
    <cellStyle name="Normal 167 5 3" xfId="14620"/>
    <cellStyle name="Normal 167 6" xfId="14621"/>
    <cellStyle name="Normal 167 6 2" xfId="14622"/>
    <cellStyle name="Normal 167 6 2 2" xfId="14623"/>
    <cellStyle name="Normal 167 6 3" xfId="14624"/>
    <cellStyle name="Normal 167 7" xfId="14625"/>
    <cellStyle name="Normal 168" xfId="14626"/>
    <cellStyle name="Normal 168 2" xfId="14627"/>
    <cellStyle name="Normal 168 2 2" xfId="14628"/>
    <cellStyle name="Normal 168 2 2 2" xfId="14629"/>
    <cellStyle name="Normal 168 2 3" xfId="14630"/>
    <cellStyle name="Normal 168 2 3 2" xfId="14631"/>
    <cellStyle name="Normal 168 2 3 2 2" xfId="14632"/>
    <cellStyle name="Normal 168 2 3 3" xfId="14633"/>
    <cellStyle name="Normal 168 2 4" xfId="14634"/>
    <cellStyle name="Normal 168 2 4 2" xfId="14635"/>
    <cellStyle name="Normal 168 2 4 2 2" xfId="14636"/>
    <cellStyle name="Normal 168 2 4 3" xfId="14637"/>
    <cellStyle name="Normal 168 2 5" xfId="14638"/>
    <cellStyle name="Normal 168 3" xfId="14639"/>
    <cellStyle name="Normal 168 3 2" xfId="14640"/>
    <cellStyle name="Normal 168 3 2 2" xfId="14641"/>
    <cellStyle name="Normal 168 3 2 2 2" xfId="14642"/>
    <cellStyle name="Normal 168 3 2 3" xfId="14643"/>
    <cellStyle name="Normal 168 3 2 3 2" xfId="14644"/>
    <cellStyle name="Normal 168 3 2 3 2 2" xfId="14645"/>
    <cellStyle name="Normal 168 3 2 3 3" xfId="14646"/>
    <cellStyle name="Normal 168 3 2 4" xfId="14647"/>
    <cellStyle name="Normal 168 3 3" xfId="14648"/>
    <cellStyle name="Normal 168 3 3 2" xfId="14649"/>
    <cellStyle name="Normal 168 3 3 2 2" xfId="14650"/>
    <cellStyle name="Normal 168 3 3 3" xfId="14651"/>
    <cellStyle name="Normal 168 3 4" xfId="14652"/>
    <cellStyle name="Normal 168 3 4 2" xfId="14653"/>
    <cellStyle name="Normal 168 3 4 2 2" xfId="14654"/>
    <cellStyle name="Normal 168 3 4 3" xfId="14655"/>
    <cellStyle name="Normal 168 3 5" xfId="14656"/>
    <cellStyle name="Normal 168 3 5 2" xfId="14657"/>
    <cellStyle name="Normal 168 3 5 2 2" xfId="14658"/>
    <cellStyle name="Normal 168 3 5 3" xfId="14659"/>
    <cellStyle name="Normal 168 3 6" xfId="14660"/>
    <cellStyle name="Normal 168 4" xfId="14661"/>
    <cellStyle name="Normal 168 4 2" xfId="14662"/>
    <cellStyle name="Normal 168 4 2 2" xfId="14663"/>
    <cellStyle name="Normal 168 4 3" xfId="14664"/>
    <cellStyle name="Normal 168 5" xfId="14665"/>
    <cellStyle name="Normal 168 5 2" xfId="14666"/>
    <cellStyle name="Normal 168 5 2 2" xfId="14667"/>
    <cellStyle name="Normal 168 5 3" xfId="14668"/>
    <cellStyle name="Normal 168 6" xfId="14669"/>
    <cellStyle name="Normal 168 6 2" xfId="14670"/>
    <cellStyle name="Normal 168 6 2 2" xfId="14671"/>
    <cellStyle name="Normal 168 6 3" xfId="14672"/>
    <cellStyle name="Normal 168 7" xfId="14673"/>
    <cellStyle name="Normal 169" xfId="14674"/>
    <cellStyle name="Normal 169 2" xfId="14675"/>
    <cellStyle name="Normal 169 2 2" xfId="14676"/>
    <cellStyle name="Normal 169 2 2 2" xfId="14677"/>
    <cellStyle name="Normal 169 2 3" xfId="14678"/>
    <cellStyle name="Normal 169 2 3 2" xfId="14679"/>
    <cellStyle name="Normal 169 2 3 2 2" xfId="14680"/>
    <cellStyle name="Normal 169 2 3 3" xfId="14681"/>
    <cellStyle name="Normal 169 2 4" xfId="14682"/>
    <cellStyle name="Normal 169 2 4 2" xfId="14683"/>
    <cellStyle name="Normal 169 2 4 2 2" xfId="14684"/>
    <cellStyle name="Normal 169 2 4 3" xfId="14685"/>
    <cellStyle name="Normal 169 2 5" xfId="14686"/>
    <cellStyle name="Normal 169 3" xfId="14687"/>
    <cellStyle name="Normal 169 3 2" xfId="14688"/>
    <cellStyle name="Normal 169 3 2 2" xfId="14689"/>
    <cellStyle name="Normal 169 3 2 2 2" xfId="14690"/>
    <cellStyle name="Normal 169 3 2 3" xfId="14691"/>
    <cellStyle name="Normal 169 3 2 3 2" xfId="14692"/>
    <cellStyle name="Normal 169 3 2 3 2 2" xfId="14693"/>
    <cellStyle name="Normal 169 3 2 3 3" xfId="14694"/>
    <cellStyle name="Normal 169 3 2 4" xfId="14695"/>
    <cellStyle name="Normal 169 3 3" xfId="14696"/>
    <cellStyle name="Normal 169 3 3 2" xfId="14697"/>
    <cellStyle name="Normal 169 3 3 2 2" xfId="14698"/>
    <cellStyle name="Normal 169 3 3 3" xfId="14699"/>
    <cellStyle name="Normal 169 3 4" xfId="14700"/>
    <cellStyle name="Normal 169 3 4 2" xfId="14701"/>
    <cellStyle name="Normal 169 3 4 2 2" xfId="14702"/>
    <cellStyle name="Normal 169 3 4 3" xfId="14703"/>
    <cellStyle name="Normal 169 3 5" xfId="14704"/>
    <cellStyle name="Normal 169 3 5 2" xfId="14705"/>
    <cellStyle name="Normal 169 3 5 2 2" xfId="14706"/>
    <cellStyle name="Normal 169 3 5 3" xfId="14707"/>
    <cellStyle name="Normal 169 3 6" xfId="14708"/>
    <cellStyle name="Normal 169 4" xfId="14709"/>
    <cellStyle name="Normal 169 4 2" xfId="14710"/>
    <cellStyle name="Normal 169 4 2 2" xfId="14711"/>
    <cellStyle name="Normal 169 4 3" xfId="14712"/>
    <cellStyle name="Normal 169 5" xfId="14713"/>
    <cellStyle name="Normal 169 5 2" xfId="14714"/>
    <cellStyle name="Normal 169 5 2 2" xfId="14715"/>
    <cellStyle name="Normal 169 5 3" xfId="14716"/>
    <cellStyle name="Normal 169 6" xfId="14717"/>
    <cellStyle name="Normal 169 6 2" xfId="14718"/>
    <cellStyle name="Normal 169 6 2 2" xfId="14719"/>
    <cellStyle name="Normal 169 6 3" xfId="14720"/>
    <cellStyle name="Normal 169 7" xfId="14721"/>
    <cellStyle name="Normal 17" xfId="246"/>
    <cellStyle name="Normal 17 2" xfId="14723"/>
    <cellStyle name="Normal 17 2 2" xfId="14724"/>
    <cellStyle name="Normal 17 2 2 2" xfId="14725"/>
    <cellStyle name="Normal 17 2 2 2 2" xfId="14726"/>
    <cellStyle name="Normal 17 2 2 3" xfId="14727"/>
    <cellStyle name="Normal 17 2 2 3 2" xfId="14728"/>
    <cellStyle name="Normal 17 2 2 3 2 2" xfId="14729"/>
    <cellStyle name="Normal 17 2 2 3 3" xfId="14730"/>
    <cellStyle name="Normal 17 2 2 4" xfId="14731"/>
    <cellStyle name="Normal 17 2 2 4 2" xfId="14732"/>
    <cellStyle name="Normal 17 2 2 4 2 2" xfId="14733"/>
    <cellStyle name="Normal 17 2 2 4 3" xfId="14734"/>
    <cellStyle name="Normal 17 2 2 5" xfId="14735"/>
    <cellStyle name="Normal 17 2 3" xfId="14736"/>
    <cellStyle name="Normal 17 2 3 2" xfId="14737"/>
    <cellStyle name="Normal 17 2 3 2 2" xfId="14738"/>
    <cellStyle name="Normal 17 2 3 2 2 2" xfId="14739"/>
    <cellStyle name="Normal 17 2 3 2 3" xfId="14740"/>
    <cellStyle name="Normal 17 2 3 2 3 2" xfId="14741"/>
    <cellStyle name="Normal 17 2 3 2 3 2 2" xfId="14742"/>
    <cellStyle name="Normal 17 2 3 2 3 3" xfId="14743"/>
    <cellStyle name="Normal 17 2 3 2 4" xfId="14744"/>
    <cellStyle name="Normal 17 2 3 3" xfId="14745"/>
    <cellStyle name="Normal 17 2 3 3 2" xfId="14746"/>
    <cellStyle name="Normal 17 2 3 3 2 2" xfId="14747"/>
    <cellStyle name="Normal 17 2 3 3 3" xfId="14748"/>
    <cellStyle name="Normal 17 2 3 4" xfId="14749"/>
    <cellStyle name="Normal 17 2 3 4 2" xfId="14750"/>
    <cellStyle name="Normal 17 2 3 4 2 2" xfId="14751"/>
    <cellStyle name="Normal 17 2 3 4 3" xfId="14752"/>
    <cellStyle name="Normal 17 2 3 5" xfId="14753"/>
    <cellStyle name="Normal 17 2 3 5 2" xfId="14754"/>
    <cellStyle name="Normal 17 2 3 5 2 2" xfId="14755"/>
    <cellStyle name="Normal 17 2 3 5 3" xfId="14756"/>
    <cellStyle name="Normal 17 2 3 6" xfId="14757"/>
    <cellStyle name="Normal 17 2 4" xfId="14758"/>
    <cellStyle name="Normal 17 3" xfId="14759"/>
    <cellStyle name="Normal 17 3 2" xfId="14760"/>
    <cellStyle name="Normal 17 3 2 2" xfId="14761"/>
    <cellStyle name="Normal 17 3 2 2 2" xfId="14762"/>
    <cellStyle name="Normal 17 3 2 3" xfId="14763"/>
    <cellStyle name="Normal 17 3 2 3 2" xfId="14764"/>
    <cellStyle name="Normal 17 3 2 3 2 2" xfId="14765"/>
    <cellStyle name="Normal 17 3 2 3 3" xfId="14766"/>
    <cellStyle name="Normal 17 3 2 4" xfId="14767"/>
    <cellStyle name="Normal 17 3 2 4 2" xfId="14768"/>
    <cellStyle name="Normal 17 3 2 4 2 2" xfId="14769"/>
    <cellStyle name="Normal 17 3 2 4 3" xfId="14770"/>
    <cellStyle name="Normal 17 3 2 5" xfId="14771"/>
    <cellStyle name="Normal 17 3 3" xfId="14772"/>
    <cellStyle name="Normal 17 3 3 2" xfId="14773"/>
    <cellStyle name="Normal 17 3 3 2 2" xfId="14774"/>
    <cellStyle name="Normal 17 3 3 3" xfId="14775"/>
    <cellStyle name="Normal 17 3 4" xfId="14776"/>
    <cellStyle name="Normal 17 3 4 2" xfId="14777"/>
    <cellStyle name="Normal 17 3 4 2 2" xfId="14778"/>
    <cellStyle name="Normal 17 3 4 3" xfId="14779"/>
    <cellStyle name="Normal 17 3 5" xfId="14780"/>
    <cellStyle name="Normal 17 3 5 2" xfId="14781"/>
    <cellStyle name="Normal 17 3 5 2 2" xfId="14782"/>
    <cellStyle name="Normal 17 3 5 3" xfId="14783"/>
    <cellStyle name="Normal 17 3 6" xfId="14784"/>
    <cellStyle name="Normal 17 4" xfId="14785"/>
    <cellStyle name="Normal 17 4 2" xfId="14786"/>
    <cellStyle name="Normal 17 4 2 2" xfId="14787"/>
    <cellStyle name="Normal 17 4 3" xfId="14788"/>
    <cellStyle name="Normal 17 4 3 2" xfId="14789"/>
    <cellStyle name="Normal 17 4 3 2 2" xfId="14790"/>
    <cellStyle name="Normal 17 4 3 3" xfId="14791"/>
    <cellStyle name="Normal 17 4 4" xfId="14792"/>
    <cellStyle name="Normal 17 4 4 2" xfId="14793"/>
    <cellStyle name="Normal 17 4 4 2 2" xfId="14794"/>
    <cellStyle name="Normal 17 4 4 3" xfId="14795"/>
    <cellStyle name="Normal 17 4 5" xfId="14796"/>
    <cellStyle name="Normal 17 5" xfId="14797"/>
    <cellStyle name="Normal 17 5 2" xfId="14798"/>
    <cellStyle name="Normal 17 5 2 2" xfId="14799"/>
    <cellStyle name="Normal 17 5 2 2 2" xfId="14800"/>
    <cellStyle name="Normal 17 5 2 3" xfId="14801"/>
    <cellStyle name="Normal 17 5 2 3 2" xfId="14802"/>
    <cellStyle name="Normal 17 5 2 3 2 2" xfId="14803"/>
    <cellStyle name="Normal 17 5 2 3 3" xfId="14804"/>
    <cellStyle name="Normal 17 5 2 4" xfId="14805"/>
    <cellStyle name="Normal 17 5 3" xfId="14806"/>
    <cellStyle name="Normal 17 5 3 2" xfId="14807"/>
    <cellStyle name="Normal 17 5 3 2 2" xfId="14808"/>
    <cellStyle name="Normal 17 5 3 3" xfId="14809"/>
    <cellStyle name="Normal 17 5 4" xfId="14810"/>
    <cellStyle name="Normal 17 5 4 2" xfId="14811"/>
    <cellStyle name="Normal 17 5 4 2 2" xfId="14812"/>
    <cellStyle name="Normal 17 5 4 3" xfId="14813"/>
    <cellStyle name="Normal 17 5 5" xfId="14814"/>
    <cellStyle name="Normal 17 5 5 2" xfId="14815"/>
    <cellStyle name="Normal 17 5 5 2 2" xfId="14816"/>
    <cellStyle name="Normal 17 5 5 3" xfId="14817"/>
    <cellStyle name="Normal 17 5 6" xfId="14818"/>
    <cellStyle name="Normal 17 6" xfId="14819"/>
    <cellStyle name="Normal 17 7" xfId="14722"/>
    <cellStyle name="Normal 170" xfId="14820"/>
    <cellStyle name="Normal 170 2" xfId="14821"/>
    <cellStyle name="Normal 170 2 2" xfId="14822"/>
    <cellStyle name="Normal 170 2 2 2" xfId="14823"/>
    <cellStyle name="Normal 170 2 3" xfId="14824"/>
    <cellStyle name="Normal 170 2 3 2" xfId="14825"/>
    <cellStyle name="Normal 170 2 3 2 2" xfId="14826"/>
    <cellStyle name="Normal 170 2 3 3" xfId="14827"/>
    <cellStyle name="Normal 170 2 4" xfId="14828"/>
    <cellStyle name="Normal 170 2 4 2" xfId="14829"/>
    <cellStyle name="Normal 170 2 4 2 2" xfId="14830"/>
    <cellStyle name="Normal 170 2 4 3" xfId="14831"/>
    <cellStyle name="Normal 170 2 5" xfId="14832"/>
    <cellStyle name="Normal 170 3" xfId="14833"/>
    <cellStyle name="Normal 170 3 2" xfId="14834"/>
    <cellStyle name="Normal 170 3 2 2" xfId="14835"/>
    <cellStyle name="Normal 170 3 2 2 2" xfId="14836"/>
    <cellStyle name="Normal 170 3 2 3" xfId="14837"/>
    <cellStyle name="Normal 170 3 2 3 2" xfId="14838"/>
    <cellStyle name="Normal 170 3 2 3 2 2" xfId="14839"/>
    <cellStyle name="Normal 170 3 2 3 3" xfId="14840"/>
    <cellStyle name="Normal 170 3 2 4" xfId="14841"/>
    <cellStyle name="Normal 170 3 3" xfId="14842"/>
    <cellStyle name="Normal 170 3 3 2" xfId="14843"/>
    <cellStyle name="Normal 170 3 3 2 2" xfId="14844"/>
    <cellStyle name="Normal 170 3 3 3" xfId="14845"/>
    <cellStyle name="Normal 170 3 4" xfId="14846"/>
    <cellStyle name="Normal 170 3 4 2" xfId="14847"/>
    <cellStyle name="Normal 170 3 4 2 2" xfId="14848"/>
    <cellStyle name="Normal 170 3 4 3" xfId="14849"/>
    <cellStyle name="Normal 170 3 5" xfId="14850"/>
    <cellStyle name="Normal 170 3 5 2" xfId="14851"/>
    <cellStyle name="Normal 170 3 5 2 2" xfId="14852"/>
    <cellStyle name="Normal 170 3 5 3" xfId="14853"/>
    <cellStyle name="Normal 170 3 6" xfId="14854"/>
    <cellStyle name="Normal 170 4" xfId="14855"/>
    <cellStyle name="Normal 170 4 2" xfId="14856"/>
    <cellStyle name="Normal 170 4 2 2" xfId="14857"/>
    <cellStyle name="Normal 170 4 3" xfId="14858"/>
    <cellStyle name="Normal 170 5" xfId="14859"/>
    <cellStyle name="Normal 170 5 2" xfId="14860"/>
    <cellStyle name="Normal 170 5 2 2" xfId="14861"/>
    <cellStyle name="Normal 170 5 3" xfId="14862"/>
    <cellStyle name="Normal 170 6" xfId="14863"/>
    <cellStyle name="Normal 170 6 2" xfId="14864"/>
    <cellStyle name="Normal 170 6 2 2" xfId="14865"/>
    <cellStyle name="Normal 170 6 3" xfId="14866"/>
    <cellStyle name="Normal 170 7" xfId="14867"/>
    <cellStyle name="Normal 171" xfId="14868"/>
    <cellStyle name="Normal 171 2" xfId="14869"/>
    <cellStyle name="Normal 171 2 2" xfId="14870"/>
    <cellStyle name="Normal 171 2 2 2" xfId="14871"/>
    <cellStyle name="Normal 171 2 3" xfId="14872"/>
    <cellStyle name="Normal 171 2 3 2" xfId="14873"/>
    <cellStyle name="Normal 171 2 3 2 2" xfId="14874"/>
    <cellStyle name="Normal 171 2 3 3" xfId="14875"/>
    <cellStyle name="Normal 171 2 4" xfId="14876"/>
    <cellStyle name="Normal 171 2 4 2" xfId="14877"/>
    <cellStyle name="Normal 171 2 4 2 2" xfId="14878"/>
    <cellStyle name="Normal 171 2 4 3" xfId="14879"/>
    <cellStyle name="Normal 171 2 5" xfId="14880"/>
    <cellStyle name="Normal 171 3" xfId="14881"/>
    <cellStyle name="Normal 171 3 2" xfId="14882"/>
    <cellStyle name="Normal 171 3 2 2" xfId="14883"/>
    <cellStyle name="Normal 171 3 2 2 2" xfId="14884"/>
    <cellStyle name="Normal 171 3 2 3" xfId="14885"/>
    <cellStyle name="Normal 171 3 2 3 2" xfId="14886"/>
    <cellStyle name="Normal 171 3 2 3 2 2" xfId="14887"/>
    <cellStyle name="Normal 171 3 2 3 3" xfId="14888"/>
    <cellStyle name="Normal 171 3 2 4" xfId="14889"/>
    <cellStyle name="Normal 171 3 3" xfId="14890"/>
    <cellStyle name="Normal 171 3 3 2" xfId="14891"/>
    <cellStyle name="Normal 171 3 3 2 2" xfId="14892"/>
    <cellStyle name="Normal 171 3 3 3" xfId="14893"/>
    <cellStyle name="Normal 171 3 4" xfId="14894"/>
    <cellStyle name="Normal 171 3 4 2" xfId="14895"/>
    <cellStyle name="Normal 171 3 4 2 2" xfId="14896"/>
    <cellStyle name="Normal 171 3 4 3" xfId="14897"/>
    <cellStyle name="Normal 171 3 5" xfId="14898"/>
    <cellStyle name="Normal 171 3 5 2" xfId="14899"/>
    <cellStyle name="Normal 171 3 5 2 2" xfId="14900"/>
    <cellStyle name="Normal 171 3 5 3" xfId="14901"/>
    <cellStyle name="Normal 171 3 6" xfId="14902"/>
    <cellStyle name="Normal 171 4" xfId="14903"/>
    <cellStyle name="Normal 171 4 2" xfId="14904"/>
    <cellStyle name="Normal 171 4 2 2" xfId="14905"/>
    <cellStyle name="Normal 171 4 3" xfId="14906"/>
    <cellStyle name="Normal 171 5" xfId="14907"/>
    <cellStyle name="Normal 171 5 2" xfId="14908"/>
    <cellStyle name="Normal 171 5 2 2" xfId="14909"/>
    <cellStyle name="Normal 171 5 3" xfId="14910"/>
    <cellStyle name="Normal 171 6" xfId="14911"/>
    <cellStyle name="Normal 171 6 2" xfId="14912"/>
    <cellStyle name="Normal 171 6 2 2" xfId="14913"/>
    <cellStyle name="Normal 171 6 3" xfId="14914"/>
    <cellStyle name="Normal 171 7" xfId="14915"/>
    <cellStyle name="Normal 172" xfId="14916"/>
    <cellStyle name="Normal 172 2" xfId="14917"/>
    <cellStyle name="Normal 172 2 2" xfId="14918"/>
    <cellStyle name="Normal 172 2 2 2" xfId="14919"/>
    <cellStyle name="Normal 172 2 3" xfId="14920"/>
    <cellStyle name="Normal 172 2 3 2" xfId="14921"/>
    <cellStyle name="Normal 172 2 3 2 2" xfId="14922"/>
    <cellStyle name="Normal 172 2 3 3" xfId="14923"/>
    <cellStyle name="Normal 172 2 4" xfId="14924"/>
    <cellStyle name="Normal 172 2 4 2" xfId="14925"/>
    <cellStyle name="Normal 172 2 4 2 2" xfId="14926"/>
    <cellStyle name="Normal 172 2 4 3" xfId="14927"/>
    <cellStyle name="Normal 172 2 5" xfId="14928"/>
    <cellStyle name="Normal 172 3" xfId="14929"/>
    <cellStyle name="Normal 172 3 2" xfId="14930"/>
    <cellStyle name="Normal 172 3 2 2" xfId="14931"/>
    <cellStyle name="Normal 172 3 2 2 2" xfId="14932"/>
    <cellStyle name="Normal 172 3 2 3" xfId="14933"/>
    <cellStyle name="Normal 172 3 2 3 2" xfId="14934"/>
    <cellStyle name="Normal 172 3 2 3 2 2" xfId="14935"/>
    <cellStyle name="Normal 172 3 2 3 3" xfId="14936"/>
    <cellStyle name="Normal 172 3 2 4" xfId="14937"/>
    <cellStyle name="Normal 172 3 3" xfId="14938"/>
    <cellStyle name="Normal 172 3 3 2" xfId="14939"/>
    <cellStyle name="Normal 172 3 3 2 2" xfId="14940"/>
    <cellStyle name="Normal 172 3 3 3" xfId="14941"/>
    <cellStyle name="Normal 172 3 4" xfId="14942"/>
    <cellStyle name="Normal 172 3 4 2" xfId="14943"/>
    <cellStyle name="Normal 172 3 4 2 2" xfId="14944"/>
    <cellStyle name="Normal 172 3 4 3" xfId="14945"/>
    <cellStyle name="Normal 172 3 5" xfId="14946"/>
    <cellStyle name="Normal 172 3 5 2" xfId="14947"/>
    <cellStyle name="Normal 172 3 5 2 2" xfId="14948"/>
    <cellStyle name="Normal 172 3 5 3" xfId="14949"/>
    <cellStyle name="Normal 172 3 6" xfId="14950"/>
    <cellStyle name="Normal 172 4" xfId="14951"/>
    <cellStyle name="Normal 172 4 2" xfId="14952"/>
    <cellStyle name="Normal 172 4 2 2" xfId="14953"/>
    <cellStyle name="Normal 172 4 3" xfId="14954"/>
    <cellStyle name="Normal 172 5" xfId="14955"/>
    <cellStyle name="Normal 172 5 2" xfId="14956"/>
    <cellStyle name="Normal 172 5 2 2" xfId="14957"/>
    <cellStyle name="Normal 172 5 3" xfId="14958"/>
    <cellStyle name="Normal 172 6" xfId="14959"/>
    <cellStyle name="Normal 172 6 2" xfId="14960"/>
    <cellStyle name="Normal 172 6 2 2" xfId="14961"/>
    <cellStyle name="Normal 172 6 3" xfId="14962"/>
    <cellStyle name="Normal 172 7" xfId="14963"/>
    <cellStyle name="Normal 173" xfId="14964"/>
    <cellStyle name="Normal 173 2" xfId="14965"/>
    <cellStyle name="Normal 173 2 2" xfId="14966"/>
    <cellStyle name="Normal 173 2 2 2" xfId="14967"/>
    <cellStyle name="Normal 173 2 3" xfId="14968"/>
    <cellStyle name="Normal 173 2 3 2" xfId="14969"/>
    <cellStyle name="Normal 173 2 3 2 2" xfId="14970"/>
    <cellStyle name="Normal 173 2 3 3" xfId="14971"/>
    <cellStyle name="Normal 173 2 4" xfId="14972"/>
    <cellStyle name="Normal 173 2 4 2" xfId="14973"/>
    <cellStyle name="Normal 173 2 4 2 2" xfId="14974"/>
    <cellStyle name="Normal 173 2 4 3" xfId="14975"/>
    <cellStyle name="Normal 173 2 5" xfId="14976"/>
    <cellStyle name="Normal 173 3" xfId="14977"/>
    <cellStyle name="Normal 173 3 2" xfId="14978"/>
    <cellStyle name="Normal 173 3 2 2" xfId="14979"/>
    <cellStyle name="Normal 173 3 2 2 2" xfId="14980"/>
    <cellStyle name="Normal 173 3 2 3" xfId="14981"/>
    <cellStyle name="Normal 173 3 2 3 2" xfId="14982"/>
    <cellStyle name="Normal 173 3 2 3 2 2" xfId="14983"/>
    <cellStyle name="Normal 173 3 2 3 3" xfId="14984"/>
    <cellStyle name="Normal 173 3 2 4" xfId="14985"/>
    <cellStyle name="Normal 173 3 3" xfId="14986"/>
    <cellStyle name="Normal 173 3 3 2" xfId="14987"/>
    <cellStyle name="Normal 173 3 3 2 2" xfId="14988"/>
    <cellStyle name="Normal 173 3 3 3" xfId="14989"/>
    <cellStyle name="Normal 173 3 4" xfId="14990"/>
    <cellStyle name="Normal 173 3 4 2" xfId="14991"/>
    <cellStyle name="Normal 173 3 4 2 2" xfId="14992"/>
    <cellStyle name="Normal 173 3 4 3" xfId="14993"/>
    <cellStyle name="Normal 173 3 5" xfId="14994"/>
    <cellStyle name="Normal 173 3 5 2" xfId="14995"/>
    <cellStyle name="Normal 173 3 5 2 2" xfId="14996"/>
    <cellStyle name="Normal 173 3 5 3" xfId="14997"/>
    <cellStyle name="Normal 173 3 6" xfId="14998"/>
    <cellStyle name="Normal 173 4" xfId="14999"/>
    <cellStyle name="Normal 173 4 2" xfId="15000"/>
    <cellStyle name="Normal 173 4 2 2" xfId="15001"/>
    <cellStyle name="Normal 173 4 3" xfId="15002"/>
    <cellStyle name="Normal 173 5" xfId="15003"/>
    <cellStyle name="Normal 173 5 2" xfId="15004"/>
    <cellStyle name="Normal 173 5 2 2" xfId="15005"/>
    <cellStyle name="Normal 173 5 3" xfId="15006"/>
    <cellStyle name="Normal 173 6" xfId="15007"/>
    <cellStyle name="Normal 173 6 2" xfId="15008"/>
    <cellStyle name="Normal 173 6 2 2" xfId="15009"/>
    <cellStyle name="Normal 173 6 3" xfId="15010"/>
    <cellStyle name="Normal 173 7" xfId="15011"/>
    <cellStyle name="Normal 174" xfId="15012"/>
    <cellStyle name="Normal 174 2" xfId="15013"/>
    <cellStyle name="Normal 174 2 2" xfId="15014"/>
    <cellStyle name="Normal 174 2 2 2" xfId="15015"/>
    <cellStyle name="Normal 174 2 3" xfId="15016"/>
    <cellStyle name="Normal 174 2 3 2" xfId="15017"/>
    <cellStyle name="Normal 174 2 3 2 2" xfId="15018"/>
    <cellStyle name="Normal 174 2 3 3" xfId="15019"/>
    <cellStyle name="Normal 174 2 4" xfId="15020"/>
    <cellStyle name="Normal 174 2 4 2" xfId="15021"/>
    <cellStyle name="Normal 174 2 4 2 2" xfId="15022"/>
    <cellStyle name="Normal 174 2 4 3" xfId="15023"/>
    <cellStyle name="Normal 174 2 5" xfId="15024"/>
    <cellStyle name="Normal 174 3" xfId="15025"/>
    <cellStyle name="Normal 174 3 2" xfId="15026"/>
    <cellStyle name="Normal 174 3 2 2" xfId="15027"/>
    <cellStyle name="Normal 174 3 2 2 2" xfId="15028"/>
    <cellStyle name="Normal 174 3 2 3" xfId="15029"/>
    <cellStyle name="Normal 174 3 2 3 2" xfId="15030"/>
    <cellStyle name="Normal 174 3 2 3 2 2" xfId="15031"/>
    <cellStyle name="Normal 174 3 2 3 3" xfId="15032"/>
    <cellStyle name="Normal 174 3 2 4" xfId="15033"/>
    <cellStyle name="Normal 174 3 3" xfId="15034"/>
    <cellStyle name="Normal 174 3 3 2" xfId="15035"/>
    <cellStyle name="Normal 174 3 3 2 2" xfId="15036"/>
    <cellStyle name="Normal 174 3 3 3" xfId="15037"/>
    <cellStyle name="Normal 174 3 4" xfId="15038"/>
    <cellStyle name="Normal 174 3 4 2" xfId="15039"/>
    <cellStyle name="Normal 174 3 4 2 2" xfId="15040"/>
    <cellStyle name="Normal 174 3 4 3" xfId="15041"/>
    <cellStyle name="Normal 174 3 5" xfId="15042"/>
    <cellStyle name="Normal 174 3 5 2" xfId="15043"/>
    <cellStyle name="Normal 174 3 5 2 2" xfId="15044"/>
    <cellStyle name="Normal 174 3 5 3" xfId="15045"/>
    <cellStyle name="Normal 174 3 6" xfId="15046"/>
    <cellStyle name="Normal 174 4" xfId="15047"/>
    <cellStyle name="Normal 174 4 2" xfId="15048"/>
    <cellStyle name="Normal 174 4 2 2" xfId="15049"/>
    <cellStyle name="Normal 174 4 3" xfId="15050"/>
    <cellStyle name="Normal 174 5" xfId="15051"/>
    <cellStyle name="Normal 174 5 2" xfId="15052"/>
    <cellStyle name="Normal 174 5 2 2" xfId="15053"/>
    <cellStyle name="Normal 174 5 3" xfId="15054"/>
    <cellStyle name="Normal 174 6" xfId="15055"/>
    <cellStyle name="Normal 174 6 2" xfId="15056"/>
    <cellStyle name="Normal 174 6 2 2" xfId="15057"/>
    <cellStyle name="Normal 174 6 3" xfId="15058"/>
    <cellStyle name="Normal 174 7" xfId="15059"/>
    <cellStyle name="Normal 175" xfId="15060"/>
    <cellStyle name="Normal 175 2" xfId="15061"/>
    <cellStyle name="Normal 175 2 2" xfId="15062"/>
    <cellStyle name="Normal 175 2 2 2" xfId="15063"/>
    <cellStyle name="Normal 175 2 3" xfId="15064"/>
    <cellStyle name="Normal 175 2 3 2" xfId="15065"/>
    <cellStyle name="Normal 175 2 3 2 2" xfId="15066"/>
    <cellStyle name="Normal 175 2 3 3" xfId="15067"/>
    <cellStyle name="Normal 175 2 4" xfId="15068"/>
    <cellStyle name="Normal 175 2 4 2" xfId="15069"/>
    <cellStyle name="Normal 175 2 4 2 2" xfId="15070"/>
    <cellStyle name="Normal 175 2 4 3" xfId="15071"/>
    <cellStyle name="Normal 175 2 5" xfId="15072"/>
    <cellStyle name="Normal 175 3" xfId="15073"/>
    <cellStyle name="Normal 175 3 2" xfId="15074"/>
    <cellStyle name="Normal 175 3 2 2" xfId="15075"/>
    <cellStyle name="Normal 175 3 2 2 2" xfId="15076"/>
    <cellStyle name="Normal 175 3 2 3" xfId="15077"/>
    <cellStyle name="Normal 175 3 2 3 2" xfId="15078"/>
    <cellStyle name="Normal 175 3 2 3 2 2" xfId="15079"/>
    <cellStyle name="Normal 175 3 2 3 3" xfId="15080"/>
    <cellStyle name="Normal 175 3 2 4" xfId="15081"/>
    <cellStyle name="Normal 175 3 3" xfId="15082"/>
    <cellStyle name="Normal 175 3 3 2" xfId="15083"/>
    <cellStyle name="Normal 175 3 3 2 2" xfId="15084"/>
    <cellStyle name="Normal 175 3 3 3" xfId="15085"/>
    <cellStyle name="Normal 175 3 4" xfId="15086"/>
    <cellStyle name="Normal 175 3 4 2" xfId="15087"/>
    <cellStyle name="Normal 175 3 4 2 2" xfId="15088"/>
    <cellStyle name="Normal 175 3 4 3" xfId="15089"/>
    <cellStyle name="Normal 175 3 5" xfId="15090"/>
    <cellStyle name="Normal 175 3 5 2" xfId="15091"/>
    <cellStyle name="Normal 175 3 5 2 2" xfId="15092"/>
    <cellStyle name="Normal 175 3 5 3" xfId="15093"/>
    <cellStyle name="Normal 175 3 6" xfId="15094"/>
    <cellStyle name="Normal 175 4" xfId="15095"/>
    <cellStyle name="Normal 175 4 2" xfId="15096"/>
    <cellStyle name="Normal 175 4 2 2" xfId="15097"/>
    <cellStyle name="Normal 175 4 3" xfId="15098"/>
    <cellStyle name="Normal 175 5" xfId="15099"/>
    <cellStyle name="Normal 175 5 2" xfId="15100"/>
    <cellStyle name="Normal 175 5 2 2" xfId="15101"/>
    <cellStyle name="Normal 175 5 3" xfId="15102"/>
    <cellStyle name="Normal 175 6" xfId="15103"/>
    <cellStyle name="Normal 175 6 2" xfId="15104"/>
    <cellStyle name="Normal 175 6 2 2" xfId="15105"/>
    <cellStyle name="Normal 175 6 3" xfId="15106"/>
    <cellStyle name="Normal 175 7" xfId="15107"/>
    <cellStyle name="Normal 176" xfId="15108"/>
    <cellStyle name="Normal 176 2" xfId="15109"/>
    <cellStyle name="Normal 176 2 2" xfId="15110"/>
    <cellStyle name="Normal 176 2 2 2" xfId="15111"/>
    <cellStyle name="Normal 176 2 3" xfId="15112"/>
    <cellStyle name="Normal 176 2 3 2" xfId="15113"/>
    <cellStyle name="Normal 176 2 3 2 2" xfId="15114"/>
    <cellStyle name="Normal 176 2 3 3" xfId="15115"/>
    <cellStyle name="Normal 176 2 4" xfId="15116"/>
    <cellStyle name="Normal 176 2 4 2" xfId="15117"/>
    <cellStyle name="Normal 176 2 4 2 2" xfId="15118"/>
    <cellStyle name="Normal 176 2 4 3" xfId="15119"/>
    <cellStyle name="Normal 176 2 5" xfId="15120"/>
    <cellStyle name="Normal 176 3" xfId="15121"/>
    <cellStyle name="Normal 176 3 2" xfId="15122"/>
    <cellStyle name="Normal 176 3 2 2" xfId="15123"/>
    <cellStyle name="Normal 176 3 2 2 2" xfId="15124"/>
    <cellStyle name="Normal 176 3 2 3" xfId="15125"/>
    <cellStyle name="Normal 176 3 2 3 2" xfId="15126"/>
    <cellStyle name="Normal 176 3 2 3 2 2" xfId="15127"/>
    <cellStyle name="Normal 176 3 2 3 3" xfId="15128"/>
    <cellStyle name="Normal 176 3 2 4" xfId="15129"/>
    <cellStyle name="Normal 176 3 3" xfId="15130"/>
    <cellStyle name="Normal 176 3 3 2" xfId="15131"/>
    <cellStyle name="Normal 176 3 3 2 2" xfId="15132"/>
    <cellStyle name="Normal 176 3 3 3" xfId="15133"/>
    <cellStyle name="Normal 176 3 4" xfId="15134"/>
    <cellStyle name="Normal 176 3 4 2" xfId="15135"/>
    <cellStyle name="Normal 176 3 4 2 2" xfId="15136"/>
    <cellStyle name="Normal 176 3 4 3" xfId="15137"/>
    <cellStyle name="Normal 176 3 5" xfId="15138"/>
    <cellStyle name="Normal 176 3 5 2" xfId="15139"/>
    <cellStyle name="Normal 176 3 5 2 2" xfId="15140"/>
    <cellStyle name="Normal 176 3 5 3" xfId="15141"/>
    <cellStyle name="Normal 176 3 6" xfId="15142"/>
    <cellStyle name="Normal 176 4" xfId="15143"/>
    <cellStyle name="Normal 176 4 2" xfId="15144"/>
    <cellStyle name="Normal 176 4 2 2" xfId="15145"/>
    <cellStyle name="Normal 176 4 3" xfId="15146"/>
    <cellStyle name="Normal 176 5" xfId="15147"/>
    <cellStyle name="Normal 176 5 2" xfId="15148"/>
    <cellStyle name="Normal 176 5 2 2" xfId="15149"/>
    <cellStyle name="Normal 176 5 3" xfId="15150"/>
    <cellStyle name="Normal 176 6" xfId="15151"/>
    <cellStyle name="Normal 176 6 2" xfId="15152"/>
    <cellStyle name="Normal 176 6 2 2" xfId="15153"/>
    <cellStyle name="Normal 176 6 3" xfId="15154"/>
    <cellStyle name="Normal 176 7" xfId="15155"/>
    <cellStyle name="Normal 177" xfId="15156"/>
    <cellStyle name="Normal 177 2" xfId="15157"/>
    <cellStyle name="Normal 177 2 2" xfId="15158"/>
    <cellStyle name="Normal 177 2 2 2" xfId="15159"/>
    <cellStyle name="Normal 177 2 3" xfId="15160"/>
    <cellStyle name="Normal 177 2 3 2" xfId="15161"/>
    <cellStyle name="Normal 177 2 3 2 2" xfId="15162"/>
    <cellStyle name="Normal 177 2 3 3" xfId="15163"/>
    <cellStyle name="Normal 177 2 4" xfId="15164"/>
    <cellStyle name="Normal 177 2 4 2" xfId="15165"/>
    <cellStyle name="Normal 177 2 4 2 2" xfId="15166"/>
    <cellStyle name="Normal 177 2 4 3" xfId="15167"/>
    <cellStyle name="Normal 177 2 5" xfId="15168"/>
    <cellStyle name="Normal 177 3" xfId="15169"/>
    <cellStyle name="Normal 177 3 2" xfId="15170"/>
    <cellStyle name="Normal 177 3 2 2" xfId="15171"/>
    <cellStyle name="Normal 177 3 2 2 2" xfId="15172"/>
    <cellStyle name="Normal 177 3 2 3" xfId="15173"/>
    <cellStyle name="Normal 177 3 2 3 2" xfId="15174"/>
    <cellStyle name="Normal 177 3 2 3 2 2" xfId="15175"/>
    <cellStyle name="Normal 177 3 2 3 3" xfId="15176"/>
    <cellStyle name="Normal 177 3 2 4" xfId="15177"/>
    <cellStyle name="Normal 177 3 3" xfId="15178"/>
    <cellStyle name="Normal 177 3 3 2" xfId="15179"/>
    <cellStyle name="Normal 177 3 3 2 2" xfId="15180"/>
    <cellStyle name="Normal 177 3 3 3" xfId="15181"/>
    <cellStyle name="Normal 177 3 4" xfId="15182"/>
    <cellStyle name="Normal 177 3 4 2" xfId="15183"/>
    <cellStyle name="Normal 177 3 4 2 2" xfId="15184"/>
    <cellStyle name="Normal 177 3 4 3" xfId="15185"/>
    <cellStyle name="Normal 177 3 5" xfId="15186"/>
    <cellStyle name="Normal 177 3 5 2" xfId="15187"/>
    <cellStyle name="Normal 177 3 5 2 2" xfId="15188"/>
    <cellStyle name="Normal 177 3 5 3" xfId="15189"/>
    <cellStyle name="Normal 177 3 6" xfId="15190"/>
    <cellStyle name="Normal 177 4" xfId="15191"/>
    <cellStyle name="Normal 177 4 2" xfId="15192"/>
    <cellStyle name="Normal 177 4 2 2" xfId="15193"/>
    <cellStyle name="Normal 177 4 3" xfId="15194"/>
    <cellStyle name="Normal 177 5" xfId="15195"/>
    <cellStyle name="Normal 177 5 2" xfId="15196"/>
    <cellStyle name="Normal 177 5 2 2" xfId="15197"/>
    <cellStyle name="Normal 177 5 3" xfId="15198"/>
    <cellStyle name="Normal 177 6" xfId="15199"/>
    <cellStyle name="Normal 177 6 2" xfId="15200"/>
    <cellStyle name="Normal 177 6 2 2" xfId="15201"/>
    <cellStyle name="Normal 177 6 3" xfId="15202"/>
    <cellStyle name="Normal 177 7" xfId="15203"/>
    <cellStyle name="Normal 178" xfId="15204"/>
    <cellStyle name="Normal 178 2" xfId="15205"/>
    <cellStyle name="Normal 178 2 2" xfId="15206"/>
    <cellStyle name="Normal 178 2 2 2" xfId="15207"/>
    <cellStyle name="Normal 178 2 3" xfId="15208"/>
    <cellStyle name="Normal 178 2 3 2" xfId="15209"/>
    <cellStyle name="Normal 178 2 3 2 2" xfId="15210"/>
    <cellStyle name="Normal 178 2 3 3" xfId="15211"/>
    <cellStyle name="Normal 178 2 4" xfId="15212"/>
    <cellStyle name="Normal 178 2 4 2" xfId="15213"/>
    <cellStyle name="Normal 178 2 4 2 2" xfId="15214"/>
    <cellStyle name="Normal 178 2 4 3" xfId="15215"/>
    <cellStyle name="Normal 178 2 5" xfId="15216"/>
    <cellStyle name="Normal 178 3" xfId="15217"/>
    <cellStyle name="Normal 178 3 2" xfId="15218"/>
    <cellStyle name="Normal 178 3 2 2" xfId="15219"/>
    <cellStyle name="Normal 178 3 2 2 2" xfId="15220"/>
    <cellStyle name="Normal 178 3 2 3" xfId="15221"/>
    <cellStyle name="Normal 178 3 2 3 2" xfId="15222"/>
    <cellStyle name="Normal 178 3 2 3 2 2" xfId="15223"/>
    <cellStyle name="Normal 178 3 2 3 3" xfId="15224"/>
    <cellStyle name="Normal 178 3 2 4" xfId="15225"/>
    <cellStyle name="Normal 178 3 3" xfId="15226"/>
    <cellStyle name="Normal 178 3 3 2" xfId="15227"/>
    <cellStyle name="Normal 178 3 3 2 2" xfId="15228"/>
    <cellStyle name="Normal 178 3 3 3" xfId="15229"/>
    <cellStyle name="Normal 178 3 4" xfId="15230"/>
    <cellStyle name="Normal 178 3 4 2" xfId="15231"/>
    <cellStyle name="Normal 178 3 4 2 2" xfId="15232"/>
    <cellStyle name="Normal 178 3 4 3" xfId="15233"/>
    <cellStyle name="Normal 178 3 5" xfId="15234"/>
    <cellStyle name="Normal 178 3 5 2" xfId="15235"/>
    <cellStyle name="Normal 178 3 5 2 2" xfId="15236"/>
    <cellStyle name="Normal 178 3 5 3" xfId="15237"/>
    <cellStyle name="Normal 178 3 6" xfId="15238"/>
    <cellStyle name="Normal 178 4" xfId="15239"/>
    <cellStyle name="Normal 178 4 2" xfId="15240"/>
    <cellStyle name="Normal 178 4 2 2" xfId="15241"/>
    <cellStyle name="Normal 178 4 3" xfId="15242"/>
    <cellStyle name="Normal 178 5" xfId="15243"/>
    <cellStyle name="Normal 178 5 2" xfId="15244"/>
    <cellStyle name="Normal 178 5 2 2" xfId="15245"/>
    <cellStyle name="Normal 178 5 3" xfId="15246"/>
    <cellStyle name="Normal 178 6" xfId="15247"/>
    <cellStyle name="Normal 178 6 2" xfId="15248"/>
    <cellStyle name="Normal 178 6 2 2" xfId="15249"/>
    <cellStyle name="Normal 178 6 3" xfId="15250"/>
    <cellStyle name="Normal 178 7" xfId="15251"/>
    <cellStyle name="Normal 179" xfId="15252"/>
    <cellStyle name="Normal 179 2" xfId="15253"/>
    <cellStyle name="Normal 179 2 2" xfId="15254"/>
    <cellStyle name="Normal 179 2 2 2" xfId="15255"/>
    <cellStyle name="Normal 179 2 3" xfId="15256"/>
    <cellStyle name="Normal 179 2 3 2" xfId="15257"/>
    <cellStyle name="Normal 179 2 3 2 2" xfId="15258"/>
    <cellStyle name="Normal 179 2 3 3" xfId="15259"/>
    <cellStyle name="Normal 179 2 4" xfId="15260"/>
    <cellStyle name="Normal 179 2 4 2" xfId="15261"/>
    <cellStyle name="Normal 179 2 4 2 2" xfId="15262"/>
    <cellStyle name="Normal 179 2 4 3" xfId="15263"/>
    <cellStyle name="Normal 179 2 5" xfId="15264"/>
    <cellStyle name="Normal 179 3" xfId="15265"/>
    <cellStyle name="Normal 179 3 2" xfId="15266"/>
    <cellStyle name="Normal 179 3 2 2" xfId="15267"/>
    <cellStyle name="Normal 179 3 2 2 2" xfId="15268"/>
    <cellStyle name="Normal 179 3 2 3" xfId="15269"/>
    <cellStyle name="Normal 179 3 2 3 2" xfId="15270"/>
    <cellStyle name="Normal 179 3 2 3 2 2" xfId="15271"/>
    <cellStyle name="Normal 179 3 2 3 3" xfId="15272"/>
    <cellStyle name="Normal 179 3 2 4" xfId="15273"/>
    <cellStyle name="Normal 179 3 3" xfId="15274"/>
    <cellStyle name="Normal 179 3 3 2" xfId="15275"/>
    <cellStyle name="Normal 179 3 3 2 2" xfId="15276"/>
    <cellStyle name="Normal 179 3 3 3" xfId="15277"/>
    <cellStyle name="Normal 179 3 4" xfId="15278"/>
    <cellStyle name="Normal 179 3 4 2" xfId="15279"/>
    <cellStyle name="Normal 179 3 4 2 2" xfId="15280"/>
    <cellStyle name="Normal 179 3 4 3" xfId="15281"/>
    <cellStyle name="Normal 179 3 5" xfId="15282"/>
    <cellStyle name="Normal 179 3 5 2" xfId="15283"/>
    <cellStyle name="Normal 179 3 5 2 2" xfId="15284"/>
    <cellStyle name="Normal 179 3 5 3" xfId="15285"/>
    <cellStyle name="Normal 179 3 6" xfId="15286"/>
    <cellStyle name="Normal 179 4" xfId="15287"/>
    <cellStyle name="Normal 179 4 2" xfId="15288"/>
    <cellStyle name="Normal 179 4 2 2" xfId="15289"/>
    <cellStyle name="Normal 179 4 3" xfId="15290"/>
    <cellStyle name="Normal 179 5" xfId="15291"/>
    <cellStyle name="Normal 179 5 2" xfId="15292"/>
    <cellStyle name="Normal 179 5 2 2" xfId="15293"/>
    <cellStyle name="Normal 179 5 3" xfId="15294"/>
    <cellStyle name="Normal 179 6" xfId="15295"/>
    <cellStyle name="Normal 179 6 2" xfId="15296"/>
    <cellStyle name="Normal 179 6 2 2" xfId="15297"/>
    <cellStyle name="Normal 179 6 3" xfId="15298"/>
    <cellStyle name="Normal 179 7" xfId="15299"/>
    <cellStyle name="Normal 18" xfId="251"/>
    <cellStyle name="Normal 18 2" xfId="15301"/>
    <cellStyle name="Normal 18 2 2" xfId="15302"/>
    <cellStyle name="Normal 18 2 2 2" xfId="15303"/>
    <cellStyle name="Normal 18 2 2 2 2" xfId="15304"/>
    <cellStyle name="Normal 18 2 2 3" xfId="15305"/>
    <cellStyle name="Normal 18 2 2 3 2" xfId="15306"/>
    <cellStyle name="Normal 18 2 2 3 2 2" xfId="15307"/>
    <cellStyle name="Normal 18 2 2 3 3" xfId="15308"/>
    <cellStyle name="Normal 18 2 2 4" xfId="15309"/>
    <cellStyle name="Normal 18 2 2 4 2" xfId="15310"/>
    <cellStyle name="Normal 18 2 2 4 2 2" xfId="15311"/>
    <cellStyle name="Normal 18 2 2 4 3" xfId="15312"/>
    <cellStyle name="Normal 18 2 2 5" xfId="15313"/>
    <cellStyle name="Normal 18 2 3" xfId="15314"/>
    <cellStyle name="Normal 18 2 3 2" xfId="15315"/>
    <cellStyle name="Normal 18 2 3 2 2" xfId="15316"/>
    <cellStyle name="Normal 18 2 3 2 2 2" xfId="15317"/>
    <cellStyle name="Normal 18 2 3 2 3" xfId="15318"/>
    <cellStyle name="Normal 18 2 3 2 3 2" xfId="15319"/>
    <cellStyle name="Normal 18 2 3 2 3 2 2" xfId="15320"/>
    <cellStyle name="Normal 18 2 3 2 3 3" xfId="15321"/>
    <cellStyle name="Normal 18 2 3 2 4" xfId="15322"/>
    <cellStyle name="Normal 18 2 3 3" xfId="15323"/>
    <cellStyle name="Normal 18 2 3 3 2" xfId="15324"/>
    <cellStyle name="Normal 18 2 3 3 2 2" xfId="15325"/>
    <cellStyle name="Normal 18 2 3 3 3" xfId="15326"/>
    <cellStyle name="Normal 18 2 3 4" xfId="15327"/>
    <cellStyle name="Normal 18 2 3 4 2" xfId="15328"/>
    <cellStyle name="Normal 18 2 3 4 2 2" xfId="15329"/>
    <cellStyle name="Normal 18 2 3 4 3" xfId="15330"/>
    <cellStyle name="Normal 18 2 3 5" xfId="15331"/>
    <cellStyle name="Normal 18 2 3 5 2" xfId="15332"/>
    <cellStyle name="Normal 18 2 3 5 2 2" xfId="15333"/>
    <cellStyle name="Normal 18 2 3 5 3" xfId="15334"/>
    <cellStyle name="Normal 18 2 3 6" xfId="15335"/>
    <cellStyle name="Normal 18 2 4" xfId="15336"/>
    <cellStyle name="Normal 18 2 4 2" xfId="15337"/>
    <cellStyle name="Normal 18 2 4 2 2" xfId="15338"/>
    <cellStyle name="Normal 18 2 4 3" xfId="15339"/>
    <cellStyle name="Normal 18 2 5" xfId="15340"/>
    <cellStyle name="Normal 18 2 5 2" xfId="15341"/>
    <cellStyle name="Normal 18 2 5 2 2" xfId="15342"/>
    <cellStyle name="Normal 18 2 5 3" xfId="15343"/>
    <cellStyle name="Normal 18 2 6" xfId="15344"/>
    <cellStyle name="Normal 18 2 6 2" xfId="15345"/>
    <cellStyle name="Normal 18 2 6 2 2" xfId="15346"/>
    <cellStyle name="Normal 18 2 6 3" xfId="15347"/>
    <cellStyle name="Normal 18 2 7" xfId="15348"/>
    <cellStyle name="Normal 18 3" xfId="15349"/>
    <cellStyle name="Normal 18 3 2" xfId="15350"/>
    <cellStyle name="Normal 18 3 2 2" xfId="15351"/>
    <cellStyle name="Normal 18 3 2 2 2" xfId="15352"/>
    <cellStyle name="Normal 18 3 2 3" xfId="15353"/>
    <cellStyle name="Normal 18 3 2 3 2" xfId="15354"/>
    <cellStyle name="Normal 18 3 2 3 2 2" xfId="15355"/>
    <cellStyle name="Normal 18 3 2 3 3" xfId="15356"/>
    <cellStyle name="Normal 18 3 2 4" xfId="15357"/>
    <cellStyle name="Normal 18 3 2 4 2" xfId="15358"/>
    <cellStyle name="Normal 18 3 2 4 2 2" xfId="15359"/>
    <cellStyle name="Normal 18 3 2 4 3" xfId="15360"/>
    <cellStyle name="Normal 18 3 2 5" xfId="15361"/>
    <cellStyle name="Normal 18 3 3" xfId="15362"/>
    <cellStyle name="Normal 18 3 3 2" xfId="15363"/>
    <cellStyle name="Normal 18 3 3 2 2" xfId="15364"/>
    <cellStyle name="Normal 18 3 3 3" xfId="15365"/>
    <cellStyle name="Normal 18 3 4" xfId="15366"/>
    <cellStyle name="Normal 18 3 4 2" xfId="15367"/>
    <cellStyle name="Normal 18 3 4 2 2" xfId="15368"/>
    <cellStyle name="Normal 18 3 4 3" xfId="15369"/>
    <cellStyle name="Normal 18 3 5" xfId="15370"/>
    <cellStyle name="Normal 18 3 5 2" xfId="15371"/>
    <cellStyle name="Normal 18 3 5 2 2" xfId="15372"/>
    <cellStyle name="Normal 18 3 5 3" xfId="15373"/>
    <cellStyle name="Normal 18 3 6" xfId="15374"/>
    <cellStyle name="Normal 18 4" xfId="15375"/>
    <cellStyle name="Normal 18 4 2" xfId="15376"/>
    <cellStyle name="Normal 18 4 2 2" xfId="15377"/>
    <cellStyle name="Normal 18 4 3" xfId="15378"/>
    <cellStyle name="Normal 18 4 3 2" xfId="15379"/>
    <cellStyle name="Normal 18 4 3 2 2" xfId="15380"/>
    <cellStyle name="Normal 18 4 3 3" xfId="15381"/>
    <cellStyle name="Normal 18 4 4" xfId="15382"/>
    <cellStyle name="Normal 18 4 4 2" xfId="15383"/>
    <cellStyle name="Normal 18 4 4 2 2" xfId="15384"/>
    <cellStyle name="Normal 18 4 4 3" xfId="15385"/>
    <cellStyle name="Normal 18 4 5" xfId="15386"/>
    <cellStyle name="Normal 18 5" xfId="15387"/>
    <cellStyle name="Normal 18 5 2" xfId="15388"/>
    <cellStyle name="Normal 18 5 2 2" xfId="15389"/>
    <cellStyle name="Normal 18 5 2 2 2" xfId="15390"/>
    <cellStyle name="Normal 18 5 2 3" xfId="15391"/>
    <cellStyle name="Normal 18 5 2 3 2" xfId="15392"/>
    <cellStyle name="Normal 18 5 2 3 2 2" xfId="15393"/>
    <cellStyle name="Normal 18 5 2 3 3" xfId="15394"/>
    <cellStyle name="Normal 18 5 2 4" xfId="15395"/>
    <cellStyle name="Normal 18 5 3" xfId="15396"/>
    <cellStyle name="Normal 18 5 3 2" xfId="15397"/>
    <cellStyle name="Normal 18 5 3 2 2" xfId="15398"/>
    <cellStyle name="Normal 18 5 3 3" xfId="15399"/>
    <cellStyle name="Normal 18 5 4" xfId="15400"/>
    <cellStyle name="Normal 18 5 4 2" xfId="15401"/>
    <cellStyle name="Normal 18 5 4 2 2" xfId="15402"/>
    <cellStyle name="Normal 18 5 4 3" xfId="15403"/>
    <cellStyle name="Normal 18 5 5" xfId="15404"/>
    <cellStyle name="Normal 18 5 5 2" xfId="15405"/>
    <cellStyle name="Normal 18 5 5 2 2" xfId="15406"/>
    <cellStyle name="Normal 18 5 5 3" xfId="15407"/>
    <cellStyle name="Normal 18 5 6" xfId="15408"/>
    <cellStyle name="Normal 18 6" xfId="15409"/>
    <cellStyle name="Normal 18 7" xfId="15300"/>
    <cellStyle name="Normal 180" xfId="15410"/>
    <cellStyle name="Normal 180 2" xfId="15411"/>
    <cellStyle name="Normal 180 2 2" xfId="15412"/>
    <cellStyle name="Normal 180 2 2 2" xfId="15413"/>
    <cellStyle name="Normal 180 2 3" xfId="15414"/>
    <cellStyle name="Normal 180 2 3 2" xfId="15415"/>
    <cellStyle name="Normal 180 2 3 2 2" xfId="15416"/>
    <cellStyle name="Normal 180 2 3 3" xfId="15417"/>
    <cellStyle name="Normal 180 2 4" xfId="15418"/>
    <cellStyle name="Normal 180 2 4 2" xfId="15419"/>
    <cellStyle name="Normal 180 2 4 2 2" xfId="15420"/>
    <cellStyle name="Normal 180 2 4 3" xfId="15421"/>
    <cellStyle name="Normal 180 2 5" xfId="15422"/>
    <cellStyle name="Normal 180 3" xfId="15423"/>
    <cellStyle name="Normal 180 3 2" xfId="15424"/>
    <cellStyle name="Normal 180 3 2 2" xfId="15425"/>
    <cellStyle name="Normal 180 3 2 2 2" xfId="15426"/>
    <cellStyle name="Normal 180 3 2 3" xfId="15427"/>
    <cellStyle name="Normal 180 3 2 3 2" xfId="15428"/>
    <cellStyle name="Normal 180 3 2 3 2 2" xfId="15429"/>
    <cellStyle name="Normal 180 3 2 3 3" xfId="15430"/>
    <cellStyle name="Normal 180 3 2 4" xfId="15431"/>
    <cellStyle name="Normal 180 3 3" xfId="15432"/>
    <cellStyle name="Normal 180 3 3 2" xfId="15433"/>
    <cellStyle name="Normal 180 3 3 2 2" xfId="15434"/>
    <cellStyle name="Normal 180 3 3 3" xfId="15435"/>
    <cellStyle name="Normal 180 3 4" xfId="15436"/>
    <cellStyle name="Normal 180 3 4 2" xfId="15437"/>
    <cellStyle name="Normal 180 3 4 2 2" xfId="15438"/>
    <cellStyle name="Normal 180 3 4 3" xfId="15439"/>
    <cellStyle name="Normal 180 3 5" xfId="15440"/>
    <cellStyle name="Normal 180 3 5 2" xfId="15441"/>
    <cellStyle name="Normal 180 3 5 2 2" xfId="15442"/>
    <cellStyle name="Normal 180 3 5 3" xfId="15443"/>
    <cellStyle name="Normal 180 3 6" xfId="15444"/>
    <cellStyle name="Normal 180 4" xfId="15445"/>
    <cellStyle name="Normal 180 4 2" xfId="15446"/>
    <cellStyle name="Normal 180 4 2 2" xfId="15447"/>
    <cellStyle name="Normal 180 4 3" xfId="15448"/>
    <cellStyle name="Normal 180 5" xfId="15449"/>
    <cellStyle name="Normal 180 5 2" xfId="15450"/>
    <cellStyle name="Normal 180 5 2 2" xfId="15451"/>
    <cellStyle name="Normal 180 5 3" xfId="15452"/>
    <cellStyle name="Normal 180 6" xfId="15453"/>
    <cellStyle name="Normal 180 6 2" xfId="15454"/>
    <cellStyle name="Normal 180 6 2 2" xfId="15455"/>
    <cellStyle name="Normal 180 6 3" xfId="15456"/>
    <cellStyle name="Normal 180 7" xfId="15457"/>
    <cellStyle name="Normal 181" xfId="15458"/>
    <cellStyle name="Normal 181 2" xfId="15459"/>
    <cellStyle name="Normal 181 2 2" xfId="15460"/>
    <cellStyle name="Normal 181 2 2 2" xfId="15461"/>
    <cellStyle name="Normal 181 2 3" xfId="15462"/>
    <cellStyle name="Normal 181 2 3 2" xfId="15463"/>
    <cellStyle name="Normal 181 2 3 2 2" xfId="15464"/>
    <cellStyle name="Normal 181 2 3 3" xfId="15465"/>
    <cellStyle name="Normal 181 2 4" xfId="15466"/>
    <cellStyle name="Normal 181 2 4 2" xfId="15467"/>
    <cellStyle name="Normal 181 2 4 2 2" xfId="15468"/>
    <cellStyle name="Normal 181 2 4 3" xfId="15469"/>
    <cellStyle name="Normal 181 2 5" xfId="15470"/>
    <cellStyle name="Normal 181 3" xfId="15471"/>
    <cellStyle name="Normal 181 3 2" xfId="15472"/>
    <cellStyle name="Normal 181 3 2 2" xfId="15473"/>
    <cellStyle name="Normal 181 3 2 2 2" xfId="15474"/>
    <cellStyle name="Normal 181 3 2 3" xfId="15475"/>
    <cellStyle name="Normal 181 3 2 3 2" xfId="15476"/>
    <cellStyle name="Normal 181 3 2 3 2 2" xfId="15477"/>
    <cellStyle name="Normal 181 3 2 3 3" xfId="15478"/>
    <cellStyle name="Normal 181 3 2 4" xfId="15479"/>
    <cellStyle name="Normal 181 3 3" xfId="15480"/>
    <cellStyle name="Normal 181 3 3 2" xfId="15481"/>
    <cellStyle name="Normal 181 3 3 2 2" xfId="15482"/>
    <cellStyle name="Normal 181 3 3 3" xfId="15483"/>
    <cellStyle name="Normal 181 3 4" xfId="15484"/>
    <cellStyle name="Normal 181 3 4 2" xfId="15485"/>
    <cellStyle name="Normal 181 3 4 2 2" xfId="15486"/>
    <cellStyle name="Normal 181 3 4 3" xfId="15487"/>
    <cellStyle name="Normal 181 3 5" xfId="15488"/>
    <cellStyle name="Normal 181 3 5 2" xfId="15489"/>
    <cellStyle name="Normal 181 3 5 2 2" xfId="15490"/>
    <cellStyle name="Normal 181 3 5 3" xfId="15491"/>
    <cellStyle name="Normal 181 3 6" xfId="15492"/>
    <cellStyle name="Normal 181 4" xfId="15493"/>
    <cellStyle name="Normal 181 4 2" xfId="15494"/>
    <cellStyle name="Normal 181 4 2 2" xfId="15495"/>
    <cellStyle name="Normal 181 4 3" xfId="15496"/>
    <cellStyle name="Normal 181 5" xfId="15497"/>
    <cellStyle name="Normal 181 5 2" xfId="15498"/>
    <cellStyle name="Normal 181 5 2 2" xfId="15499"/>
    <cellStyle name="Normal 181 5 3" xfId="15500"/>
    <cellStyle name="Normal 181 6" xfId="15501"/>
    <cellStyle name="Normal 181 6 2" xfId="15502"/>
    <cellStyle name="Normal 181 6 2 2" xfId="15503"/>
    <cellStyle name="Normal 181 6 3" xfId="15504"/>
    <cellStyle name="Normal 181 7" xfId="15505"/>
    <cellStyle name="Normal 182" xfId="15506"/>
    <cellStyle name="Normal 182 2" xfId="15507"/>
    <cellStyle name="Normal 182 2 2" xfId="15508"/>
    <cellStyle name="Normal 182 2 2 2" xfId="15509"/>
    <cellStyle name="Normal 182 2 3" xfId="15510"/>
    <cellStyle name="Normal 182 2 3 2" xfId="15511"/>
    <cellStyle name="Normal 182 2 3 2 2" xfId="15512"/>
    <cellStyle name="Normal 182 2 3 3" xfId="15513"/>
    <cellStyle name="Normal 182 2 4" xfId="15514"/>
    <cellStyle name="Normal 182 2 4 2" xfId="15515"/>
    <cellStyle name="Normal 182 2 4 2 2" xfId="15516"/>
    <cellStyle name="Normal 182 2 4 3" xfId="15517"/>
    <cellStyle name="Normal 182 2 5" xfId="15518"/>
    <cellStyle name="Normal 182 3" xfId="15519"/>
    <cellStyle name="Normal 182 3 2" xfId="15520"/>
    <cellStyle name="Normal 182 3 2 2" xfId="15521"/>
    <cellStyle name="Normal 182 3 2 2 2" xfId="15522"/>
    <cellStyle name="Normal 182 3 2 3" xfId="15523"/>
    <cellStyle name="Normal 182 3 2 3 2" xfId="15524"/>
    <cellStyle name="Normal 182 3 2 3 2 2" xfId="15525"/>
    <cellStyle name="Normal 182 3 2 3 3" xfId="15526"/>
    <cellStyle name="Normal 182 3 2 4" xfId="15527"/>
    <cellStyle name="Normal 182 3 3" xfId="15528"/>
    <cellStyle name="Normal 182 3 3 2" xfId="15529"/>
    <cellStyle name="Normal 182 3 3 2 2" xfId="15530"/>
    <cellStyle name="Normal 182 3 3 3" xfId="15531"/>
    <cellStyle name="Normal 182 3 4" xfId="15532"/>
    <cellStyle name="Normal 182 3 4 2" xfId="15533"/>
    <cellStyle name="Normal 182 3 4 2 2" xfId="15534"/>
    <cellStyle name="Normal 182 3 4 3" xfId="15535"/>
    <cellStyle name="Normal 182 3 5" xfId="15536"/>
    <cellStyle name="Normal 182 3 5 2" xfId="15537"/>
    <cellStyle name="Normal 182 3 5 2 2" xfId="15538"/>
    <cellStyle name="Normal 182 3 5 3" xfId="15539"/>
    <cellStyle name="Normal 182 3 6" xfId="15540"/>
    <cellStyle name="Normal 182 4" xfId="15541"/>
    <cellStyle name="Normal 182 4 2" xfId="15542"/>
    <cellStyle name="Normal 182 4 2 2" xfId="15543"/>
    <cellStyle name="Normal 182 4 3" xfId="15544"/>
    <cellStyle name="Normal 182 5" xfId="15545"/>
    <cellStyle name="Normal 182 5 2" xfId="15546"/>
    <cellStyle name="Normal 182 5 2 2" xfId="15547"/>
    <cellStyle name="Normal 182 5 3" xfId="15548"/>
    <cellStyle name="Normal 182 6" xfId="15549"/>
    <cellStyle name="Normal 182 6 2" xfId="15550"/>
    <cellStyle name="Normal 182 6 2 2" xfId="15551"/>
    <cellStyle name="Normal 182 6 3" xfId="15552"/>
    <cellStyle name="Normal 182 7" xfId="15553"/>
    <cellStyle name="Normal 183" xfId="15554"/>
    <cellStyle name="Normal 183 2" xfId="15555"/>
    <cellStyle name="Normal 183 2 2" xfId="15556"/>
    <cellStyle name="Normal 183 2 2 2" xfId="15557"/>
    <cellStyle name="Normal 183 2 3" xfId="15558"/>
    <cellStyle name="Normal 183 2 3 2" xfId="15559"/>
    <cellStyle name="Normal 183 2 3 2 2" xfId="15560"/>
    <cellStyle name="Normal 183 2 3 3" xfId="15561"/>
    <cellStyle name="Normal 183 2 4" xfId="15562"/>
    <cellStyle name="Normal 183 2 4 2" xfId="15563"/>
    <cellStyle name="Normal 183 2 4 2 2" xfId="15564"/>
    <cellStyle name="Normal 183 2 4 3" xfId="15565"/>
    <cellStyle name="Normal 183 2 5" xfId="15566"/>
    <cellStyle name="Normal 183 3" xfId="15567"/>
    <cellStyle name="Normal 183 3 2" xfId="15568"/>
    <cellStyle name="Normal 183 3 2 2" xfId="15569"/>
    <cellStyle name="Normal 183 3 2 2 2" xfId="15570"/>
    <cellStyle name="Normal 183 3 2 3" xfId="15571"/>
    <cellStyle name="Normal 183 3 2 3 2" xfId="15572"/>
    <cellStyle name="Normal 183 3 2 3 2 2" xfId="15573"/>
    <cellStyle name="Normal 183 3 2 3 3" xfId="15574"/>
    <cellStyle name="Normal 183 3 2 4" xfId="15575"/>
    <cellStyle name="Normal 183 3 3" xfId="15576"/>
    <cellStyle name="Normal 183 3 3 2" xfId="15577"/>
    <cellStyle name="Normal 183 3 3 2 2" xfId="15578"/>
    <cellStyle name="Normal 183 3 3 3" xfId="15579"/>
    <cellStyle name="Normal 183 3 4" xfId="15580"/>
    <cellStyle name="Normal 183 3 4 2" xfId="15581"/>
    <cellStyle name="Normal 183 3 4 2 2" xfId="15582"/>
    <cellStyle name="Normal 183 3 4 3" xfId="15583"/>
    <cellStyle name="Normal 183 3 5" xfId="15584"/>
    <cellStyle name="Normal 183 3 5 2" xfId="15585"/>
    <cellStyle name="Normal 183 3 5 2 2" xfId="15586"/>
    <cellStyle name="Normal 183 3 5 3" xfId="15587"/>
    <cellStyle name="Normal 183 3 6" xfId="15588"/>
    <cellStyle name="Normal 183 4" xfId="15589"/>
    <cellStyle name="Normal 183 4 2" xfId="15590"/>
    <cellStyle name="Normal 183 4 2 2" xfId="15591"/>
    <cellStyle name="Normal 183 4 3" xfId="15592"/>
    <cellStyle name="Normal 183 5" xfId="15593"/>
    <cellStyle name="Normal 183 5 2" xfId="15594"/>
    <cellStyle name="Normal 183 5 2 2" xfId="15595"/>
    <cellStyle name="Normal 183 5 3" xfId="15596"/>
    <cellStyle name="Normal 183 6" xfId="15597"/>
    <cellStyle name="Normal 183 6 2" xfId="15598"/>
    <cellStyle name="Normal 183 6 2 2" xfId="15599"/>
    <cellStyle name="Normal 183 6 3" xfId="15600"/>
    <cellStyle name="Normal 183 7" xfId="15601"/>
    <cellStyle name="Normal 184" xfId="15602"/>
    <cellStyle name="Normal 184 2" xfId="15603"/>
    <cellStyle name="Normal 184 2 2" xfId="15604"/>
    <cellStyle name="Normal 184 2 2 2" xfId="15605"/>
    <cellStyle name="Normal 184 2 3" xfId="15606"/>
    <cellStyle name="Normal 184 2 3 2" xfId="15607"/>
    <cellStyle name="Normal 184 2 3 2 2" xfId="15608"/>
    <cellStyle name="Normal 184 2 3 3" xfId="15609"/>
    <cellStyle name="Normal 184 2 4" xfId="15610"/>
    <cellStyle name="Normal 184 2 4 2" xfId="15611"/>
    <cellStyle name="Normal 184 2 4 2 2" xfId="15612"/>
    <cellStyle name="Normal 184 2 4 3" xfId="15613"/>
    <cellStyle name="Normal 184 2 5" xfId="15614"/>
    <cellStyle name="Normal 184 3" xfId="15615"/>
    <cellStyle name="Normal 184 3 2" xfId="15616"/>
    <cellStyle name="Normal 184 3 2 2" xfId="15617"/>
    <cellStyle name="Normal 184 3 2 2 2" xfId="15618"/>
    <cellStyle name="Normal 184 3 2 3" xfId="15619"/>
    <cellStyle name="Normal 184 3 2 3 2" xfId="15620"/>
    <cellStyle name="Normal 184 3 2 3 2 2" xfId="15621"/>
    <cellStyle name="Normal 184 3 2 3 3" xfId="15622"/>
    <cellStyle name="Normal 184 3 2 4" xfId="15623"/>
    <cellStyle name="Normal 184 3 3" xfId="15624"/>
    <cellStyle name="Normal 184 3 3 2" xfId="15625"/>
    <cellStyle name="Normal 184 3 3 2 2" xfId="15626"/>
    <cellStyle name="Normal 184 3 3 3" xfId="15627"/>
    <cellStyle name="Normal 184 3 4" xfId="15628"/>
    <cellStyle name="Normal 184 3 4 2" xfId="15629"/>
    <cellStyle name="Normal 184 3 4 2 2" xfId="15630"/>
    <cellStyle name="Normal 184 3 4 3" xfId="15631"/>
    <cellStyle name="Normal 184 3 5" xfId="15632"/>
    <cellStyle name="Normal 184 3 5 2" xfId="15633"/>
    <cellStyle name="Normal 184 3 5 2 2" xfId="15634"/>
    <cellStyle name="Normal 184 3 5 3" xfId="15635"/>
    <cellStyle name="Normal 184 3 6" xfId="15636"/>
    <cellStyle name="Normal 184 4" xfId="15637"/>
    <cellStyle name="Normal 184 4 2" xfId="15638"/>
    <cellStyle name="Normal 184 4 2 2" xfId="15639"/>
    <cellStyle name="Normal 184 4 3" xfId="15640"/>
    <cellStyle name="Normal 184 5" xfId="15641"/>
    <cellStyle name="Normal 184 5 2" xfId="15642"/>
    <cellStyle name="Normal 184 5 2 2" xfId="15643"/>
    <cellStyle name="Normal 184 5 3" xfId="15644"/>
    <cellStyle name="Normal 184 6" xfId="15645"/>
    <cellStyle name="Normal 184 6 2" xfId="15646"/>
    <cellStyle name="Normal 184 6 2 2" xfId="15647"/>
    <cellStyle name="Normal 184 6 3" xfId="15648"/>
    <cellStyle name="Normal 184 7" xfId="15649"/>
    <cellStyle name="Normal 185" xfId="15650"/>
    <cellStyle name="Normal 185 2" xfId="15651"/>
    <cellStyle name="Normal 185 2 2" xfId="15652"/>
    <cellStyle name="Normal 185 2 2 2" xfId="15653"/>
    <cellStyle name="Normal 185 2 3" xfId="15654"/>
    <cellStyle name="Normal 185 2 3 2" xfId="15655"/>
    <cellStyle name="Normal 185 2 3 2 2" xfId="15656"/>
    <cellStyle name="Normal 185 2 3 3" xfId="15657"/>
    <cellStyle name="Normal 185 2 4" xfId="15658"/>
    <cellStyle name="Normal 185 2 4 2" xfId="15659"/>
    <cellStyle name="Normal 185 2 4 2 2" xfId="15660"/>
    <cellStyle name="Normal 185 2 4 3" xfId="15661"/>
    <cellStyle name="Normal 185 2 5" xfId="15662"/>
    <cellStyle name="Normal 185 3" xfId="15663"/>
    <cellStyle name="Normal 185 3 2" xfId="15664"/>
    <cellStyle name="Normal 185 3 2 2" xfId="15665"/>
    <cellStyle name="Normal 185 3 2 2 2" xfId="15666"/>
    <cellStyle name="Normal 185 3 2 3" xfId="15667"/>
    <cellStyle name="Normal 185 3 2 3 2" xfId="15668"/>
    <cellStyle name="Normal 185 3 2 3 2 2" xfId="15669"/>
    <cellStyle name="Normal 185 3 2 3 3" xfId="15670"/>
    <cellStyle name="Normal 185 3 2 4" xfId="15671"/>
    <cellStyle name="Normal 185 3 3" xfId="15672"/>
    <cellStyle name="Normal 185 3 3 2" xfId="15673"/>
    <cellStyle name="Normal 185 3 3 2 2" xfId="15674"/>
    <cellStyle name="Normal 185 3 3 3" xfId="15675"/>
    <cellStyle name="Normal 185 3 4" xfId="15676"/>
    <cellStyle name="Normal 185 3 4 2" xfId="15677"/>
    <cellStyle name="Normal 185 3 4 2 2" xfId="15678"/>
    <cellStyle name="Normal 185 3 4 3" xfId="15679"/>
    <cellStyle name="Normal 185 3 5" xfId="15680"/>
    <cellStyle name="Normal 185 3 5 2" xfId="15681"/>
    <cellStyle name="Normal 185 3 5 2 2" xfId="15682"/>
    <cellStyle name="Normal 185 3 5 3" xfId="15683"/>
    <cellStyle name="Normal 185 3 6" xfId="15684"/>
    <cellStyle name="Normal 185 4" xfId="15685"/>
    <cellStyle name="Normal 185 4 2" xfId="15686"/>
    <cellStyle name="Normal 185 4 2 2" xfId="15687"/>
    <cellStyle name="Normal 185 4 3" xfId="15688"/>
    <cellStyle name="Normal 185 5" xfId="15689"/>
    <cellStyle name="Normal 185 5 2" xfId="15690"/>
    <cellStyle name="Normal 185 5 2 2" xfId="15691"/>
    <cellStyle name="Normal 185 5 3" xfId="15692"/>
    <cellStyle name="Normal 185 6" xfId="15693"/>
    <cellStyle name="Normal 185 6 2" xfId="15694"/>
    <cellStyle name="Normal 185 6 2 2" xfId="15695"/>
    <cellStyle name="Normal 185 6 3" xfId="15696"/>
    <cellStyle name="Normal 185 7" xfId="15697"/>
    <cellStyle name="Normal 186" xfId="15698"/>
    <cellStyle name="Normal 186 2" xfId="15699"/>
    <cellStyle name="Normal 186 2 2" xfId="15700"/>
    <cellStyle name="Normal 186 2 2 2" xfId="15701"/>
    <cellStyle name="Normal 186 2 3" xfId="15702"/>
    <cellStyle name="Normal 186 2 3 2" xfId="15703"/>
    <cellStyle name="Normal 186 2 3 2 2" xfId="15704"/>
    <cellStyle name="Normal 186 2 3 3" xfId="15705"/>
    <cellStyle name="Normal 186 2 4" xfId="15706"/>
    <cellStyle name="Normal 186 2 4 2" xfId="15707"/>
    <cellStyle name="Normal 186 2 4 2 2" xfId="15708"/>
    <cellStyle name="Normal 186 2 4 3" xfId="15709"/>
    <cellStyle name="Normal 186 2 5" xfId="15710"/>
    <cellStyle name="Normal 186 3" xfId="15711"/>
    <cellStyle name="Normal 186 3 2" xfId="15712"/>
    <cellStyle name="Normal 186 3 2 2" xfId="15713"/>
    <cellStyle name="Normal 186 3 2 2 2" xfId="15714"/>
    <cellStyle name="Normal 186 3 2 3" xfId="15715"/>
    <cellStyle name="Normal 186 3 2 3 2" xfId="15716"/>
    <cellStyle name="Normal 186 3 2 3 2 2" xfId="15717"/>
    <cellStyle name="Normal 186 3 2 3 3" xfId="15718"/>
    <cellStyle name="Normal 186 3 2 4" xfId="15719"/>
    <cellStyle name="Normal 186 3 3" xfId="15720"/>
    <cellStyle name="Normal 186 3 3 2" xfId="15721"/>
    <cellStyle name="Normal 186 3 3 2 2" xfId="15722"/>
    <cellStyle name="Normal 186 3 3 3" xfId="15723"/>
    <cellStyle name="Normal 186 3 4" xfId="15724"/>
    <cellStyle name="Normal 186 3 4 2" xfId="15725"/>
    <cellStyle name="Normal 186 3 4 2 2" xfId="15726"/>
    <cellStyle name="Normal 186 3 4 3" xfId="15727"/>
    <cellStyle name="Normal 186 3 5" xfId="15728"/>
    <cellStyle name="Normal 186 3 5 2" xfId="15729"/>
    <cellStyle name="Normal 186 3 5 2 2" xfId="15730"/>
    <cellStyle name="Normal 186 3 5 3" xfId="15731"/>
    <cellStyle name="Normal 186 3 6" xfId="15732"/>
    <cellStyle name="Normal 186 4" xfId="15733"/>
    <cellStyle name="Normal 186 4 2" xfId="15734"/>
    <cellStyle name="Normal 186 4 2 2" xfId="15735"/>
    <cellStyle name="Normal 186 4 3" xfId="15736"/>
    <cellStyle name="Normal 186 5" xfId="15737"/>
    <cellStyle name="Normal 186 5 2" xfId="15738"/>
    <cellStyle name="Normal 186 5 2 2" xfId="15739"/>
    <cellStyle name="Normal 186 5 3" xfId="15740"/>
    <cellStyle name="Normal 186 6" xfId="15741"/>
    <cellStyle name="Normal 186 6 2" xfId="15742"/>
    <cellStyle name="Normal 186 6 2 2" xfId="15743"/>
    <cellStyle name="Normal 186 6 3" xfId="15744"/>
    <cellStyle name="Normal 186 7" xfId="15745"/>
    <cellStyle name="Normal 187" xfId="15746"/>
    <cellStyle name="Normal 187 2" xfId="15747"/>
    <cellStyle name="Normal 187 2 2" xfId="15748"/>
    <cellStyle name="Normal 187 2 2 2" xfId="15749"/>
    <cellStyle name="Normal 187 2 3" xfId="15750"/>
    <cellStyle name="Normal 187 2 3 2" xfId="15751"/>
    <cellStyle name="Normal 187 2 3 2 2" xfId="15752"/>
    <cellStyle name="Normal 187 2 3 3" xfId="15753"/>
    <cellStyle name="Normal 187 2 4" xfId="15754"/>
    <cellStyle name="Normal 187 2 4 2" xfId="15755"/>
    <cellStyle name="Normal 187 2 4 2 2" xfId="15756"/>
    <cellStyle name="Normal 187 2 4 3" xfId="15757"/>
    <cellStyle name="Normal 187 2 5" xfId="15758"/>
    <cellStyle name="Normal 187 3" xfId="15759"/>
    <cellStyle name="Normal 187 3 2" xfId="15760"/>
    <cellStyle name="Normal 187 3 2 2" xfId="15761"/>
    <cellStyle name="Normal 187 3 2 2 2" xfId="15762"/>
    <cellStyle name="Normal 187 3 2 3" xfId="15763"/>
    <cellStyle name="Normal 187 3 2 3 2" xfId="15764"/>
    <cellStyle name="Normal 187 3 2 3 2 2" xfId="15765"/>
    <cellStyle name="Normal 187 3 2 3 3" xfId="15766"/>
    <cellStyle name="Normal 187 3 2 4" xfId="15767"/>
    <cellStyle name="Normal 187 3 3" xfId="15768"/>
    <cellStyle name="Normal 187 3 3 2" xfId="15769"/>
    <cellStyle name="Normal 187 3 3 2 2" xfId="15770"/>
    <cellStyle name="Normal 187 3 3 3" xfId="15771"/>
    <cellStyle name="Normal 187 3 4" xfId="15772"/>
    <cellStyle name="Normal 187 3 4 2" xfId="15773"/>
    <cellStyle name="Normal 187 3 4 2 2" xfId="15774"/>
    <cellStyle name="Normal 187 3 4 3" xfId="15775"/>
    <cellStyle name="Normal 187 3 5" xfId="15776"/>
    <cellStyle name="Normal 187 3 5 2" xfId="15777"/>
    <cellStyle name="Normal 187 3 5 2 2" xfId="15778"/>
    <cellStyle name="Normal 187 3 5 3" xfId="15779"/>
    <cellStyle name="Normal 187 3 6" xfId="15780"/>
    <cellStyle name="Normal 187 4" xfId="15781"/>
    <cellStyle name="Normal 187 4 2" xfId="15782"/>
    <cellStyle name="Normal 187 4 2 2" xfId="15783"/>
    <cellStyle name="Normal 187 4 3" xfId="15784"/>
    <cellStyle name="Normal 187 5" xfId="15785"/>
    <cellStyle name="Normal 187 5 2" xfId="15786"/>
    <cellStyle name="Normal 187 5 2 2" xfId="15787"/>
    <cellStyle name="Normal 187 5 3" xfId="15788"/>
    <cellStyle name="Normal 187 6" xfId="15789"/>
    <cellStyle name="Normal 187 6 2" xfId="15790"/>
    <cellStyle name="Normal 187 6 2 2" xfId="15791"/>
    <cellStyle name="Normal 187 6 3" xfId="15792"/>
    <cellStyle name="Normal 187 7" xfId="15793"/>
    <cellStyle name="Normal 188" xfId="15794"/>
    <cellStyle name="Normal 188 2" xfId="15795"/>
    <cellStyle name="Normal 188 2 2" xfId="15796"/>
    <cellStyle name="Normal 188 2 2 2" xfId="15797"/>
    <cellStyle name="Normal 188 2 3" xfId="15798"/>
    <cellStyle name="Normal 188 2 3 2" xfId="15799"/>
    <cellStyle name="Normal 188 2 3 2 2" xfId="15800"/>
    <cellStyle name="Normal 188 2 3 3" xfId="15801"/>
    <cellStyle name="Normal 188 2 4" xfId="15802"/>
    <cellStyle name="Normal 188 2 4 2" xfId="15803"/>
    <cellStyle name="Normal 188 2 4 2 2" xfId="15804"/>
    <cellStyle name="Normal 188 2 4 3" xfId="15805"/>
    <cellStyle name="Normal 188 2 5" xfId="15806"/>
    <cellStyle name="Normal 188 3" xfId="15807"/>
    <cellStyle name="Normal 188 3 2" xfId="15808"/>
    <cellStyle name="Normal 188 3 2 2" xfId="15809"/>
    <cellStyle name="Normal 188 3 2 2 2" xfId="15810"/>
    <cellStyle name="Normal 188 3 2 3" xfId="15811"/>
    <cellStyle name="Normal 188 3 2 3 2" xfId="15812"/>
    <cellStyle name="Normal 188 3 2 3 2 2" xfId="15813"/>
    <cellStyle name="Normal 188 3 2 3 3" xfId="15814"/>
    <cellStyle name="Normal 188 3 2 4" xfId="15815"/>
    <cellStyle name="Normal 188 3 3" xfId="15816"/>
    <cellStyle name="Normal 188 3 3 2" xfId="15817"/>
    <cellStyle name="Normal 188 3 3 2 2" xfId="15818"/>
    <cellStyle name="Normal 188 3 3 3" xfId="15819"/>
    <cellStyle name="Normal 188 3 4" xfId="15820"/>
    <cellStyle name="Normal 188 3 4 2" xfId="15821"/>
    <cellStyle name="Normal 188 3 4 2 2" xfId="15822"/>
    <cellStyle name="Normal 188 3 4 3" xfId="15823"/>
    <cellStyle name="Normal 188 3 5" xfId="15824"/>
    <cellStyle name="Normal 188 3 5 2" xfId="15825"/>
    <cellStyle name="Normal 188 3 5 2 2" xfId="15826"/>
    <cellStyle name="Normal 188 3 5 3" xfId="15827"/>
    <cellStyle name="Normal 188 3 6" xfId="15828"/>
    <cellStyle name="Normal 188 4" xfId="15829"/>
    <cellStyle name="Normal 188 4 2" xfId="15830"/>
    <cellStyle name="Normal 188 4 2 2" xfId="15831"/>
    <cellStyle name="Normal 188 4 3" xfId="15832"/>
    <cellStyle name="Normal 188 5" xfId="15833"/>
    <cellStyle name="Normal 188 5 2" xfId="15834"/>
    <cellStyle name="Normal 188 5 2 2" xfId="15835"/>
    <cellStyle name="Normal 188 5 3" xfId="15836"/>
    <cellStyle name="Normal 188 6" xfId="15837"/>
    <cellStyle name="Normal 188 6 2" xfId="15838"/>
    <cellStyle name="Normal 188 6 2 2" xfId="15839"/>
    <cellStyle name="Normal 188 6 3" xfId="15840"/>
    <cellStyle name="Normal 188 7" xfId="15841"/>
    <cellStyle name="Normal 189" xfId="15842"/>
    <cellStyle name="Normal 189 2" xfId="15843"/>
    <cellStyle name="Normal 189 2 2" xfId="15844"/>
    <cellStyle name="Normal 189 2 2 2" xfId="15845"/>
    <cellStyle name="Normal 189 2 3" xfId="15846"/>
    <cellStyle name="Normal 189 2 3 2" xfId="15847"/>
    <cellStyle name="Normal 189 2 3 2 2" xfId="15848"/>
    <cellStyle name="Normal 189 2 3 3" xfId="15849"/>
    <cellStyle name="Normal 189 2 4" xfId="15850"/>
    <cellStyle name="Normal 189 2 4 2" xfId="15851"/>
    <cellStyle name="Normal 189 2 4 2 2" xfId="15852"/>
    <cellStyle name="Normal 189 2 4 3" xfId="15853"/>
    <cellStyle name="Normal 189 2 5" xfId="15854"/>
    <cellStyle name="Normal 189 3" xfId="15855"/>
    <cellStyle name="Normal 189 3 2" xfId="15856"/>
    <cellStyle name="Normal 189 3 2 2" xfId="15857"/>
    <cellStyle name="Normal 189 3 2 2 2" xfId="15858"/>
    <cellStyle name="Normal 189 3 2 3" xfId="15859"/>
    <cellStyle name="Normal 189 3 2 3 2" xfId="15860"/>
    <cellStyle name="Normal 189 3 2 3 2 2" xfId="15861"/>
    <cellStyle name="Normal 189 3 2 3 3" xfId="15862"/>
    <cellStyle name="Normal 189 3 2 4" xfId="15863"/>
    <cellStyle name="Normal 189 3 3" xfId="15864"/>
    <cellStyle name="Normal 189 3 3 2" xfId="15865"/>
    <cellStyle name="Normal 189 3 3 2 2" xfId="15866"/>
    <cellStyle name="Normal 189 3 3 3" xfId="15867"/>
    <cellStyle name="Normal 189 3 4" xfId="15868"/>
    <cellStyle name="Normal 189 3 4 2" xfId="15869"/>
    <cellStyle name="Normal 189 3 4 2 2" xfId="15870"/>
    <cellStyle name="Normal 189 3 4 3" xfId="15871"/>
    <cellStyle name="Normal 189 3 5" xfId="15872"/>
    <cellStyle name="Normal 189 3 5 2" xfId="15873"/>
    <cellStyle name="Normal 189 3 5 2 2" xfId="15874"/>
    <cellStyle name="Normal 189 3 5 3" xfId="15875"/>
    <cellStyle name="Normal 189 3 6" xfId="15876"/>
    <cellStyle name="Normal 189 4" xfId="15877"/>
    <cellStyle name="Normal 189 4 2" xfId="15878"/>
    <cellStyle name="Normal 189 4 2 2" xfId="15879"/>
    <cellStyle name="Normal 189 4 3" xfId="15880"/>
    <cellStyle name="Normal 189 5" xfId="15881"/>
    <cellStyle name="Normal 189 5 2" xfId="15882"/>
    <cellStyle name="Normal 189 5 2 2" xfId="15883"/>
    <cellStyle name="Normal 189 5 3" xfId="15884"/>
    <cellStyle name="Normal 189 6" xfId="15885"/>
    <cellStyle name="Normal 189 6 2" xfId="15886"/>
    <cellStyle name="Normal 189 6 2 2" xfId="15887"/>
    <cellStyle name="Normal 189 6 3" xfId="15888"/>
    <cellStyle name="Normal 189 7" xfId="15889"/>
    <cellStyle name="Normal 19" xfId="15890"/>
    <cellStyle name="Normal 19 2" xfId="15891"/>
    <cellStyle name="Normal 19 2 2" xfId="15892"/>
    <cellStyle name="Normal 19 2 2 2" xfId="15893"/>
    <cellStyle name="Normal 19 2 2 2 2" xfId="15894"/>
    <cellStyle name="Normal 19 2 2 3" xfId="15895"/>
    <cellStyle name="Normal 19 2 2 3 2" xfId="15896"/>
    <cellStyle name="Normal 19 2 2 3 2 2" xfId="15897"/>
    <cellStyle name="Normal 19 2 2 3 3" xfId="15898"/>
    <cellStyle name="Normal 19 2 2 4" xfId="15899"/>
    <cellStyle name="Normal 19 2 2 4 2" xfId="15900"/>
    <cellStyle name="Normal 19 2 2 4 2 2" xfId="15901"/>
    <cellStyle name="Normal 19 2 2 4 3" xfId="15902"/>
    <cellStyle name="Normal 19 2 2 5" xfId="15903"/>
    <cellStyle name="Normal 19 2 3" xfId="15904"/>
    <cellStyle name="Normal 19 2 3 2" xfId="15905"/>
    <cellStyle name="Normal 19 2 3 2 2" xfId="15906"/>
    <cellStyle name="Normal 19 2 3 3" xfId="15907"/>
    <cellStyle name="Normal 19 2 4" xfId="15908"/>
    <cellStyle name="Normal 19 2 4 2" xfId="15909"/>
    <cellStyle name="Normal 19 2 4 2 2" xfId="15910"/>
    <cellStyle name="Normal 19 2 4 3" xfId="15911"/>
    <cellStyle name="Normal 19 2 5" xfId="15912"/>
    <cellStyle name="Normal 19 2 5 2" xfId="15913"/>
    <cellStyle name="Normal 19 2 5 2 2" xfId="15914"/>
    <cellStyle name="Normal 19 2 5 3" xfId="15915"/>
    <cellStyle name="Normal 19 2 6" xfId="15916"/>
    <cellStyle name="Normal 19 3" xfId="15917"/>
    <cellStyle name="Normal 19 3 2" xfId="15918"/>
    <cellStyle name="Normal 19 3 2 2" xfId="15919"/>
    <cellStyle name="Normal 19 3 3" xfId="15920"/>
    <cellStyle name="Normal 19 3 3 2" xfId="15921"/>
    <cellStyle name="Normal 19 3 3 2 2" xfId="15922"/>
    <cellStyle name="Normal 19 3 3 3" xfId="15923"/>
    <cellStyle name="Normal 19 3 4" xfId="15924"/>
    <cellStyle name="Normal 19 3 4 2" xfId="15925"/>
    <cellStyle name="Normal 19 3 4 2 2" xfId="15926"/>
    <cellStyle name="Normal 19 3 4 3" xfId="15927"/>
    <cellStyle name="Normal 19 3 5" xfId="15928"/>
    <cellStyle name="Normal 19 4" xfId="15929"/>
    <cellStyle name="Normal 19 4 2" xfId="15930"/>
    <cellStyle name="Normal 19 4 2 2" xfId="15931"/>
    <cellStyle name="Normal 19 4 2 2 2" xfId="15932"/>
    <cellStyle name="Normal 19 4 2 3" xfId="15933"/>
    <cellStyle name="Normal 19 4 2 3 2" xfId="15934"/>
    <cellStyle name="Normal 19 4 2 3 2 2" xfId="15935"/>
    <cellStyle name="Normal 19 4 2 3 3" xfId="15936"/>
    <cellStyle name="Normal 19 4 2 4" xfId="15937"/>
    <cellStyle name="Normal 19 4 3" xfId="15938"/>
    <cellStyle name="Normal 19 4 3 2" xfId="15939"/>
    <cellStyle name="Normal 19 4 3 2 2" xfId="15940"/>
    <cellStyle name="Normal 19 4 3 3" xfId="15941"/>
    <cellStyle name="Normal 19 4 4" xfId="15942"/>
    <cellStyle name="Normal 19 4 4 2" xfId="15943"/>
    <cellStyle name="Normal 19 4 4 2 2" xfId="15944"/>
    <cellStyle name="Normal 19 4 4 3" xfId="15945"/>
    <cellStyle name="Normal 19 4 5" xfId="15946"/>
    <cellStyle name="Normal 19 4 5 2" xfId="15947"/>
    <cellStyle name="Normal 19 4 5 2 2" xfId="15948"/>
    <cellStyle name="Normal 19 4 5 3" xfId="15949"/>
    <cellStyle name="Normal 19 4 6" xfId="15950"/>
    <cellStyle name="Normal 19 5" xfId="15951"/>
    <cellStyle name="Normal 190" xfId="15952"/>
    <cellStyle name="Normal 190 2" xfId="15953"/>
    <cellStyle name="Normal 190 2 2" xfId="15954"/>
    <cellStyle name="Normal 190 2 2 2" xfId="15955"/>
    <cellStyle name="Normal 190 2 3" xfId="15956"/>
    <cellStyle name="Normal 190 2 3 2" xfId="15957"/>
    <cellStyle name="Normal 190 2 3 2 2" xfId="15958"/>
    <cellStyle name="Normal 190 2 3 3" xfId="15959"/>
    <cellStyle name="Normal 190 2 4" xfId="15960"/>
    <cellStyle name="Normal 190 2 4 2" xfId="15961"/>
    <cellStyle name="Normal 190 2 4 2 2" xfId="15962"/>
    <cellStyle name="Normal 190 2 4 3" xfId="15963"/>
    <cellStyle name="Normal 190 2 5" xfId="15964"/>
    <cellStyle name="Normal 190 3" xfId="15965"/>
    <cellStyle name="Normal 190 3 2" xfId="15966"/>
    <cellStyle name="Normal 190 3 2 2" xfId="15967"/>
    <cellStyle name="Normal 190 3 2 2 2" xfId="15968"/>
    <cellStyle name="Normal 190 3 2 3" xfId="15969"/>
    <cellStyle name="Normal 190 3 2 3 2" xfId="15970"/>
    <cellStyle name="Normal 190 3 2 3 2 2" xfId="15971"/>
    <cellStyle name="Normal 190 3 2 3 3" xfId="15972"/>
    <cellStyle name="Normal 190 3 2 4" xfId="15973"/>
    <cellStyle name="Normal 190 3 3" xfId="15974"/>
    <cellStyle name="Normal 190 3 3 2" xfId="15975"/>
    <cellStyle name="Normal 190 3 3 2 2" xfId="15976"/>
    <cellStyle name="Normal 190 3 3 3" xfId="15977"/>
    <cellStyle name="Normal 190 3 4" xfId="15978"/>
    <cellStyle name="Normal 190 3 4 2" xfId="15979"/>
    <cellStyle name="Normal 190 3 4 2 2" xfId="15980"/>
    <cellStyle name="Normal 190 3 4 3" xfId="15981"/>
    <cellStyle name="Normal 190 3 5" xfId="15982"/>
    <cellStyle name="Normal 190 3 5 2" xfId="15983"/>
    <cellStyle name="Normal 190 3 5 2 2" xfId="15984"/>
    <cellStyle name="Normal 190 3 5 3" xfId="15985"/>
    <cellStyle name="Normal 190 3 6" xfId="15986"/>
    <cellStyle name="Normal 190 4" xfId="15987"/>
    <cellStyle name="Normal 190 4 2" xfId="15988"/>
    <cellStyle name="Normal 190 4 2 2" xfId="15989"/>
    <cellStyle name="Normal 190 4 3" xfId="15990"/>
    <cellStyle name="Normal 190 5" xfId="15991"/>
    <cellStyle name="Normal 190 5 2" xfId="15992"/>
    <cellStyle name="Normal 190 5 2 2" xfId="15993"/>
    <cellStyle name="Normal 190 5 3" xfId="15994"/>
    <cellStyle name="Normal 190 6" xfId="15995"/>
    <cellStyle name="Normal 190 6 2" xfId="15996"/>
    <cellStyle name="Normal 190 6 2 2" xfId="15997"/>
    <cellStyle name="Normal 190 6 3" xfId="15998"/>
    <cellStyle name="Normal 190 7" xfId="15999"/>
    <cellStyle name="Normal 191" xfId="16000"/>
    <cellStyle name="Normal 191 2" xfId="16001"/>
    <cellStyle name="Normal 191 2 2" xfId="16002"/>
    <cellStyle name="Normal 191 2 2 2" xfId="16003"/>
    <cellStyle name="Normal 191 2 3" xfId="16004"/>
    <cellStyle name="Normal 191 2 3 2" xfId="16005"/>
    <cellStyle name="Normal 191 2 3 2 2" xfId="16006"/>
    <cellStyle name="Normal 191 2 3 3" xfId="16007"/>
    <cellStyle name="Normal 191 2 4" xfId="16008"/>
    <cellStyle name="Normal 191 2 4 2" xfId="16009"/>
    <cellStyle name="Normal 191 2 4 2 2" xfId="16010"/>
    <cellStyle name="Normal 191 2 4 3" xfId="16011"/>
    <cellStyle name="Normal 191 2 5" xfId="16012"/>
    <cellStyle name="Normal 191 3" xfId="16013"/>
    <cellStyle name="Normal 191 3 2" xfId="16014"/>
    <cellStyle name="Normal 191 3 2 2" xfId="16015"/>
    <cellStyle name="Normal 191 3 2 2 2" xfId="16016"/>
    <cellStyle name="Normal 191 3 2 3" xfId="16017"/>
    <cellStyle name="Normal 191 3 2 3 2" xfId="16018"/>
    <cellStyle name="Normal 191 3 2 3 2 2" xfId="16019"/>
    <cellStyle name="Normal 191 3 2 3 3" xfId="16020"/>
    <cellStyle name="Normal 191 3 2 4" xfId="16021"/>
    <cellStyle name="Normal 191 3 3" xfId="16022"/>
    <cellStyle name="Normal 191 3 3 2" xfId="16023"/>
    <cellStyle name="Normal 191 3 3 2 2" xfId="16024"/>
    <cellStyle name="Normal 191 3 3 3" xfId="16025"/>
    <cellStyle name="Normal 191 3 4" xfId="16026"/>
    <cellStyle name="Normal 191 3 4 2" xfId="16027"/>
    <cellStyle name="Normal 191 3 4 2 2" xfId="16028"/>
    <cellStyle name="Normal 191 3 4 3" xfId="16029"/>
    <cellStyle name="Normal 191 3 5" xfId="16030"/>
    <cellStyle name="Normal 191 3 5 2" xfId="16031"/>
    <cellStyle name="Normal 191 3 5 2 2" xfId="16032"/>
    <cellStyle name="Normal 191 3 5 3" xfId="16033"/>
    <cellStyle name="Normal 191 3 6" xfId="16034"/>
    <cellStyle name="Normal 191 4" xfId="16035"/>
    <cellStyle name="Normal 191 4 2" xfId="16036"/>
    <cellStyle name="Normal 191 4 2 2" xfId="16037"/>
    <cellStyle name="Normal 191 4 3" xfId="16038"/>
    <cellStyle name="Normal 191 5" xfId="16039"/>
    <cellStyle name="Normal 191 5 2" xfId="16040"/>
    <cellStyle name="Normal 191 5 2 2" xfId="16041"/>
    <cellStyle name="Normal 191 5 3" xfId="16042"/>
    <cellStyle name="Normal 191 6" xfId="16043"/>
    <cellStyle name="Normal 191 6 2" xfId="16044"/>
    <cellStyle name="Normal 191 6 2 2" xfId="16045"/>
    <cellStyle name="Normal 191 6 3" xfId="16046"/>
    <cellStyle name="Normal 191 7" xfId="16047"/>
    <cellStyle name="Normal 192" xfId="16048"/>
    <cellStyle name="Normal 192 2" xfId="16049"/>
    <cellStyle name="Normal 192 2 2" xfId="16050"/>
    <cellStyle name="Normal 192 2 2 2" xfId="16051"/>
    <cellStyle name="Normal 192 2 2 2 2" xfId="16052"/>
    <cellStyle name="Normal 192 2 2 3" xfId="16053"/>
    <cellStyle name="Normal 192 2 2 3 2" xfId="16054"/>
    <cellStyle name="Normal 192 2 2 3 2 2" xfId="16055"/>
    <cellStyle name="Normal 192 2 2 3 3" xfId="16056"/>
    <cellStyle name="Normal 192 2 2 4" xfId="16057"/>
    <cellStyle name="Normal 192 2 2 4 2" xfId="16058"/>
    <cellStyle name="Normal 192 2 2 4 2 2" xfId="16059"/>
    <cellStyle name="Normal 192 2 2 4 3" xfId="16060"/>
    <cellStyle name="Normal 192 2 2 5" xfId="16061"/>
    <cellStyle name="Normal 192 2 3" xfId="16062"/>
    <cellStyle name="Normal 192 2 3 2" xfId="16063"/>
    <cellStyle name="Normal 192 2 3 2 2" xfId="16064"/>
    <cellStyle name="Normal 192 2 3 2 2 2" xfId="16065"/>
    <cellStyle name="Normal 192 2 3 2 3" xfId="16066"/>
    <cellStyle name="Normal 192 2 3 2 3 2" xfId="16067"/>
    <cellStyle name="Normal 192 2 3 2 3 2 2" xfId="16068"/>
    <cellStyle name="Normal 192 2 3 2 3 3" xfId="16069"/>
    <cellStyle name="Normal 192 2 3 2 4" xfId="16070"/>
    <cellStyle name="Normal 192 2 3 3" xfId="16071"/>
    <cellStyle name="Normal 192 2 3 3 2" xfId="16072"/>
    <cellStyle name="Normal 192 2 3 3 2 2" xfId="16073"/>
    <cellStyle name="Normal 192 2 3 3 3" xfId="16074"/>
    <cellStyle name="Normal 192 2 3 4" xfId="16075"/>
    <cellStyle name="Normal 192 2 3 4 2" xfId="16076"/>
    <cellStyle name="Normal 192 2 3 4 2 2" xfId="16077"/>
    <cellStyle name="Normal 192 2 3 4 3" xfId="16078"/>
    <cellStyle name="Normal 192 2 3 5" xfId="16079"/>
    <cellStyle name="Normal 192 2 3 5 2" xfId="16080"/>
    <cellStyle name="Normal 192 2 3 5 2 2" xfId="16081"/>
    <cellStyle name="Normal 192 2 3 5 3" xfId="16082"/>
    <cellStyle name="Normal 192 2 3 6" xfId="16083"/>
    <cellStyle name="Normal 192 2 4" xfId="16084"/>
    <cellStyle name="Normal 192 2 4 2" xfId="16085"/>
    <cellStyle name="Normal 192 2 4 2 2" xfId="16086"/>
    <cellStyle name="Normal 192 2 4 3" xfId="16087"/>
    <cellStyle name="Normal 192 2 5" xfId="16088"/>
    <cellStyle name="Normal 192 2 5 2" xfId="16089"/>
    <cellStyle name="Normal 192 2 5 2 2" xfId="16090"/>
    <cellStyle name="Normal 192 2 5 3" xfId="16091"/>
    <cellStyle name="Normal 192 2 6" xfId="16092"/>
    <cellStyle name="Normal 192 2 6 2" xfId="16093"/>
    <cellStyle name="Normal 192 2 6 2 2" xfId="16094"/>
    <cellStyle name="Normal 192 2 6 3" xfId="16095"/>
    <cellStyle name="Normal 192 2 7" xfId="16096"/>
    <cellStyle name="Normal 192 3" xfId="16097"/>
    <cellStyle name="Normal 192 3 2" xfId="16098"/>
    <cellStyle name="Normal 192 3 2 2" xfId="16099"/>
    <cellStyle name="Normal 192 3 3" xfId="16100"/>
    <cellStyle name="Normal 192 3 3 2" xfId="16101"/>
    <cellStyle name="Normal 192 3 3 2 2" xfId="16102"/>
    <cellStyle name="Normal 192 3 3 3" xfId="16103"/>
    <cellStyle name="Normal 192 3 4" xfId="16104"/>
    <cellStyle name="Normal 192 3 4 2" xfId="16105"/>
    <cellStyle name="Normal 192 3 4 2 2" xfId="16106"/>
    <cellStyle name="Normal 192 3 4 3" xfId="16107"/>
    <cellStyle name="Normal 192 3 5" xfId="16108"/>
    <cellStyle name="Normal 192 4" xfId="16109"/>
    <cellStyle name="Normal 192 4 2" xfId="16110"/>
    <cellStyle name="Normal 192 4 2 2" xfId="16111"/>
    <cellStyle name="Normal 192 4 2 2 2" xfId="16112"/>
    <cellStyle name="Normal 192 4 2 3" xfId="16113"/>
    <cellStyle name="Normal 192 4 2 3 2" xfId="16114"/>
    <cellStyle name="Normal 192 4 2 3 2 2" xfId="16115"/>
    <cellStyle name="Normal 192 4 2 3 3" xfId="16116"/>
    <cellStyle name="Normal 192 4 2 4" xfId="16117"/>
    <cellStyle name="Normal 192 4 3" xfId="16118"/>
    <cellStyle name="Normal 192 4 3 2" xfId="16119"/>
    <cellStyle name="Normal 192 4 3 2 2" xfId="16120"/>
    <cellStyle name="Normal 192 4 3 3" xfId="16121"/>
    <cellStyle name="Normal 192 4 4" xfId="16122"/>
    <cellStyle name="Normal 192 4 4 2" xfId="16123"/>
    <cellStyle name="Normal 192 4 4 2 2" xfId="16124"/>
    <cellStyle name="Normal 192 4 4 3" xfId="16125"/>
    <cellStyle name="Normal 192 4 5" xfId="16126"/>
    <cellStyle name="Normal 192 4 5 2" xfId="16127"/>
    <cellStyle name="Normal 192 4 5 2 2" xfId="16128"/>
    <cellStyle name="Normal 192 4 5 3" xfId="16129"/>
    <cellStyle name="Normal 192 4 6" xfId="16130"/>
    <cellStyle name="Normal 192 5" xfId="16131"/>
    <cellStyle name="Normal 192 5 2" xfId="16132"/>
    <cellStyle name="Normal 192 5 2 2" xfId="16133"/>
    <cellStyle name="Normal 192 5 3" xfId="16134"/>
    <cellStyle name="Normal 192 6" xfId="16135"/>
    <cellStyle name="Normal 192 6 2" xfId="16136"/>
    <cellStyle name="Normal 192 6 2 2" xfId="16137"/>
    <cellStyle name="Normal 192 6 3" xfId="16138"/>
    <cellStyle name="Normal 192 7" xfId="16139"/>
    <cellStyle name="Normal 192 7 2" xfId="16140"/>
    <cellStyle name="Normal 192 7 2 2" xfId="16141"/>
    <cellStyle name="Normal 192 7 3" xfId="16142"/>
    <cellStyle name="Normal 192 8" xfId="16143"/>
    <cellStyle name="Normal 193" xfId="16144"/>
    <cellStyle name="Normal 193 2" xfId="16145"/>
    <cellStyle name="Normal 193 2 2" xfId="16146"/>
    <cellStyle name="Normal 193 2 2 2" xfId="16147"/>
    <cellStyle name="Normal 193 2 2 2 2" xfId="16148"/>
    <cellStyle name="Normal 193 2 2 3" xfId="16149"/>
    <cellStyle name="Normal 193 2 2 3 2" xfId="16150"/>
    <cellStyle name="Normal 193 2 2 3 2 2" xfId="16151"/>
    <cellStyle name="Normal 193 2 2 3 3" xfId="16152"/>
    <cellStyle name="Normal 193 2 2 4" xfId="16153"/>
    <cellStyle name="Normal 193 2 2 4 2" xfId="16154"/>
    <cellStyle name="Normal 193 2 2 4 2 2" xfId="16155"/>
    <cellStyle name="Normal 193 2 2 4 3" xfId="16156"/>
    <cellStyle name="Normal 193 2 2 5" xfId="16157"/>
    <cellStyle name="Normal 193 2 3" xfId="16158"/>
    <cellStyle name="Normal 193 2 3 2" xfId="16159"/>
    <cellStyle name="Normal 193 2 3 2 2" xfId="16160"/>
    <cellStyle name="Normal 193 2 3 2 2 2" xfId="16161"/>
    <cellStyle name="Normal 193 2 3 2 3" xfId="16162"/>
    <cellStyle name="Normal 193 2 3 2 3 2" xfId="16163"/>
    <cellStyle name="Normal 193 2 3 2 3 2 2" xfId="16164"/>
    <cellStyle name="Normal 193 2 3 2 3 3" xfId="16165"/>
    <cellStyle name="Normal 193 2 3 2 4" xfId="16166"/>
    <cellStyle name="Normal 193 2 3 3" xfId="16167"/>
    <cellStyle name="Normal 193 2 3 3 2" xfId="16168"/>
    <cellStyle name="Normal 193 2 3 3 2 2" xfId="16169"/>
    <cellStyle name="Normal 193 2 3 3 3" xfId="16170"/>
    <cellStyle name="Normal 193 2 3 4" xfId="16171"/>
    <cellStyle name="Normal 193 2 3 4 2" xfId="16172"/>
    <cellStyle name="Normal 193 2 3 4 2 2" xfId="16173"/>
    <cellStyle name="Normal 193 2 3 4 3" xfId="16174"/>
    <cellStyle name="Normal 193 2 3 5" xfId="16175"/>
    <cellStyle name="Normal 193 2 3 5 2" xfId="16176"/>
    <cellStyle name="Normal 193 2 3 5 2 2" xfId="16177"/>
    <cellStyle name="Normal 193 2 3 5 3" xfId="16178"/>
    <cellStyle name="Normal 193 2 3 6" xfId="16179"/>
    <cellStyle name="Normal 193 2 4" xfId="16180"/>
    <cellStyle name="Normal 193 2 4 2" xfId="16181"/>
    <cellStyle name="Normal 193 2 4 2 2" xfId="16182"/>
    <cellStyle name="Normal 193 2 4 3" xfId="16183"/>
    <cellStyle name="Normal 193 2 5" xfId="16184"/>
    <cellStyle name="Normal 193 2 5 2" xfId="16185"/>
    <cellStyle name="Normal 193 2 5 2 2" xfId="16186"/>
    <cellStyle name="Normal 193 2 5 3" xfId="16187"/>
    <cellStyle name="Normal 193 2 6" xfId="16188"/>
    <cellStyle name="Normal 193 2 6 2" xfId="16189"/>
    <cellStyle name="Normal 193 2 6 2 2" xfId="16190"/>
    <cellStyle name="Normal 193 2 6 3" xfId="16191"/>
    <cellStyle name="Normal 193 2 7" xfId="16192"/>
    <cellStyle name="Normal 193 3" xfId="16193"/>
    <cellStyle name="Normal 193 3 2" xfId="16194"/>
    <cellStyle name="Normal 193 3 2 2" xfId="16195"/>
    <cellStyle name="Normal 193 3 3" xfId="16196"/>
    <cellStyle name="Normal 193 3 3 2" xfId="16197"/>
    <cellStyle name="Normal 193 3 3 2 2" xfId="16198"/>
    <cellStyle name="Normal 193 3 3 3" xfId="16199"/>
    <cellStyle name="Normal 193 3 4" xfId="16200"/>
    <cellStyle name="Normal 193 3 4 2" xfId="16201"/>
    <cellStyle name="Normal 193 3 4 2 2" xfId="16202"/>
    <cellStyle name="Normal 193 3 4 3" xfId="16203"/>
    <cellStyle name="Normal 193 3 5" xfId="16204"/>
    <cellStyle name="Normal 193 4" xfId="16205"/>
    <cellStyle name="Normal 193 4 2" xfId="16206"/>
    <cellStyle name="Normal 193 4 2 2" xfId="16207"/>
    <cellStyle name="Normal 193 4 2 2 2" xfId="16208"/>
    <cellStyle name="Normal 193 4 2 3" xfId="16209"/>
    <cellStyle name="Normal 193 4 2 3 2" xfId="16210"/>
    <cellStyle name="Normal 193 4 2 3 2 2" xfId="16211"/>
    <cellStyle name="Normal 193 4 2 3 3" xfId="16212"/>
    <cellStyle name="Normal 193 4 2 4" xfId="16213"/>
    <cellStyle name="Normal 193 4 3" xfId="16214"/>
    <cellStyle name="Normal 193 4 3 2" xfId="16215"/>
    <cellStyle name="Normal 193 4 3 2 2" xfId="16216"/>
    <cellStyle name="Normal 193 4 3 3" xfId="16217"/>
    <cellStyle name="Normal 193 4 4" xfId="16218"/>
    <cellStyle name="Normal 193 4 4 2" xfId="16219"/>
    <cellStyle name="Normal 193 4 4 2 2" xfId="16220"/>
    <cellStyle name="Normal 193 4 4 3" xfId="16221"/>
    <cellStyle name="Normal 193 4 5" xfId="16222"/>
    <cellStyle name="Normal 193 4 5 2" xfId="16223"/>
    <cellStyle name="Normal 193 4 5 2 2" xfId="16224"/>
    <cellStyle name="Normal 193 4 5 3" xfId="16225"/>
    <cellStyle name="Normal 193 4 6" xfId="16226"/>
    <cellStyle name="Normal 193 5" xfId="16227"/>
    <cellStyle name="Normal 193 5 2" xfId="16228"/>
    <cellStyle name="Normal 193 5 2 2" xfId="16229"/>
    <cellStyle name="Normal 193 5 3" xfId="16230"/>
    <cellStyle name="Normal 193 6" xfId="16231"/>
    <cellStyle name="Normal 193 6 2" xfId="16232"/>
    <cellStyle name="Normal 193 6 2 2" xfId="16233"/>
    <cellStyle name="Normal 193 6 3" xfId="16234"/>
    <cellStyle name="Normal 193 7" xfId="16235"/>
    <cellStyle name="Normal 193 7 2" xfId="16236"/>
    <cellStyle name="Normal 193 7 2 2" xfId="16237"/>
    <cellStyle name="Normal 193 7 3" xfId="16238"/>
    <cellStyle name="Normal 193 8" xfId="16239"/>
    <cellStyle name="Normal 194" xfId="16240"/>
    <cellStyle name="Normal 194 2" xfId="16241"/>
    <cellStyle name="Normal 194 2 2" xfId="16242"/>
    <cellStyle name="Normal 194 2 2 2" xfId="16243"/>
    <cellStyle name="Normal 194 2 2 2 2" xfId="16244"/>
    <cellStyle name="Normal 194 2 2 3" xfId="16245"/>
    <cellStyle name="Normal 194 2 2 3 2" xfId="16246"/>
    <cellStyle name="Normal 194 2 2 3 2 2" xfId="16247"/>
    <cellStyle name="Normal 194 2 2 3 3" xfId="16248"/>
    <cellStyle name="Normal 194 2 2 4" xfId="16249"/>
    <cellStyle name="Normal 194 2 2 4 2" xfId="16250"/>
    <cellStyle name="Normal 194 2 2 4 2 2" xfId="16251"/>
    <cellStyle name="Normal 194 2 2 4 3" xfId="16252"/>
    <cellStyle name="Normal 194 2 2 5" xfId="16253"/>
    <cellStyle name="Normal 194 2 3" xfId="16254"/>
    <cellStyle name="Normal 194 2 3 2" xfId="16255"/>
    <cellStyle name="Normal 194 2 3 2 2" xfId="16256"/>
    <cellStyle name="Normal 194 2 3 2 2 2" xfId="16257"/>
    <cellStyle name="Normal 194 2 3 2 3" xfId="16258"/>
    <cellStyle name="Normal 194 2 3 2 3 2" xfId="16259"/>
    <cellStyle name="Normal 194 2 3 2 3 2 2" xfId="16260"/>
    <cellStyle name="Normal 194 2 3 2 3 3" xfId="16261"/>
    <cellStyle name="Normal 194 2 3 2 4" xfId="16262"/>
    <cellStyle name="Normal 194 2 3 3" xfId="16263"/>
    <cellStyle name="Normal 194 2 3 3 2" xfId="16264"/>
    <cellStyle name="Normal 194 2 3 3 2 2" xfId="16265"/>
    <cellStyle name="Normal 194 2 3 3 3" xfId="16266"/>
    <cellStyle name="Normal 194 2 3 4" xfId="16267"/>
    <cellStyle name="Normal 194 2 3 4 2" xfId="16268"/>
    <cellStyle name="Normal 194 2 3 4 2 2" xfId="16269"/>
    <cellStyle name="Normal 194 2 3 4 3" xfId="16270"/>
    <cellStyle name="Normal 194 2 3 5" xfId="16271"/>
    <cellStyle name="Normal 194 2 3 5 2" xfId="16272"/>
    <cellStyle name="Normal 194 2 3 5 2 2" xfId="16273"/>
    <cellStyle name="Normal 194 2 3 5 3" xfId="16274"/>
    <cellStyle name="Normal 194 2 3 6" xfId="16275"/>
    <cellStyle name="Normal 194 2 4" xfId="16276"/>
    <cellStyle name="Normal 194 2 4 2" xfId="16277"/>
    <cellStyle name="Normal 194 2 4 2 2" xfId="16278"/>
    <cellStyle name="Normal 194 2 4 3" xfId="16279"/>
    <cellStyle name="Normal 194 2 5" xfId="16280"/>
    <cellStyle name="Normal 194 2 5 2" xfId="16281"/>
    <cellStyle name="Normal 194 2 5 2 2" xfId="16282"/>
    <cellStyle name="Normal 194 2 5 3" xfId="16283"/>
    <cellStyle name="Normal 194 2 6" xfId="16284"/>
    <cellStyle name="Normal 194 2 6 2" xfId="16285"/>
    <cellStyle name="Normal 194 2 6 2 2" xfId="16286"/>
    <cellStyle name="Normal 194 2 6 3" xfId="16287"/>
    <cellStyle name="Normal 194 2 7" xfId="16288"/>
    <cellStyle name="Normal 194 3" xfId="16289"/>
    <cellStyle name="Normal 194 3 2" xfId="16290"/>
    <cellStyle name="Normal 194 3 2 2" xfId="16291"/>
    <cellStyle name="Normal 194 3 3" xfId="16292"/>
    <cellStyle name="Normal 194 3 3 2" xfId="16293"/>
    <cellStyle name="Normal 194 3 3 2 2" xfId="16294"/>
    <cellStyle name="Normal 194 3 3 3" xfId="16295"/>
    <cellStyle name="Normal 194 3 4" xfId="16296"/>
    <cellStyle name="Normal 194 3 4 2" xfId="16297"/>
    <cellStyle name="Normal 194 3 4 2 2" xfId="16298"/>
    <cellStyle name="Normal 194 3 4 3" xfId="16299"/>
    <cellStyle name="Normal 194 3 5" xfId="16300"/>
    <cellStyle name="Normal 194 4" xfId="16301"/>
    <cellStyle name="Normal 194 4 2" xfId="16302"/>
    <cellStyle name="Normal 194 4 2 2" xfId="16303"/>
    <cellStyle name="Normal 194 4 2 2 2" xfId="16304"/>
    <cellStyle name="Normal 194 4 2 3" xfId="16305"/>
    <cellStyle name="Normal 194 4 2 3 2" xfId="16306"/>
    <cellStyle name="Normal 194 4 2 3 2 2" xfId="16307"/>
    <cellStyle name="Normal 194 4 2 3 3" xfId="16308"/>
    <cellStyle name="Normal 194 4 2 4" xfId="16309"/>
    <cellStyle name="Normal 194 4 3" xfId="16310"/>
    <cellStyle name="Normal 194 4 3 2" xfId="16311"/>
    <cellStyle name="Normal 194 4 3 2 2" xfId="16312"/>
    <cellStyle name="Normal 194 4 3 3" xfId="16313"/>
    <cellStyle name="Normal 194 4 4" xfId="16314"/>
    <cellStyle name="Normal 194 4 4 2" xfId="16315"/>
    <cellStyle name="Normal 194 4 4 2 2" xfId="16316"/>
    <cellStyle name="Normal 194 4 4 3" xfId="16317"/>
    <cellStyle name="Normal 194 4 5" xfId="16318"/>
    <cellStyle name="Normal 194 4 5 2" xfId="16319"/>
    <cellStyle name="Normal 194 4 5 2 2" xfId="16320"/>
    <cellStyle name="Normal 194 4 5 3" xfId="16321"/>
    <cellStyle name="Normal 194 4 6" xfId="16322"/>
    <cellStyle name="Normal 194 5" xfId="16323"/>
    <cellStyle name="Normal 194 5 2" xfId="16324"/>
    <cellStyle name="Normal 194 5 2 2" xfId="16325"/>
    <cellStyle name="Normal 194 5 3" xfId="16326"/>
    <cellStyle name="Normal 194 6" xfId="16327"/>
    <cellStyle name="Normal 194 6 2" xfId="16328"/>
    <cellStyle name="Normal 194 6 2 2" xfId="16329"/>
    <cellStyle name="Normal 194 6 3" xfId="16330"/>
    <cellStyle name="Normal 194 7" xfId="16331"/>
    <cellStyle name="Normal 194 7 2" xfId="16332"/>
    <cellStyle name="Normal 194 7 2 2" xfId="16333"/>
    <cellStyle name="Normal 194 7 3" xfId="16334"/>
    <cellStyle name="Normal 194 8" xfId="16335"/>
    <cellStyle name="Normal 195" xfId="16336"/>
    <cellStyle name="Normal 195 2" xfId="16337"/>
    <cellStyle name="Normal 195 2 2" xfId="16338"/>
    <cellStyle name="Normal 195 2 2 2" xfId="16339"/>
    <cellStyle name="Normal 195 2 2 2 2" xfId="16340"/>
    <cellStyle name="Normal 195 2 2 3" xfId="16341"/>
    <cellStyle name="Normal 195 2 2 3 2" xfId="16342"/>
    <cellStyle name="Normal 195 2 2 3 2 2" xfId="16343"/>
    <cellStyle name="Normal 195 2 2 3 3" xfId="16344"/>
    <cellStyle name="Normal 195 2 2 4" xfId="16345"/>
    <cellStyle name="Normal 195 2 2 4 2" xfId="16346"/>
    <cellStyle name="Normal 195 2 2 4 2 2" xfId="16347"/>
    <cellStyle name="Normal 195 2 2 4 3" xfId="16348"/>
    <cellStyle name="Normal 195 2 2 5" xfId="16349"/>
    <cellStyle name="Normal 195 2 3" xfId="16350"/>
    <cellStyle name="Normal 195 2 3 2" xfId="16351"/>
    <cellStyle name="Normal 195 2 3 2 2" xfId="16352"/>
    <cellStyle name="Normal 195 2 3 2 2 2" xfId="16353"/>
    <cellStyle name="Normal 195 2 3 2 3" xfId="16354"/>
    <cellStyle name="Normal 195 2 3 2 3 2" xfId="16355"/>
    <cellStyle name="Normal 195 2 3 2 3 2 2" xfId="16356"/>
    <cellStyle name="Normal 195 2 3 2 3 3" xfId="16357"/>
    <cellStyle name="Normal 195 2 3 2 4" xfId="16358"/>
    <cellStyle name="Normal 195 2 3 3" xfId="16359"/>
    <cellStyle name="Normal 195 2 3 3 2" xfId="16360"/>
    <cellStyle name="Normal 195 2 3 3 2 2" xfId="16361"/>
    <cellStyle name="Normal 195 2 3 3 3" xfId="16362"/>
    <cellStyle name="Normal 195 2 3 4" xfId="16363"/>
    <cellStyle name="Normal 195 2 3 4 2" xfId="16364"/>
    <cellStyle name="Normal 195 2 3 4 2 2" xfId="16365"/>
    <cellStyle name="Normal 195 2 3 4 3" xfId="16366"/>
    <cellStyle name="Normal 195 2 3 5" xfId="16367"/>
    <cellStyle name="Normal 195 2 3 5 2" xfId="16368"/>
    <cellStyle name="Normal 195 2 3 5 2 2" xfId="16369"/>
    <cellStyle name="Normal 195 2 3 5 3" xfId="16370"/>
    <cellStyle name="Normal 195 2 3 6" xfId="16371"/>
    <cellStyle name="Normal 195 2 4" xfId="16372"/>
    <cellStyle name="Normal 195 2 4 2" xfId="16373"/>
    <cellStyle name="Normal 195 2 4 2 2" xfId="16374"/>
    <cellStyle name="Normal 195 2 4 3" xfId="16375"/>
    <cellStyle name="Normal 195 2 5" xfId="16376"/>
    <cellStyle name="Normal 195 2 5 2" xfId="16377"/>
    <cellStyle name="Normal 195 2 5 2 2" xfId="16378"/>
    <cellStyle name="Normal 195 2 5 3" xfId="16379"/>
    <cellStyle name="Normal 195 2 6" xfId="16380"/>
    <cellStyle name="Normal 195 2 6 2" xfId="16381"/>
    <cellStyle name="Normal 195 2 6 2 2" xfId="16382"/>
    <cellStyle name="Normal 195 2 6 3" xfId="16383"/>
    <cellStyle name="Normal 195 2 7" xfId="16384"/>
    <cellStyle name="Normal 195 3" xfId="16385"/>
    <cellStyle name="Normal 195 3 2" xfId="16386"/>
    <cellStyle name="Normal 195 3 2 2" xfId="16387"/>
    <cellStyle name="Normal 195 3 3" xfId="16388"/>
    <cellStyle name="Normal 195 3 3 2" xfId="16389"/>
    <cellStyle name="Normal 195 3 3 2 2" xfId="16390"/>
    <cellStyle name="Normal 195 3 3 3" xfId="16391"/>
    <cellStyle name="Normal 195 3 4" xfId="16392"/>
    <cellStyle name="Normal 195 3 4 2" xfId="16393"/>
    <cellStyle name="Normal 195 3 4 2 2" xfId="16394"/>
    <cellStyle name="Normal 195 3 4 3" xfId="16395"/>
    <cellStyle name="Normal 195 3 5" xfId="16396"/>
    <cellStyle name="Normal 195 4" xfId="16397"/>
    <cellStyle name="Normal 195 4 2" xfId="16398"/>
    <cellStyle name="Normal 195 4 2 2" xfId="16399"/>
    <cellStyle name="Normal 195 4 2 2 2" xfId="16400"/>
    <cellStyle name="Normal 195 4 2 3" xfId="16401"/>
    <cellStyle name="Normal 195 4 2 3 2" xfId="16402"/>
    <cellStyle name="Normal 195 4 2 3 2 2" xfId="16403"/>
    <cellStyle name="Normal 195 4 2 3 3" xfId="16404"/>
    <cellStyle name="Normal 195 4 2 4" xfId="16405"/>
    <cellStyle name="Normal 195 4 3" xfId="16406"/>
    <cellStyle name="Normal 195 4 3 2" xfId="16407"/>
    <cellStyle name="Normal 195 4 3 2 2" xfId="16408"/>
    <cellStyle name="Normal 195 4 3 3" xfId="16409"/>
    <cellStyle name="Normal 195 4 4" xfId="16410"/>
    <cellStyle name="Normal 195 4 4 2" xfId="16411"/>
    <cellStyle name="Normal 195 4 4 2 2" xfId="16412"/>
    <cellStyle name="Normal 195 4 4 3" xfId="16413"/>
    <cellStyle name="Normal 195 4 5" xfId="16414"/>
    <cellStyle name="Normal 195 4 5 2" xfId="16415"/>
    <cellStyle name="Normal 195 4 5 2 2" xfId="16416"/>
    <cellStyle name="Normal 195 4 5 3" xfId="16417"/>
    <cellStyle name="Normal 195 4 6" xfId="16418"/>
    <cellStyle name="Normal 195 5" xfId="16419"/>
    <cellStyle name="Normal 195 5 2" xfId="16420"/>
    <cellStyle name="Normal 195 5 2 2" xfId="16421"/>
    <cellStyle name="Normal 195 5 3" xfId="16422"/>
    <cellStyle name="Normal 195 6" xfId="16423"/>
    <cellStyle name="Normal 195 6 2" xfId="16424"/>
    <cellStyle name="Normal 195 6 2 2" xfId="16425"/>
    <cellStyle name="Normal 195 6 3" xfId="16426"/>
    <cellStyle name="Normal 195 7" xfId="16427"/>
    <cellStyle name="Normal 195 7 2" xfId="16428"/>
    <cellStyle name="Normal 195 7 2 2" xfId="16429"/>
    <cellStyle name="Normal 195 7 3" xfId="16430"/>
    <cellStyle name="Normal 195 8" xfId="16431"/>
    <cellStyle name="Normal 196" xfId="16432"/>
    <cellStyle name="Normal 196 2" xfId="16433"/>
    <cellStyle name="Normal 196 2 2" xfId="16434"/>
    <cellStyle name="Normal 196 2 2 2" xfId="16435"/>
    <cellStyle name="Normal 196 2 2 2 2" xfId="16436"/>
    <cellStyle name="Normal 196 2 2 3" xfId="16437"/>
    <cellStyle name="Normal 196 2 2 3 2" xfId="16438"/>
    <cellStyle name="Normal 196 2 2 3 2 2" xfId="16439"/>
    <cellStyle name="Normal 196 2 2 3 3" xfId="16440"/>
    <cellStyle name="Normal 196 2 2 4" xfId="16441"/>
    <cellStyle name="Normal 196 2 2 4 2" xfId="16442"/>
    <cellStyle name="Normal 196 2 2 4 2 2" xfId="16443"/>
    <cellStyle name="Normal 196 2 2 4 3" xfId="16444"/>
    <cellStyle name="Normal 196 2 2 5" xfId="16445"/>
    <cellStyle name="Normal 196 2 3" xfId="16446"/>
    <cellStyle name="Normal 196 2 3 2" xfId="16447"/>
    <cellStyle name="Normal 196 2 3 2 2" xfId="16448"/>
    <cellStyle name="Normal 196 2 3 2 2 2" xfId="16449"/>
    <cellStyle name="Normal 196 2 3 2 3" xfId="16450"/>
    <cellStyle name="Normal 196 2 3 2 3 2" xfId="16451"/>
    <cellStyle name="Normal 196 2 3 2 3 2 2" xfId="16452"/>
    <cellStyle name="Normal 196 2 3 2 3 3" xfId="16453"/>
    <cellStyle name="Normal 196 2 3 2 4" xfId="16454"/>
    <cellStyle name="Normal 196 2 3 3" xfId="16455"/>
    <cellStyle name="Normal 196 2 3 3 2" xfId="16456"/>
    <cellStyle name="Normal 196 2 3 3 2 2" xfId="16457"/>
    <cellStyle name="Normal 196 2 3 3 3" xfId="16458"/>
    <cellStyle name="Normal 196 2 3 4" xfId="16459"/>
    <cellStyle name="Normal 196 2 3 4 2" xfId="16460"/>
    <cellStyle name="Normal 196 2 3 4 2 2" xfId="16461"/>
    <cellStyle name="Normal 196 2 3 4 3" xfId="16462"/>
    <cellStyle name="Normal 196 2 3 5" xfId="16463"/>
    <cellStyle name="Normal 196 2 3 5 2" xfId="16464"/>
    <cellStyle name="Normal 196 2 3 5 2 2" xfId="16465"/>
    <cellStyle name="Normal 196 2 3 5 3" xfId="16466"/>
    <cellStyle name="Normal 196 2 3 6" xfId="16467"/>
    <cellStyle name="Normal 196 2 4" xfId="16468"/>
    <cellStyle name="Normal 196 2 4 2" xfId="16469"/>
    <cellStyle name="Normal 196 2 4 2 2" xfId="16470"/>
    <cellStyle name="Normal 196 2 4 3" xfId="16471"/>
    <cellStyle name="Normal 196 2 5" xfId="16472"/>
    <cellStyle name="Normal 196 2 5 2" xfId="16473"/>
    <cellStyle name="Normal 196 2 5 2 2" xfId="16474"/>
    <cellStyle name="Normal 196 2 5 3" xfId="16475"/>
    <cellStyle name="Normal 196 2 6" xfId="16476"/>
    <cellStyle name="Normal 196 2 6 2" xfId="16477"/>
    <cellStyle name="Normal 196 2 6 2 2" xfId="16478"/>
    <cellStyle name="Normal 196 2 6 3" xfId="16479"/>
    <cellStyle name="Normal 196 2 7" xfId="16480"/>
    <cellStyle name="Normal 196 3" xfId="16481"/>
    <cellStyle name="Normal 196 3 2" xfId="16482"/>
    <cellStyle name="Normal 196 3 2 2" xfId="16483"/>
    <cellStyle name="Normal 196 3 3" xfId="16484"/>
    <cellStyle name="Normal 196 3 3 2" xfId="16485"/>
    <cellStyle name="Normal 196 3 3 2 2" xfId="16486"/>
    <cellStyle name="Normal 196 3 3 3" xfId="16487"/>
    <cellStyle name="Normal 196 3 4" xfId="16488"/>
    <cellStyle name="Normal 196 3 4 2" xfId="16489"/>
    <cellStyle name="Normal 196 3 4 2 2" xfId="16490"/>
    <cellStyle name="Normal 196 3 4 3" xfId="16491"/>
    <cellStyle name="Normal 196 3 5" xfId="16492"/>
    <cellStyle name="Normal 196 4" xfId="16493"/>
    <cellStyle name="Normal 196 4 2" xfId="16494"/>
    <cellStyle name="Normal 196 4 2 2" xfId="16495"/>
    <cellStyle name="Normal 196 4 2 2 2" xfId="16496"/>
    <cellStyle name="Normal 196 4 2 3" xfId="16497"/>
    <cellStyle name="Normal 196 4 2 3 2" xfId="16498"/>
    <cellStyle name="Normal 196 4 2 3 2 2" xfId="16499"/>
    <cellStyle name="Normal 196 4 2 3 3" xfId="16500"/>
    <cellStyle name="Normal 196 4 2 4" xfId="16501"/>
    <cellStyle name="Normal 196 4 3" xfId="16502"/>
    <cellStyle name="Normal 196 4 3 2" xfId="16503"/>
    <cellStyle name="Normal 196 4 3 2 2" xfId="16504"/>
    <cellStyle name="Normal 196 4 3 3" xfId="16505"/>
    <cellStyle name="Normal 196 4 4" xfId="16506"/>
    <cellStyle name="Normal 196 4 4 2" xfId="16507"/>
    <cellStyle name="Normal 196 4 4 2 2" xfId="16508"/>
    <cellStyle name="Normal 196 4 4 3" xfId="16509"/>
    <cellStyle name="Normal 196 4 5" xfId="16510"/>
    <cellStyle name="Normal 196 4 5 2" xfId="16511"/>
    <cellStyle name="Normal 196 4 5 2 2" xfId="16512"/>
    <cellStyle name="Normal 196 4 5 3" xfId="16513"/>
    <cellStyle name="Normal 196 4 6" xfId="16514"/>
    <cellStyle name="Normal 196 5" xfId="16515"/>
    <cellStyle name="Normal 196 5 2" xfId="16516"/>
    <cellStyle name="Normal 196 5 2 2" xfId="16517"/>
    <cellStyle name="Normal 196 5 3" xfId="16518"/>
    <cellStyle name="Normal 196 6" xfId="16519"/>
    <cellStyle name="Normal 196 6 2" xfId="16520"/>
    <cellStyle name="Normal 196 6 2 2" xfId="16521"/>
    <cellStyle name="Normal 196 6 3" xfId="16522"/>
    <cellStyle name="Normal 196 7" xfId="16523"/>
    <cellStyle name="Normal 196 7 2" xfId="16524"/>
    <cellStyle name="Normal 196 7 2 2" xfId="16525"/>
    <cellStyle name="Normal 196 7 3" xfId="16526"/>
    <cellStyle name="Normal 196 8" xfId="16527"/>
    <cellStyle name="Normal 197" xfId="16528"/>
    <cellStyle name="Normal 197 2" xfId="16529"/>
    <cellStyle name="Normal 197 2 2" xfId="16530"/>
    <cellStyle name="Normal 197 2 2 2" xfId="16531"/>
    <cellStyle name="Normal 197 2 2 2 2" xfId="16532"/>
    <cellStyle name="Normal 197 2 2 3" xfId="16533"/>
    <cellStyle name="Normal 197 2 2 3 2" xfId="16534"/>
    <cellStyle name="Normal 197 2 2 3 2 2" xfId="16535"/>
    <cellStyle name="Normal 197 2 2 3 3" xfId="16536"/>
    <cellStyle name="Normal 197 2 2 4" xfId="16537"/>
    <cellStyle name="Normal 197 2 2 4 2" xfId="16538"/>
    <cellStyle name="Normal 197 2 2 4 2 2" xfId="16539"/>
    <cellStyle name="Normal 197 2 2 4 3" xfId="16540"/>
    <cellStyle name="Normal 197 2 2 5" xfId="16541"/>
    <cellStyle name="Normal 197 2 3" xfId="16542"/>
    <cellStyle name="Normal 197 2 3 2" xfId="16543"/>
    <cellStyle name="Normal 197 2 3 2 2" xfId="16544"/>
    <cellStyle name="Normal 197 2 3 2 2 2" xfId="16545"/>
    <cellStyle name="Normal 197 2 3 2 3" xfId="16546"/>
    <cellStyle name="Normal 197 2 3 2 3 2" xfId="16547"/>
    <cellStyle name="Normal 197 2 3 2 3 2 2" xfId="16548"/>
    <cellStyle name="Normal 197 2 3 2 3 3" xfId="16549"/>
    <cellStyle name="Normal 197 2 3 2 4" xfId="16550"/>
    <cellStyle name="Normal 197 2 3 3" xfId="16551"/>
    <cellStyle name="Normal 197 2 3 3 2" xfId="16552"/>
    <cellStyle name="Normal 197 2 3 3 2 2" xfId="16553"/>
    <cellStyle name="Normal 197 2 3 3 3" xfId="16554"/>
    <cellStyle name="Normal 197 2 3 4" xfId="16555"/>
    <cellStyle name="Normal 197 2 3 4 2" xfId="16556"/>
    <cellStyle name="Normal 197 2 3 4 2 2" xfId="16557"/>
    <cellStyle name="Normal 197 2 3 4 3" xfId="16558"/>
    <cellStyle name="Normal 197 2 3 5" xfId="16559"/>
    <cellStyle name="Normal 197 2 3 5 2" xfId="16560"/>
    <cellStyle name="Normal 197 2 3 5 2 2" xfId="16561"/>
    <cellStyle name="Normal 197 2 3 5 3" xfId="16562"/>
    <cellStyle name="Normal 197 2 3 6" xfId="16563"/>
    <cellStyle name="Normal 197 2 4" xfId="16564"/>
    <cellStyle name="Normal 197 2 4 2" xfId="16565"/>
    <cellStyle name="Normal 197 2 4 2 2" xfId="16566"/>
    <cellStyle name="Normal 197 2 4 3" xfId="16567"/>
    <cellStyle name="Normal 197 2 5" xfId="16568"/>
    <cellStyle name="Normal 197 2 5 2" xfId="16569"/>
    <cellStyle name="Normal 197 2 5 2 2" xfId="16570"/>
    <cellStyle name="Normal 197 2 5 3" xfId="16571"/>
    <cellStyle name="Normal 197 2 6" xfId="16572"/>
    <cellStyle name="Normal 197 2 6 2" xfId="16573"/>
    <cellStyle name="Normal 197 2 6 2 2" xfId="16574"/>
    <cellStyle name="Normal 197 2 6 3" xfId="16575"/>
    <cellStyle name="Normal 197 2 7" xfId="16576"/>
    <cellStyle name="Normal 197 3" xfId="16577"/>
    <cellStyle name="Normal 197 3 2" xfId="16578"/>
    <cellStyle name="Normal 197 3 2 2" xfId="16579"/>
    <cellStyle name="Normal 197 3 3" xfId="16580"/>
    <cellStyle name="Normal 197 3 3 2" xfId="16581"/>
    <cellStyle name="Normal 197 3 3 2 2" xfId="16582"/>
    <cellStyle name="Normal 197 3 3 3" xfId="16583"/>
    <cellStyle name="Normal 197 3 4" xfId="16584"/>
    <cellStyle name="Normal 197 3 4 2" xfId="16585"/>
    <cellStyle name="Normal 197 3 4 2 2" xfId="16586"/>
    <cellStyle name="Normal 197 3 4 3" xfId="16587"/>
    <cellStyle name="Normal 197 3 5" xfId="16588"/>
    <cellStyle name="Normal 197 4" xfId="16589"/>
    <cellStyle name="Normal 197 4 2" xfId="16590"/>
    <cellStyle name="Normal 197 4 2 2" xfId="16591"/>
    <cellStyle name="Normal 197 4 2 2 2" xfId="16592"/>
    <cellStyle name="Normal 197 4 2 3" xfId="16593"/>
    <cellStyle name="Normal 197 4 2 3 2" xfId="16594"/>
    <cellStyle name="Normal 197 4 2 3 2 2" xfId="16595"/>
    <cellStyle name="Normal 197 4 2 3 3" xfId="16596"/>
    <cellStyle name="Normal 197 4 2 4" xfId="16597"/>
    <cellStyle name="Normal 197 4 3" xfId="16598"/>
    <cellStyle name="Normal 197 4 3 2" xfId="16599"/>
    <cellStyle name="Normal 197 4 3 2 2" xfId="16600"/>
    <cellStyle name="Normal 197 4 3 3" xfId="16601"/>
    <cellStyle name="Normal 197 4 4" xfId="16602"/>
    <cellStyle name="Normal 197 4 4 2" xfId="16603"/>
    <cellStyle name="Normal 197 4 4 2 2" xfId="16604"/>
    <cellStyle name="Normal 197 4 4 3" xfId="16605"/>
    <cellStyle name="Normal 197 4 5" xfId="16606"/>
    <cellStyle name="Normal 197 4 5 2" xfId="16607"/>
    <cellStyle name="Normal 197 4 5 2 2" xfId="16608"/>
    <cellStyle name="Normal 197 4 5 3" xfId="16609"/>
    <cellStyle name="Normal 197 4 6" xfId="16610"/>
    <cellStyle name="Normal 197 5" xfId="16611"/>
    <cellStyle name="Normal 197 5 2" xfId="16612"/>
    <cellStyle name="Normal 197 5 2 2" xfId="16613"/>
    <cellStyle name="Normal 197 5 3" xfId="16614"/>
    <cellStyle name="Normal 197 6" xfId="16615"/>
    <cellStyle name="Normal 197 6 2" xfId="16616"/>
    <cellStyle name="Normal 197 6 2 2" xfId="16617"/>
    <cellStyle name="Normal 197 6 3" xfId="16618"/>
    <cellStyle name="Normal 197 7" xfId="16619"/>
    <cellStyle name="Normal 197 7 2" xfId="16620"/>
    <cellStyle name="Normal 197 7 2 2" xfId="16621"/>
    <cellStyle name="Normal 197 7 3" xfId="16622"/>
    <cellStyle name="Normal 197 8" xfId="16623"/>
    <cellStyle name="Normal 198" xfId="16624"/>
    <cellStyle name="Normal 198 2" xfId="16625"/>
    <cellStyle name="Normal 198 2 2" xfId="16626"/>
    <cellStyle name="Normal 198 2 2 2" xfId="16627"/>
    <cellStyle name="Normal 198 2 2 2 2" xfId="16628"/>
    <cellStyle name="Normal 198 2 2 3" xfId="16629"/>
    <cellStyle name="Normal 198 2 2 3 2" xfId="16630"/>
    <cellStyle name="Normal 198 2 2 3 2 2" xfId="16631"/>
    <cellStyle name="Normal 198 2 2 3 3" xfId="16632"/>
    <cellStyle name="Normal 198 2 2 4" xfId="16633"/>
    <cellStyle name="Normal 198 2 2 4 2" xfId="16634"/>
    <cellStyle name="Normal 198 2 2 4 2 2" xfId="16635"/>
    <cellStyle name="Normal 198 2 2 4 3" xfId="16636"/>
    <cellStyle name="Normal 198 2 2 5" xfId="16637"/>
    <cellStyle name="Normal 198 2 3" xfId="16638"/>
    <cellStyle name="Normal 198 2 3 2" xfId="16639"/>
    <cellStyle name="Normal 198 2 3 2 2" xfId="16640"/>
    <cellStyle name="Normal 198 2 3 2 2 2" xfId="16641"/>
    <cellStyle name="Normal 198 2 3 2 3" xfId="16642"/>
    <cellStyle name="Normal 198 2 3 2 3 2" xfId="16643"/>
    <cellStyle name="Normal 198 2 3 2 3 2 2" xfId="16644"/>
    <cellStyle name="Normal 198 2 3 2 3 3" xfId="16645"/>
    <cellStyle name="Normal 198 2 3 2 4" xfId="16646"/>
    <cellStyle name="Normal 198 2 3 3" xfId="16647"/>
    <cellStyle name="Normal 198 2 3 3 2" xfId="16648"/>
    <cellStyle name="Normal 198 2 3 3 2 2" xfId="16649"/>
    <cellStyle name="Normal 198 2 3 3 3" xfId="16650"/>
    <cellStyle name="Normal 198 2 3 4" xfId="16651"/>
    <cellStyle name="Normal 198 2 3 4 2" xfId="16652"/>
    <cellStyle name="Normal 198 2 3 4 2 2" xfId="16653"/>
    <cellStyle name="Normal 198 2 3 4 3" xfId="16654"/>
    <cellStyle name="Normal 198 2 3 5" xfId="16655"/>
    <cellStyle name="Normal 198 2 3 5 2" xfId="16656"/>
    <cellStyle name="Normal 198 2 3 5 2 2" xfId="16657"/>
    <cellStyle name="Normal 198 2 3 5 3" xfId="16658"/>
    <cellStyle name="Normal 198 2 3 6" xfId="16659"/>
    <cellStyle name="Normal 198 2 4" xfId="16660"/>
    <cellStyle name="Normal 198 2 4 2" xfId="16661"/>
    <cellStyle name="Normal 198 2 4 2 2" xfId="16662"/>
    <cellStyle name="Normal 198 2 4 3" xfId="16663"/>
    <cellStyle name="Normal 198 2 5" xfId="16664"/>
    <cellStyle name="Normal 198 2 5 2" xfId="16665"/>
    <cellStyle name="Normal 198 2 5 2 2" xfId="16666"/>
    <cellStyle name="Normal 198 2 5 3" xfId="16667"/>
    <cellStyle name="Normal 198 2 6" xfId="16668"/>
    <cellStyle name="Normal 198 2 6 2" xfId="16669"/>
    <cellStyle name="Normal 198 2 6 2 2" xfId="16670"/>
    <cellStyle name="Normal 198 2 6 3" xfId="16671"/>
    <cellStyle name="Normal 198 2 7" xfId="16672"/>
    <cellStyle name="Normal 198 3" xfId="16673"/>
    <cellStyle name="Normal 198 3 2" xfId="16674"/>
    <cellStyle name="Normal 198 3 2 2" xfId="16675"/>
    <cellStyle name="Normal 198 3 3" xfId="16676"/>
    <cellStyle name="Normal 198 3 3 2" xfId="16677"/>
    <cellStyle name="Normal 198 3 3 2 2" xfId="16678"/>
    <cellStyle name="Normal 198 3 3 3" xfId="16679"/>
    <cellStyle name="Normal 198 3 4" xfId="16680"/>
    <cellStyle name="Normal 198 3 4 2" xfId="16681"/>
    <cellStyle name="Normal 198 3 4 2 2" xfId="16682"/>
    <cellStyle name="Normal 198 3 4 3" xfId="16683"/>
    <cellStyle name="Normal 198 3 5" xfId="16684"/>
    <cellStyle name="Normal 198 4" xfId="16685"/>
    <cellStyle name="Normal 198 4 2" xfId="16686"/>
    <cellStyle name="Normal 198 4 2 2" xfId="16687"/>
    <cellStyle name="Normal 198 4 2 2 2" xfId="16688"/>
    <cellStyle name="Normal 198 4 2 3" xfId="16689"/>
    <cellStyle name="Normal 198 4 2 3 2" xfId="16690"/>
    <cellStyle name="Normal 198 4 2 3 2 2" xfId="16691"/>
    <cellStyle name="Normal 198 4 2 3 3" xfId="16692"/>
    <cellStyle name="Normal 198 4 2 4" xfId="16693"/>
    <cellStyle name="Normal 198 4 3" xfId="16694"/>
    <cellStyle name="Normal 198 4 3 2" xfId="16695"/>
    <cellStyle name="Normal 198 4 3 2 2" xfId="16696"/>
    <cellStyle name="Normal 198 4 3 3" xfId="16697"/>
    <cellStyle name="Normal 198 4 4" xfId="16698"/>
    <cellStyle name="Normal 198 4 4 2" xfId="16699"/>
    <cellStyle name="Normal 198 4 4 2 2" xfId="16700"/>
    <cellStyle name="Normal 198 4 4 3" xfId="16701"/>
    <cellStyle name="Normal 198 4 5" xfId="16702"/>
    <cellStyle name="Normal 198 4 5 2" xfId="16703"/>
    <cellStyle name="Normal 198 4 5 2 2" xfId="16704"/>
    <cellStyle name="Normal 198 4 5 3" xfId="16705"/>
    <cellStyle name="Normal 198 4 6" xfId="16706"/>
    <cellStyle name="Normal 198 5" xfId="16707"/>
    <cellStyle name="Normal 198 5 2" xfId="16708"/>
    <cellStyle name="Normal 198 5 2 2" xfId="16709"/>
    <cellStyle name="Normal 198 5 3" xfId="16710"/>
    <cellStyle name="Normal 198 6" xfId="16711"/>
    <cellStyle name="Normal 198 6 2" xfId="16712"/>
    <cellStyle name="Normal 198 6 2 2" xfId="16713"/>
    <cellStyle name="Normal 198 6 3" xfId="16714"/>
    <cellStyle name="Normal 198 7" xfId="16715"/>
    <cellStyle name="Normal 198 7 2" xfId="16716"/>
    <cellStyle name="Normal 198 7 2 2" xfId="16717"/>
    <cellStyle name="Normal 198 7 3" xfId="16718"/>
    <cellStyle name="Normal 198 8" xfId="16719"/>
    <cellStyle name="Normal 199" xfId="16720"/>
    <cellStyle name="Normal 199 2" xfId="16721"/>
    <cellStyle name="Normal 199 2 2" xfId="16722"/>
    <cellStyle name="Normal 199 2 2 2" xfId="16723"/>
    <cellStyle name="Normal 199 2 2 2 2" xfId="16724"/>
    <cellStyle name="Normal 199 2 2 3" xfId="16725"/>
    <cellStyle name="Normal 199 2 2 3 2" xfId="16726"/>
    <cellStyle name="Normal 199 2 2 3 2 2" xfId="16727"/>
    <cellStyle name="Normal 199 2 2 3 3" xfId="16728"/>
    <cellStyle name="Normal 199 2 2 4" xfId="16729"/>
    <cellStyle name="Normal 199 2 2 4 2" xfId="16730"/>
    <cellStyle name="Normal 199 2 2 4 2 2" xfId="16731"/>
    <cellStyle name="Normal 199 2 2 4 3" xfId="16732"/>
    <cellStyle name="Normal 199 2 2 5" xfId="16733"/>
    <cellStyle name="Normal 199 2 3" xfId="16734"/>
    <cellStyle name="Normal 199 2 3 2" xfId="16735"/>
    <cellStyle name="Normal 199 2 3 2 2" xfId="16736"/>
    <cellStyle name="Normal 199 2 3 2 2 2" xfId="16737"/>
    <cellStyle name="Normal 199 2 3 2 3" xfId="16738"/>
    <cellStyle name="Normal 199 2 3 2 3 2" xfId="16739"/>
    <cellStyle name="Normal 199 2 3 2 3 2 2" xfId="16740"/>
    <cellStyle name="Normal 199 2 3 2 3 3" xfId="16741"/>
    <cellStyle name="Normal 199 2 3 2 4" xfId="16742"/>
    <cellStyle name="Normal 199 2 3 3" xfId="16743"/>
    <cellStyle name="Normal 199 2 3 3 2" xfId="16744"/>
    <cellStyle name="Normal 199 2 3 3 2 2" xfId="16745"/>
    <cellStyle name="Normal 199 2 3 3 3" xfId="16746"/>
    <cellStyle name="Normal 199 2 3 4" xfId="16747"/>
    <cellStyle name="Normal 199 2 3 4 2" xfId="16748"/>
    <cellStyle name="Normal 199 2 3 4 2 2" xfId="16749"/>
    <cellStyle name="Normal 199 2 3 4 3" xfId="16750"/>
    <cellStyle name="Normal 199 2 3 5" xfId="16751"/>
    <cellStyle name="Normal 199 2 3 5 2" xfId="16752"/>
    <cellStyle name="Normal 199 2 3 5 2 2" xfId="16753"/>
    <cellStyle name="Normal 199 2 3 5 3" xfId="16754"/>
    <cellStyle name="Normal 199 2 3 6" xfId="16755"/>
    <cellStyle name="Normal 199 2 4" xfId="16756"/>
    <cellStyle name="Normal 199 2 4 2" xfId="16757"/>
    <cellStyle name="Normal 199 2 4 2 2" xfId="16758"/>
    <cellStyle name="Normal 199 2 4 3" xfId="16759"/>
    <cellStyle name="Normal 199 2 5" xfId="16760"/>
    <cellStyle name="Normal 199 2 5 2" xfId="16761"/>
    <cellStyle name="Normal 199 2 5 2 2" xfId="16762"/>
    <cellStyle name="Normal 199 2 5 3" xfId="16763"/>
    <cellStyle name="Normal 199 2 6" xfId="16764"/>
    <cellStyle name="Normal 199 2 6 2" xfId="16765"/>
    <cellStyle name="Normal 199 2 6 2 2" xfId="16766"/>
    <cellStyle name="Normal 199 2 6 3" xfId="16767"/>
    <cellStyle name="Normal 199 2 7" xfId="16768"/>
    <cellStyle name="Normal 199 3" xfId="16769"/>
    <cellStyle name="Normal 199 3 2" xfId="16770"/>
    <cellStyle name="Normal 199 3 2 2" xfId="16771"/>
    <cellStyle name="Normal 199 3 3" xfId="16772"/>
    <cellStyle name="Normal 199 3 3 2" xfId="16773"/>
    <cellStyle name="Normal 199 3 3 2 2" xfId="16774"/>
    <cellStyle name="Normal 199 3 3 3" xfId="16775"/>
    <cellStyle name="Normal 199 3 4" xfId="16776"/>
    <cellStyle name="Normal 199 3 4 2" xfId="16777"/>
    <cellStyle name="Normal 199 3 4 2 2" xfId="16778"/>
    <cellStyle name="Normal 199 3 4 3" xfId="16779"/>
    <cellStyle name="Normal 199 3 5" xfId="16780"/>
    <cellStyle name="Normal 199 4" xfId="16781"/>
    <cellStyle name="Normal 199 4 2" xfId="16782"/>
    <cellStyle name="Normal 199 4 2 2" xfId="16783"/>
    <cellStyle name="Normal 199 4 2 2 2" xfId="16784"/>
    <cellStyle name="Normal 199 4 2 3" xfId="16785"/>
    <cellStyle name="Normal 199 4 2 3 2" xfId="16786"/>
    <cellStyle name="Normal 199 4 2 3 2 2" xfId="16787"/>
    <cellStyle name="Normal 199 4 2 3 3" xfId="16788"/>
    <cellStyle name="Normal 199 4 2 4" xfId="16789"/>
    <cellStyle name="Normal 199 4 3" xfId="16790"/>
    <cellStyle name="Normal 199 4 3 2" xfId="16791"/>
    <cellStyle name="Normal 199 4 3 2 2" xfId="16792"/>
    <cellStyle name="Normal 199 4 3 3" xfId="16793"/>
    <cellStyle name="Normal 199 4 4" xfId="16794"/>
    <cellStyle name="Normal 199 4 4 2" xfId="16795"/>
    <cellStyle name="Normal 199 4 4 2 2" xfId="16796"/>
    <cellStyle name="Normal 199 4 4 3" xfId="16797"/>
    <cellStyle name="Normal 199 4 5" xfId="16798"/>
    <cellStyle name="Normal 199 4 5 2" xfId="16799"/>
    <cellStyle name="Normal 199 4 5 2 2" xfId="16800"/>
    <cellStyle name="Normal 199 4 5 3" xfId="16801"/>
    <cellStyle name="Normal 199 4 6" xfId="16802"/>
    <cellStyle name="Normal 199 5" xfId="16803"/>
    <cellStyle name="Normal 199 5 2" xfId="16804"/>
    <cellStyle name="Normal 199 5 2 2" xfId="16805"/>
    <cellStyle name="Normal 199 5 3" xfId="16806"/>
    <cellStyle name="Normal 199 6" xfId="16807"/>
    <cellStyle name="Normal 199 6 2" xfId="16808"/>
    <cellStyle name="Normal 199 6 2 2" xfId="16809"/>
    <cellStyle name="Normal 199 6 3" xfId="16810"/>
    <cellStyle name="Normal 199 7" xfId="16811"/>
    <cellStyle name="Normal 199 7 2" xfId="16812"/>
    <cellStyle name="Normal 199 7 2 2" xfId="16813"/>
    <cellStyle name="Normal 199 7 3" xfId="16814"/>
    <cellStyle name="Normal 199 8" xfId="16815"/>
    <cellStyle name="Normal 2" xfId="28"/>
    <cellStyle name="Normal 2 10" xfId="16816"/>
    <cellStyle name="Normal 2 10 2" xfId="16817"/>
    <cellStyle name="Normal 2 11" xfId="16818"/>
    <cellStyle name="Normal 2 12" xfId="16819"/>
    <cellStyle name="Normal 2 13" xfId="16820"/>
    <cellStyle name="Normal 2 14" xfId="16821"/>
    <cellStyle name="Normal 2 15" xfId="16822"/>
    <cellStyle name="Normal 2 2" xfId="29"/>
    <cellStyle name="Normal 2 2 2" xfId="99"/>
    <cellStyle name="Normal 2 2 2 2" xfId="16823"/>
    <cellStyle name="Normal 2 2 2 2 2" xfId="16824"/>
    <cellStyle name="Normal 2 2 2 2 2 2" xfId="16825"/>
    <cellStyle name="Normal 2 2 2 2 3" xfId="16826"/>
    <cellStyle name="Normal 2 2 2 2 3 2" xfId="16827"/>
    <cellStyle name="Normal 2 2 2 2 3 2 2" xfId="16828"/>
    <cellStyle name="Normal 2 2 2 2 3 3" xfId="16829"/>
    <cellStyle name="Normal 2 2 2 2 4" xfId="16830"/>
    <cellStyle name="Normal 2 2 2 2 4 2" xfId="16831"/>
    <cellStyle name="Normal 2 2 2 2 4 2 2" xfId="16832"/>
    <cellStyle name="Normal 2 2 2 2 4 3" xfId="16833"/>
    <cellStyle name="Normal 2 2 2 2 5" xfId="16834"/>
    <cellStyle name="Normal 2 2 2 3" xfId="16835"/>
    <cellStyle name="Normal 2 2 2 3 2" xfId="16836"/>
    <cellStyle name="Normal 2 2 2 3 2 2" xfId="16837"/>
    <cellStyle name="Normal 2 2 2 3 2 2 2" xfId="16838"/>
    <cellStyle name="Normal 2 2 2 3 2 3" xfId="16839"/>
    <cellStyle name="Normal 2 2 2 3 2 3 2" xfId="16840"/>
    <cellStyle name="Normal 2 2 2 3 2 3 2 2" xfId="16841"/>
    <cellStyle name="Normal 2 2 2 3 2 3 3" xfId="16842"/>
    <cellStyle name="Normal 2 2 2 3 2 4" xfId="16843"/>
    <cellStyle name="Normal 2 2 2 3 3" xfId="16844"/>
    <cellStyle name="Normal 2 2 2 3 3 2" xfId="16845"/>
    <cellStyle name="Normal 2 2 2 3 3 2 2" xfId="16846"/>
    <cellStyle name="Normal 2 2 2 3 3 3" xfId="16847"/>
    <cellStyle name="Normal 2 2 2 3 4" xfId="16848"/>
    <cellStyle name="Normal 2 2 2 3 4 2" xfId="16849"/>
    <cellStyle name="Normal 2 2 2 3 4 2 2" xfId="16850"/>
    <cellStyle name="Normal 2 2 2 3 4 3" xfId="16851"/>
    <cellStyle name="Normal 2 2 2 3 5" xfId="16852"/>
    <cellStyle name="Normal 2 2 2 3 5 2" xfId="16853"/>
    <cellStyle name="Normal 2 2 2 3 5 2 2" xfId="16854"/>
    <cellStyle name="Normal 2 2 2 3 5 3" xfId="16855"/>
    <cellStyle name="Normal 2 2 2 3 6" xfId="16856"/>
    <cellStyle name="Normal 2 2 2 4" xfId="16857"/>
    <cellStyle name="Normal 2 2 2 4 2" xfId="16858"/>
    <cellStyle name="Normal 2 2 2 4 2 2" xfId="16859"/>
    <cellStyle name="Normal 2 2 2 4 3" xfId="16860"/>
    <cellStyle name="Normal 2 2 2 5" xfId="16861"/>
    <cellStyle name="Normal 2 2 2 5 2" xfId="16862"/>
    <cellStyle name="Normal 2 2 2 5 2 2" xfId="16863"/>
    <cellStyle name="Normal 2 2 2 5 3" xfId="16864"/>
    <cellStyle name="Normal 2 2 2 6" xfId="16865"/>
    <cellStyle name="Normal 2 2 2 6 2" xfId="16866"/>
    <cellStyle name="Normal 2 2 2 6 2 2" xfId="16867"/>
    <cellStyle name="Normal 2 2 2 6 3" xfId="16868"/>
    <cellStyle name="Normal 2 2 2 7" xfId="16869"/>
    <cellStyle name="Normal 2 2 3" xfId="16870"/>
    <cellStyle name="Normal 2 2 3 2" xfId="16871"/>
    <cellStyle name="Normal 2 2 3 2 2" xfId="16872"/>
    <cellStyle name="Normal 2 2 3 2 2 2" xfId="16873"/>
    <cellStyle name="Normal 2 2 3 2 3" xfId="16874"/>
    <cellStyle name="Normal 2 2 3 2 3 2" xfId="16875"/>
    <cellStyle name="Normal 2 2 3 2 3 2 2" xfId="16876"/>
    <cellStyle name="Normal 2 2 3 2 3 3" xfId="16877"/>
    <cellStyle name="Normal 2 2 3 2 4" xfId="16878"/>
    <cellStyle name="Normal 2 2 3 2 4 2" xfId="16879"/>
    <cellStyle name="Normal 2 2 3 2 4 2 2" xfId="16880"/>
    <cellStyle name="Normal 2 2 3 2 4 3" xfId="16881"/>
    <cellStyle name="Normal 2 2 3 2 5" xfId="16882"/>
    <cellStyle name="Normal 2 2 3 3" xfId="16883"/>
    <cellStyle name="Normal 2 2 3 3 2" xfId="16884"/>
    <cellStyle name="Normal 2 2 3 3 2 2" xfId="16885"/>
    <cellStyle name="Normal 2 2 3 3 2 2 2" xfId="16886"/>
    <cellStyle name="Normal 2 2 3 3 2 3" xfId="16887"/>
    <cellStyle name="Normal 2 2 3 3 2 3 2" xfId="16888"/>
    <cellStyle name="Normal 2 2 3 3 2 3 2 2" xfId="16889"/>
    <cellStyle name="Normal 2 2 3 3 2 3 3" xfId="16890"/>
    <cellStyle name="Normal 2 2 3 3 2 4" xfId="16891"/>
    <cellStyle name="Normal 2 2 3 3 3" xfId="16892"/>
    <cellStyle name="Normal 2 2 3 4" xfId="16893"/>
    <cellStyle name="Normal 2 2 3 4 2" xfId="16894"/>
    <cellStyle name="Normal 2 2 3 4 2 2" xfId="16895"/>
    <cellStyle name="Normal 2 2 3 4 3" xfId="16896"/>
    <cellStyle name="Normal 2 2 3 5" xfId="16897"/>
    <cellStyle name="Normal 2 2 3 5 2" xfId="16898"/>
    <cellStyle name="Normal 2 2 3 5 2 2" xfId="16899"/>
    <cellStyle name="Normal 2 2 3 5 3" xfId="16900"/>
    <cellStyle name="Normal 2 2 3 6" xfId="16901"/>
    <cellStyle name="Normal 2 2 4" xfId="16902"/>
    <cellStyle name="Normal 2 2 4 2" xfId="16903"/>
    <cellStyle name="Normal 2 2 4 2 2" xfId="16904"/>
    <cellStyle name="Normal 2 2 4 2 2 2" xfId="16905"/>
    <cellStyle name="Normal 2 2 4 2 3" xfId="16906"/>
    <cellStyle name="Normal 2 2 4 2 3 2" xfId="16907"/>
    <cellStyle name="Normal 2 2 4 2 3 2 2" xfId="16908"/>
    <cellStyle name="Normal 2 2 4 2 3 3" xfId="16909"/>
    <cellStyle name="Normal 2 2 4 2 4" xfId="16910"/>
    <cellStyle name="Normal 2 2 4 2 4 2" xfId="16911"/>
    <cellStyle name="Normal 2 2 4 2 4 2 2" xfId="16912"/>
    <cellStyle name="Normal 2 2 4 2 4 3" xfId="16913"/>
    <cellStyle name="Normal 2 2 4 2 5" xfId="16914"/>
    <cellStyle name="Normal 2 2 4 3" xfId="16915"/>
    <cellStyle name="Normal 2 2 4 3 2" xfId="16916"/>
    <cellStyle name="Normal 2 2 4 3 2 2" xfId="16917"/>
    <cellStyle name="Normal 2 2 4 3 2 2 2" xfId="16918"/>
    <cellStyle name="Normal 2 2 4 3 2 3" xfId="16919"/>
    <cellStyle name="Normal 2 2 4 3 2 3 2" xfId="16920"/>
    <cellStyle name="Normal 2 2 4 3 2 3 2 2" xfId="16921"/>
    <cellStyle name="Normal 2 2 4 3 2 3 3" xfId="16922"/>
    <cellStyle name="Normal 2 2 4 3 2 4" xfId="16923"/>
    <cellStyle name="Normal 2 2 4 3 3" xfId="16924"/>
    <cellStyle name="Normal 2 2 4 3 3 2" xfId="16925"/>
    <cellStyle name="Normal 2 2 4 3 3 2 2" xfId="16926"/>
    <cellStyle name="Normal 2 2 4 3 3 3" xfId="16927"/>
    <cellStyle name="Normal 2 2 4 3 4" xfId="16928"/>
    <cellStyle name="Normal 2 2 4 3 4 2" xfId="16929"/>
    <cellStyle name="Normal 2 2 4 3 4 2 2" xfId="16930"/>
    <cellStyle name="Normal 2 2 4 3 4 3" xfId="16931"/>
    <cellStyle name="Normal 2 2 4 3 5" xfId="16932"/>
    <cellStyle name="Normal 2 2 4 3 5 2" xfId="16933"/>
    <cellStyle name="Normal 2 2 4 3 5 2 2" xfId="16934"/>
    <cellStyle name="Normal 2 2 4 3 5 3" xfId="16935"/>
    <cellStyle name="Normal 2 2 4 3 6" xfId="16936"/>
    <cellStyle name="Normal 2 2 4 4" xfId="16937"/>
    <cellStyle name="Normal 2 2 5" xfId="16938"/>
    <cellStyle name="Normal 2 2 5 2" xfId="16939"/>
    <cellStyle name="Normal 2 2 5 2 2" xfId="16940"/>
    <cellStyle name="Normal 2 2 5 3" xfId="16941"/>
    <cellStyle name="Normal 2 2 5 3 2" xfId="16942"/>
    <cellStyle name="Normal 2 2 5 3 2 2" xfId="16943"/>
    <cellStyle name="Normal 2 2 5 3 3" xfId="16944"/>
    <cellStyle name="Normal 2 2 5 4" xfId="16945"/>
    <cellStyle name="Normal 2 2 5 4 2" xfId="16946"/>
    <cellStyle name="Normal 2 2 5 4 2 2" xfId="16947"/>
    <cellStyle name="Normal 2 2 5 4 3" xfId="16948"/>
    <cellStyle name="Normal 2 2 5 5" xfId="16949"/>
    <cellStyle name="Normal 2 2 6" xfId="16950"/>
    <cellStyle name="Normal 2 2 6 2" xfId="16951"/>
    <cellStyle name="Normal 2 2 6 2 2" xfId="16952"/>
    <cellStyle name="Normal 2 2 6 2 2 2" xfId="16953"/>
    <cellStyle name="Normal 2 2 6 2 3" xfId="16954"/>
    <cellStyle name="Normal 2 2 6 2 3 2" xfId="16955"/>
    <cellStyle name="Normal 2 2 6 2 3 2 2" xfId="16956"/>
    <cellStyle name="Normal 2 2 6 2 3 3" xfId="16957"/>
    <cellStyle name="Normal 2 2 6 2 4" xfId="16958"/>
    <cellStyle name="Normal 2 2 6 3" xfId="16959"/>
    <cellStyle name="Normal 2 2 6 3 2" xfId="16960"/>
    <cellStyle name="Normal 2 2 6 3 2 2" xfId="16961"/>
    <cellStyle name="Normal 2 2 6 3 3" xfId="16962"/>
    <cellStyle name="Normal 2 2 6 4" xfId="16963"/>
    <cellStyle name="Normal 2 2 6 4 2" xfId="16964"/>
    <cellStyle name="Normal 2 2 6 4 2 2" xfId="16965"/>
    <cellStyle name="Normal 2 2 6 4 3" xfId="16966"/>
    <cellStyle name="Normal 2 2 6 5" xfId="16967"/>
    <cellStyle name="Normal 2 2 6 5 2" xfId="16968"/>
    <cellStyle name="Normal 2 2 6 5 2 2" xfId="16969"/>
    <cellStyle name="Normal 2 2 6 5 3" xfId="16970"/>
    <cellStyle name="Normal 2 2 6 6" xfId="16971"/>
    <cellStyle name="Normal 2 2 7" xfId="16972"/>
    <cellStyle name="Normal 2 2 7 2" xfId="16973"/>
    <cellStyle name="Normal 2 2 7 2 2" xfId="16974"/>
    <cellStyle name="Normal 2 2 7 3" xfId="16975"/>
    <cellStyle name="Normal 2 2 8" xfId="16976"/>
    <cellStyle name="Normal 2 2 8 2" xfId="16977"/>
    <cellStyle name="Normal 2 2 9" xfId="16978"/>
    <cellStyle name="Normal 2 3" xfId="30"/>
    <cellStyle name="Normal 2 3 2" xfId="100"/>
    <cellStyle name="Normal 2 3 2 2" xfId="16980"/>
    <cellStyle name="Normal 2 3 2 2 2" xfId="16981"/>
    <cellStyle name="Normal 2 3 2 3" xfId="16982"/>
    <cellStyle name="Normal 2 3 2 3 2" xfId="16983"/>
    <cellStyle name="Normal 2 3 2 3 2 2" xfId="16984"/>
    <cellStyle name="Normal 2 3 2 3 3" xfId="16985"/>
    <cellStyle name="Normal 2 3 2 4" xfId="16986"/>
    <cellStyle name="Normal 2 3 2 4 2" xfId="16987"/>
    <cellStyle name="Normal 2 3 2 4 2 2" xfId="16988"/>
    <cellStyle name="Normal 2 3 2 4 3" xfId="16989"/>
    <cellStyle name="Normal 2 3 2 5" xfId="16990"/>
    <cellStyle name="Normal 2 3 2 6" xfId="16979"/>
    <cellStyle name="Normal 2 3 3" xfId="16991"/>
    <cellStyle name="Normal 2 3 3 2" xfId="16992"/>
    <cellStyle name="Normal 2 3 3 2 2" xfId="16993"/>
    <cellStyle name="Normal 2 3 3 2 2 2" xfId="16994"/>
    <cellStyle name="Normal 2 3 3 2 3" xfId="16995"/>
    <cellStyle name="Normal 2 3 3 2 3 2" xfId="16996"/>
    <cellStyle name="Normal 2 3 3 2 3 2 2" xfId="16997"/>
    <cellStyle name="Normal 2 3 3 2 3 3" xfId="16998"/>
    <cellStyle name="Normal 2 3 3 2 4" xfId="16999"/>
    <cellStyle name="Normal 2 3 3 3" xfId="17000"/>
    <cellStyle name="Normal 2 3 3 3 2" xfId="17001"/>
    <cellStyle name="Normal 2 3 3 3 2 2" xfId="17002"/>
    <cellStyle name="Normal 2 3 3 3 3" xfId="17003"/>
    <cellStyle name="Normal 2 3 3 4" xfId="17004"/>
    <cellStyle name="Normal 2 3 3 4 2" xfId="17005"/>
    <cellStyle name="Normal 2 3 3 4 2 2" xfId="17006"/>
    <cellStyle name="Normal 2 3 3 4 3" xfId="17007"/>
    <cellStyle name="Normal 2 3 3 5" xfId="17008"/>
    <cellStyle name="Normal 2 3 3 5 2" xfId="17009"/>
    <cellStyle name="Normal 2 3 3 5 2 2" xfId="17010"/>
    <cellStyle name="Normal 2 3 3 5 3" xfId="17011"/>
    <cellStyle name="Normal 2 3 3 6" xfId="17012"/>
    <cellStyle name="Normal 2 3 4" xfId="17013"/>
    <cellStyle name="Normal 2 3 4 2" xfId="17014"/>
    <cellStyle name="Normal 2 3 4 2 2" xfId="17015"/>
    <cellStyle name="Normal 2 3 4 3" xfId="17016"/>
    <cellStyle name="Normal 2 3 5" xfId="17017"/>
    <cellStyle name="Normal 2 3 5 2" xfId="17018"/>
    <cellStyle name="Normal 2 3 5 2 2" xfId="17019"/>
    <cellStyle name="Normal 2 3 5 3" xfId="17020"/>
    <cellStyle name="Normal 2 3 6" xfId="17021"/>
    <cellStyle name="Normal 2 3 6 2" xfId="17022"/>
    <cellStyle name="Normal 2 3 6 2 2" xfId="17023"/>
    <cellStyle name="Normal 2 3 6 3" xfId="17024"/>
    <cellStyle name="Normal 2 3 7" xfId="17025"/>
    <cellStyle name="Normal 2 3 7 2" xfId="17026"/>
    <cellStyle name="Normal 2 3 8" xfId="17027"/>
    <cellStyle name="Normal 2 4" xfId="31"/>
    <cellStyle name="Normal 2 4 2" xfId="101"/>
    <cellStyle name="Normal 2 4 2 2" xfId="17030"/>
    <cellStyle name="Normal 2 4 2 2 2" xfId="17031"/>
    <cellStyle name="Normal 2 4 2 3" xfId="17032"/>
    <cellStyle name="Normal 2 4 2 3 2" xfId="17033"/>
    <cellStyle name="Normal 2 4 2 3 2 2" xfId="17034"/>
    <cellStyle name="Normal 2 4 2 3 3" xfId="17035"/>
    <cellStyle name="Normal 2 4 2 4" xfId="17036"/>
    <cellStyle name="Normal 2 4 2 4 2" xfId="17037"/>
    <cellStyle name="Normal 2 4 2 4 2 2" xfId="17038"/>
    <cellStyle name="Normal 2 4 2 4 3" xfId="17039"/>
    <cellStyle name="Normal 2 4 2 5" xfId="17040"/>
    <cellStyle name="Normal 2 4 2 6" xfId="17029"/>
    <cellStyle name="Normal 2 4 3" xfId="17041"/>
    <cellStyle name="Normal 2 4 3 2" xfId="17042"/>
    <cellStyle name="Normal 2 4 3 2 2" xfId="17043"/>
    <cellStyle name="Normal 2 4 3 2 2 2" xfId="17044"/>
    <cellStyle name="Normal 2 4 3 2 3" xfId="17045"/>
    <cellStyle name="Normal 2 4 3 2 3 2" xfId="17046"/>
    <cellStyle name="Normal 2 4 3 2 3 2 2" xfId="17047"/>
    <cellStyle name="Normal 2 4 3 2 3 3" xfId="17048"/>
    <cellStyle name="Normal 2 4 3 2 4" xfId="17049"/>
    <cellStyle name="Normal 2 4 3 3" xfId="17050"/>
    <cellStyle name="Normal 2 4 4" xfId="17051"/>
    <cellStyle name="Normal 2 4 4 2" xfId="17052"/>
    <cellStyle name="Normal 2 4 4 2 2" xfId="17053"/>
    <cellStyle name="Normal 2 4 4 3" xfId="17054"/>
    <cellStyle name="Normal 2 4 5" xfId="17055"/>
    <cellStyle name="Normal 2 4 5 2" xfId="17056"/>
    <cellStyle name="Normal 2 4 5 2 2" xfId="17057"/>
    <cellStyle name="Normal 2 4 5 3" xfId="17058"/>
    <cellStyle name="Normal 2 4 6" xfId="17059"/>
    <cellStyle name="Normal 2 4 7" xfId="17028"/>
    <cellStyle name="Normal 2 5" xfId="98"/>
    <cellStyle name="Normal 2 5 2" xfId="17061"/>
    <cellStyle name="Normal 2 5 2 2" xfId="17062"/>
    <cellStyle name="Normal 2 5 2 2 2" xfId="17063"/>
    <cellStyle name="Normal 2 5 2 3" xfId="17064"/>
    <cellStyle name="Normal 2 5 2 3 2" xfId="17065"/>
    <cellStyle name="Normal 2 5 2 3 2 2" xfId="17066"/>
    <cellStyle name="Normal 2 5 2 3 3" xfId="17067"/>
    <cellStyle name="Normal 2 5 2 4" xfId="17068"/>
    <cellStyle name="Normal 2 5 2 4 2" xfId="17069"/>
    <cellStyle name="Normal 2 5 2 4 2 2" xfId="17070"/>
    <cellStyle name="Normal 2 5 2 4 3" xfId="17071"/>
    <cellStyle name="Normal 2 5 2 5" xfId="17072"/>
    <cellStyle name="Normal 2 5 3" xfId="17073"/>
    <cellStyle name="Normal 2 5 3 2" xfId="17074"/>
    <cellStyle name="Normal 2 5 3 2 2" xfId="17075"/>
    <cellStyle name="Normal 2 5 3 2 2 2" xfId="17076"/>
    <cellStyle name="Normal 2 5 3 2 3" xfId="17077"/>
    <cellStyle name="Normal 2 5 3 2 3 2" xfId="17078"/>
    <cellStyle name="Normal 2 5 3 2 3 2 2" xfId="17079"/>
    <cellStyle name="Normal 2 5 3 2 3 3" xfId="17080"/>
    <cellStyle name="Normal 2 5 3 2 4" xfId="17081"/>
    <cellStyle name="Normal 2 5 3 3" xfId="17082"/>
    <cellStyle name="Normal 2 5 4" xfId="17083"/>
    <cellStyle name="Normal 2 5 4 2" xfId="17084"/>
    <cellStyle name="Normal 2 5 4 2 2" xfId="17085"/>
    <cellStyle name="Normal 2 5 4 3" xfId="17086"/>
    <cellStyle name="Normal 2 5 5" xfId="17087"/>
    <cellStyle name="Normal 2 5 5 2" xfId="17088"/>
    <cellStyle name="Normal 2 5 5 2 2" xfId="17089"/>
    <cellStyle name="Normal 2 5 5 3" xfId="17090"/>
    <cellStyle name="Normal 2 5 6" xfId="17091"/>
    <cellStyle name="Normal 2 5 7" xfId="17060"/>
    <cellStyle name="Normal 2 6" xfId="81"/>
    <cellStyle name="Normal 2 6 10" xfId="203"/>
    <cellStyle name="Normal 2 6 10 2" xfId="339"/>
    <cellStyle name="Normal 2 6 10 3" xfId="462"/>
    <cellStyle name="Normal 2 6 10 4" xfId="544"/>
    <cellStyle name="Normal 2 6 10 5" xfId="53829"/>
    <cellStyle name="Normal 2 6 11" xfId="257"/>
    <cellStyle name="Normal 2 6 12" xfId="380"/>
    <cellStyle name="Normal 2 6 13" xfId="503"/>
    <cellStyle name="Normal 2 6 14" xfId="543"/>
    <cellStyle name="Normal 2 6 15" xfId="17092"/>
    <cellStyle name="Normal 2 6 16" xfId="53704"/>
    <cellStyle name="Normal 2 6 17" xfId="53745"/>
    <cellStyle name="Normal 2 6 2" xfId="109"/>
    <cellStyle name="Normal 2 6 2 10" xfId="382"/>
    <cellStyle name="Normal 2 6 2 11" xfId="505"/>
    <cellStyle name="Normal 2 6 2 12" xfId="545"/>
    <cellStyle name="Normal 2 6 2 13" xfId="17093"/>
    <cellStyle name="Normal 2 6 2 14" xfId="53706"/>
    <cellStyle name="Normal 2 6 2 15" xfId="53746"/>
    <cellStyle name="Normal 2 6 2 2" xfId="115"/>
    <cellStyle name="Normal 2 6 2 2 10" xfId="53712"/>
    <cellStyle name="Normal 2 6 2 2 11" xfId="53747"/>
    <cellStyle name="Normal 2 6 2 2 2" xfId="152"/>
    <cellStyle name="Normal 2 6 2 2 2 2" xfId="193"/>
    <cellStyle name="Normal 2 6 2 2 2 2 2" xfId="329"/>
    <cellStyle name="Normal 2 6 2 2 2 2 3" xfId="452"/>
    <cellStyle name="Normal 2 6 2 2 2 2 4" xfId="548"/>
    <cellStyle name="Normal 2 6 2 2 2 2 5" xfId="53819"/>
    <cellStyle name="Normal 2 6 2 2 2 3" xfId="234"/>
    <cellStyle name="Normal 2 6 2 2 2 3 2" xfId="370"/>
    <cellStyle name="Normal 2 6 2 2 2 3 3" xfId="493"/>
    <cellStyle name="Normal 2 6 2 2 2 3 4" xfId="549"/>
    <cellStyle name="Normal 2 6 2 2 2 3 5" xfId="53860"/>
    <cellStyle name="Normal 2 6 2 2 2 4" xfId="288"/>
    <cellStyle name="Normal 2 6 2 2 2 5" xfId="411"/>
    <cellStyle name="Normal 2 6 2 2 2 6" xfId="534"/>
    <cellStyle name="Normal 2 6 2 2 2 7" xfId="547"/>
    <cellStyle name="Normal 2 6 2 2 2 8" xfId="53735"/>
    <cellStyle name="Normal 2 6 2 2 2 9" xfId="53748"/>
    <cellStyle name="Normal 2 6 2 2 3" xfId="170"/>
    <cellStyle name="Normal 2 6 2 2 3 2" xfId="306"/>
    <cellStyle name="Normal 2 6 2 2 3 3" xfId="429"/>
    <cellStyle name="Normal 2 6 2 2 3 4" xfId="550"/>
    <cellStyle name="Normal 2 6 2 2 3 5" xfId="53796"/>
    <cellStyle name="Normal 2 6 2 2 4" xfId="211"/>
    <cellStyle name="Normal 2 6 2 2 4 2" xfId="347"/>
    <cellStyle name="Normal 2 6 2 2 4 3" xfId="470"/>
    <cellStyle name="Normal 2 6 2 2 4 4" xfId="551"/>
    <cellStyle name="Normal 2 6 2 2 4 5" xfId="53837"/>
    <cellStyle name="Normal 2 6 2 2 5" xfId="265"/>
    <cellStyle name="Normal 2 6 2 2 6" xfId="388"/>
    <cellStyle name="Normal 2 6 2 2 7" xfId="511"/>
    <cellStyle name="Normal 2 6 2 2 8" xfId="546"/>
    <cellStyle name="Normal 2 6 2 2 9" xfId="17094"/>
    <cellStyle name="Normal 2 6 2 3" xfId="119"/>
    <cellStyle name="Normal 2 6 2 3 10" xfId="53716"/>
    <cellStyle name="Normal 2 6 2 3 11" xfId="53749"/>
    <cellStyle name="Normal 2 6 2 3 2" xfId="156"/>
    <cellStyle name="Normal 2 6 2 3 2 2" xfId="197"/>
    <cellStyle name="Normal 2 6 2 3 2 2 2" xfId="333"/>
    <cellStyle name="Normal 2 6 2 3 2 2 3" xfId="456"/>
    <cellStyle name="Normal 2 6 2 3 2 2 4" xfId="554"/>
    <cellStyle name="Normal 2 6 2 3 2 2 5" xfId="53823"/>
    <cellStyle name="Normal 2 6 2 3 2 3" xfId="238"/>
    <cellStyle name="Normal 2 6 2 3 2 3 2" xfId="374"/>
    <cellStyle name="Normal 2 6 2 3 2 3 3" xfId="497"/>
    <cellStyle name="Normal 2 6 2 3 2 3 4" xfId="555"/>
    <cellStyle name="Normal 2 6 2 3 2 3 5" xfId="53864"/>
    <cellStyle name="Normal 2 6 2 3 2 4" xfId="292"/>
    <cellStyle name="Normal 2 6 2 3 2 5" xfId="415"/>
    <cellStyle name="Normal 2 6 2 3 2 6" xfId="538"/>
    <cellStyle name="Normal 2 6 2 3 2 7" xfId="553"/>
    <cellStyle name="Normal 2 6 2 3 2 8" xfId="53739"/>
    <cellStyle name="Normal 2 6 2 3 2 9" xfId="53750"/>
    <cellStyle name="Normal 2 6 2 3 3" xfId="174"/>
    <cellStyle name="Normal 2 6 2 3 3 2" xfId="310"/>
    <cellStyle name="Normal 2 6 2 3 3 3" xfId="433"/>
    <cellStyle name="Normal 2 6 2 3 3 4" xfId="556"/>
    <cellStyle name="Normal 2 6 2 3 3 5" xfId="53800"/>
    <cellStyle name="Normal 2 6 2 3 4" xfId="215"/>
    <cellStyle name="Normal 2 6 2 3 4 2" xfId="351"/>
    <cellStyle name="Normal 2 6 2 3 4 3" xfId="474"/>
    <cellStyle name="Normal 2 6 2 3 4 4" xfId="557"/>
    <cellStyle name="Normal 2 6 2 3 4 5" xfId="53841"/>
    <cellStyle name="Normal 2 6 2 3 5" xfId="269"/>
    <cellStyle name="Normal 2 6 2 3 6" xfId="392"/>
    <cellStyle name="Normal 2 6 2 3 7" xfId="515"/>
    <cellStyle name="Normal 2 6 2 3 8" xfId="552"/>
    <cellStyle name="Normal 2 6 2 3 9" xfId="53699"/>
    <cellStyle name="Normal 2 6 2 4" xfId="123"/>
    <cellStyle name="Normal 2 6 2 4 10" xfId="53720"/>
    <cellStyle name="Normal 2 6 2 4 11" xfId="53751"/>
    <cellStyle name="Normal 2 6 2 4 2" xfId="160"/>
    <cellStyle name="Normal 2 6 2 4 2 2" xfId="201"/>
    <cellStyle name="Normal 2 6 2 4 2 2 2" xfId="337"/>
    <cellStyle name="Normal 2 6 2 4 2 2 3" xfId="460"/>
    <cellStyle name="Normal 2 6 2 4 2 2 4" xfId="560"/>
    <cellStyle name="Normal 2 6 2 4 2 2 5" xfId="53827"/>
    <cellStyle name="Normal 2 6 2 4 2 3" xfId="242"/>
    <cellStyle name="Normal 2 6 2 4 2 3 2" xfId="378"/>
    <cellStyle name="Normal 2 6 2 4 2 3 3" xfId="501"/>
    <cellStyle name="Normal 2 6 2 4 2 3 4" xfId="561"/>
    <cellStyle name="Normal 2 6 2 4 2 3 5" xfId="53868"/>
    <cellStyle name="Normal 2 6 2 4 2 4" xfId="296"/>
    <cellStyle name="Normal 2 6 2 4 2 5" xfId="419"/>
    <cellStyle name="Normal 2 6 2 4 2 6" xfId="542"/>
    <cellStyle name="Normal 2 6 2 4 2 7" xfId="559"/>
    <cellStyle name="Normal 2 6 2 4 2 8" xfId="53743"/>
    <cellStyle name="Normal 2 6 2 4 2 9" xfId="53752"/>
    <cellStyle name="Normal 2 6 2 4 3" xfId="178"/>
    <cellStyle name="Normal 2 6 2 4 3 2" xfId="314"/>
    <cellStyle name="Normal 2 6 2 4 3 3" xfId="437"/>
    <cellStyle name="Normal 2 6 2 4 3 4" xfId="562"/>
    <cellStyle name="Normal 2 6 2 4 3 5" xfId="53804"/>
    <cellStyle name="Normal 2 6 2 4 4" xfId="219"/>
    <cellStyle name="Normal 2 6 2 4 4 2" xfId="355"/>
    <cellStyle name="Normal 2 6 2 4 4 3" xfId="478"/>
    <cellStyle name="Normal 2 6 2 4 4 4" xfId="563"/>
    <cellStyle name="Normal 2 6 2 4 4 5" xfId="53845"/>
    <cellStyle name="Normal 2 6 2 4 5" xfId="273"/>
    <cellStyle name="Normal 2 6 2 4 6" xfId="396"/>
    <cellStyle name="Normal 2 6 2 4 7" xfId="519"/>
    <cellStyle name="Normal 2 6 2 4 8" xfId="558"/>
    <cellStyle name="Normal 2 6 2 4 9" xfId="53700"/>
    <cellStyle name="Normal 2 6 2 5" xfId="146"/>
    <cellStyle name="Normal 2 6 2 5 2" xfId="187"/>
    <cellStyle name="Normal 2 6 2 5 2 2" xfId="323"/>
    <cellStyle name="Normal 2 6 2 5 2 3" xfId="446"/>
    <cellStyle name="Normal 2 6 2 5 2 4" xfId="565"/>
    <cellStyle name="Normal 2 6 2 5 2 5" xfId="53813"/>
    <cellStyle name="Normal 2 6 2 5 3" xfId="228"/>
    <cellStyle name="Normal 2 6 2 5 3 2" xfId="364"/>
    <cellStyle name="Normal 2 6 2 5 3 3" xfId="487"/>
    <cellStyle name="Normal 2 6 2 5 3 4" xfId="566"/>
    <cellStyle name="Normal 2 6 2 5 3 5" xfId="53854"/>
    <cellStyle name="Normal 2 6 2 5 4" xfId="282"/>
    <cellStyle name="Normal 2 6 2 5 5" xfId="405"/>
    <cellStyle name="Normal 2 6 2 5 6" xfId="528"/>
    <cellStyle name="Normal 2 6 2 5 7" xfId="564"/>
    <cellStyle name="Normal 2 6 2 5 8" xfId="53729"/>
    <cellStyle name="Normal 2 6 2 5 9" xfId="53753"/>
    <cellStyle name="Normal 2 6 2 6" xfId="142"/>
    <cellStyle name="Normal 2 6 2 6 2" xfId="183"/>
    <cellStyle name="Normal 2 6 2 6 2 2" xfId="319"/>
    <cellStyle name="Normal 2 6 2 6 2 3" xfId="442"/>
    <cellStyle name="Normal 2 6 2 6 2 4" xfId="568"/>
    <cellStyle name="Normal 2 6 2 6 2 5" xfId="53809"/>
    <cellStyle name="Normal 2 6 2 6 3" xfId="224"/>
    <cellStyle name="Normal 2 6 2 6 3 2" xfId="360"/>
    <cellStyle name="Normal 2 6 2 6 3 3" xfId="483"/>
    <cellStyle name="Normal 2 6 2 6 3 4" xfId="569"/>
    <cellStyle name="Normal 2 6 2 6 3 5" xfId="53850"/>
    <cellStyle name="Normal 2 6 2 6 4" xfId="278"/>
    <cellStyle name="Normal 2 6 2 6 5" xfId="401"/>
    <cellStyle name="Normal 2 6 2 6 6" xfId="524"/>
    <cellStyle name="Normal 2 6 2 6 7" xfId="567"/>
    <cellStyle name="Normal 2 6 2 6 8" xfId="53725"/>
    <cellStyle name="Normal 2 6 2 6 9" xfId="53754"/>
    <cellStyle name="Normal 2 6 2 7" xfId="164"/>
    <cellStyle name="Normal 2 6 2 7 2" xfId="300"/>
    <cellStyle name="Normal 2 6 2 7 3" xfId="423"/>
    <cellStyle name="Normal 2 6 2 7 4" xfId="570"/>
    <cellStyle name="Normal 2 6 2 7 5" xfId="53790"/>
    <cellStyle name="Normal 2 6 2 8" xfId="205"/>
    <cellStyle name="Normal 2 6 2 8 2" xfId="341"/>
    <cellStyle name="Normal 2 6 2 8 3" xfId="464"/>
    <cellStyle name="Normal 2 6 2 8 4" xfId="571"/>
    <cellStyle name="Normal 2 6 2 8 5" xfId="53831"/>
    <cellStyle name="Normal 2 6 2 9" xfId="259"/>
    <cellStyle name="Normal 2 6 3" xfId="110"/>
    <cellStyle name="Normal 2 6 3 10" xfId="53707"/>
    <cellStyle name="Normal 2 6 3 11" xfId="53755"/>
    <cellStyle name="Normal 2 6 3 2" xfId="147"/>
    <cellStyle name="Normal 2 6 3 2 10" xfId="53756"/>
    <cellStyle name="Normal 2 6 3 2 2" xfId="188"/>
    <cellStyle name="Normal 2 6 3 2 2 2" xfId="324"/>
    <cellStyle name="Normal 2 6 3 2 2 3" xfId="447"/>
    <cellStyle name="Normal 2 6 3 2 2 4" xfId="574"/>
    <cellStyle name="Normal 2 6 3 2 2 5" xfId="17097"/>
    <cellStyle name="Normal 2 6 3 2 2 6" xfId="53814"/>
    <cellStyle name="Normal 2 6 3 2 3" xfId="229"/>
    <cellStyle name="Normal 2 6 3 2 3 2" xfId="365"/>
    <cellStyle name="Normal 2 6 3 2 3 3" xfId="488"/>
    <cellStyle name="Normal 2 6 3 2 3 4" xfId="575"/>
    <cellStyle name="Normal 2 6 3 2 3 5" xfId="53855"/>
    <cellStyle name="Normal 2 6 3 2 4" xfId="283"/>
    <cellStyle name="Normal 2 6 3 2 5" xfId="406"/>
    <cellStyle name="Normal 2 6 3 2 6" xfId="529"/>
    <cellStyle name="Normal 2 6 3 2 7" xfId="573"/>
    <cellStyle name="Normal 2 6 3 2 8" xfId="17096"/>
    <cellStyle name="Normal 2 6 3 2 9" xfId="53730"/>
    <cellStyle name="Normal 2 6 3 3" xfId="165"/>
    <cellStyle name="Normal 2 6 3 3 2" xfId="301"/>
    <cellStyle name="Normal 2 6 3 3 3" xfId="424"/>
    <cellStyle name="Normal 2 6 3 3 4" xfId="576"/>
    <cellStyle name="Normal 2 6 3 3 5" xfId="17098"/>
    <cellStyle name="Normal 2 6 3 3 6" xfId="53791"/>
    <cellStyle name="Normal 2 6 3 4" xfId="206"/>
    <cellStyle name="Normal 2 6 3 4 2" xfId="342"/>
    <cellStyle name="Normal 2 6 3 4 3" xfId="465"/>
    <cellStyle name="Normal 2 6 3 4 4" xfId="577"/>
    <cellStyle name="Normal 2 6 3 4 5" xfId="53832"/>
    <cellStyle name="Normal 2 6 3 5" xfId="260"/>
    <cellStyle name="Normal 2 6 3 6" xfId="383"/>
    <cellStyle name="Normal 2 6 3 7" xfId="506"/>
    <cellStyle name="Normal 2 6 3 8" xfId="572"/>
    <cellStyle name="Normal 2 6 3 9" xfId="17095"/>
    <cellStyle name="Normal 2 6 4" xfId="113"/>
    <cellStyle name="Normal 2 6 4 10" xfId="53710"/>
    <cellStyle name="Normal 2 6 4 11" xfId="53757"/>
    <cellStyle name="Normal 2 6 4 2" xfId="150"/>
    <cellStyle name="Normal 2 6 4 2 10" xfId="53758"/>
    <cellStyle name="Normal 2 6 4 2 2" xfId="191"/>
    <cellStyle name="Normal 2 6 4 2 2 2" xfId="327"/>
    <cellStyle name="Normal 2 6 4 2 2 3" xfId="450"/>
    <cellStyle name="Normal 2 6 4 2 2 4" xfId="580"/>
    <cellStyle name="Normal 2 6 4 2 2 5" xfId="17101"/>
    <cellStyle name="Normal 2 6 4 2 2 6" xfId="53817"/>
    <cellStyle name="Normal 2 6 4 2 3" xfId="232"/>
    <cellStyle name="Normal 2 6 4 2 3 2" xfId="368"/>
    <cellStyle name="Normal 2 6 4 2 3 3" xfId="491"/>
    <cellStyle name="Normal 2 6 4 2 3 4" xfId="581"/>
    <cellStyle name="Normal 2 6 4 2 3 5" xfId="53858"/>
    <cellStyle name="Normal 2 6 4 2 4" xfId="286"/>
    <cellStyle name="Normal 2 6 4 2 5" xfId="409"/>
    <cellStyle name="Normal 2 6 4 2 6" xfId="532"/>
    <cellStyle name="Normal 2 6 4 2 7" xfId="579"/>
    <cellStyle name="Normal 2 6 4 2 8" xfId="17100"/>
    <cellStyle name="Normal 2 6 4 2 9" xfId="53733"/>
    <cellStyle name="Normal 2 6 4 3" xfId="168"/>
    <cellStyle name="Normal 2 6 4 3 2" xfId="304"/>
    <cellStyle name="Normal 2 6 4 3 3" xfId="427"/>
    <cellStyle name="Normal 2 6 4 3 4" xfId="582"/>
    <cellStyle name="Normal 2 6 4 3 5" xfId="17102"/>
    <cellStyle name="Normal 2 6 4 3 6" xfId="53794"/>
    <cellStyle name="Normal 2 6 4 4" xfId="209"/>
    <cellStyle name="Normal 2 6 4 4 2" xfId="345"/>
    <cellStyle name="Normal 2 6 4 4 3" xfId="468"/>
    <cellStyle name="Normal 2 6 4 4 4" xfId="583"/>
    <cellStyle name="Normal 2 6 4 4 5" xfId="53835"/>
    <cellStyle name="Normal 2 6 4 5" xfId="263"/>
    <cellStyle name="Normal 2 6 4 6" xfId="386"/>
    <cellStyle name="Normal 2 6 4 7" xfId="509"/>
    <cellStyle name="Normal 2 6 4 8" xfId="578"/>
    <cellStyle name="Normal 2 6 4 9" xfId="17099"/>
    <cellStyle name="Normal 2 6 5" xfId="117"/>
    <cellStyle name="Normal 2 6 5 10" xfId="53714"/>
    <cellStyle name="Normal 2 6 5 11" xfId="53759"/>
    <cellStyle name="Normal 2 6 5 2" xfId="154"/>
    <cellStyle name="Normal 2 6 5 2 2" xfId="195"/>
    <cellStyle name="Normal 2 6 5 2 2 2" xfId="331"/>
    <cellStyle name="Normal 2 6 5 2 2 3" xfId="454"/>
    <cellStyle name="Normal 2 6 5 2 2 4" xfId="586"/>
    <cellStyle name="Normal 2 6 5 2 2 5" xfId="53821"/>
    <cellStyle name="Normal 2 6 5 2 3" xfId="236"/>
    <cellStyle name="Normal 2 6 5 2 3 2" xfId="372"/>
    <cellStyle name="Normal 2 6 5 2 3 3" xfId="495"/>
    <cellStyle name="Normal 2 6 5 2 3 4" xfId="587"/>
    <cellStyle name="Normal 2 6 5 2 3 5" xfId="53862"/>
    <cellStyle name="Normal 2 6 5 2 4" xfId="290"/>
    <cellStyle name="Normal 2 6 5 2 5" xfId="413"/>
    <cellStyle name="Normal 2 6 5 2 6" xfId="536"/>
    <cellStyle name="Normal 2 6 5 2 7" xfId="585"/>
    <cellStyle name="Normal 2 6 5 2 8" xfId="53737"/>
    <cellStyle name="Normal 2 6 5 2 9" xfId="53760"/>
    <cellStyle name="Normal 2 6 5 3" xfId="172"/>
    <cellStyle name="Normal 2 6 5 3 2" xfId="308"/>
    <cellStyle name="Normal 2 6 5 3 3" xfId="431"/>
    <cellStyle name="Normal 2 6 5 3 4" xfId="588"/>
    <cellStyle name="Normal 2 6 5 3 5" xfId="53798"/>
    <cellStyle name="Normal 2 6 5 4" xfId="213"/>
    <cellStyle name="Normal 2 6 5 4 2" xfId="349"/>
    <cellStyle name="Normal 2 6 5 4 3" xfId="472"/>
    <cellStyle name="Normal 2 6 5 4 4" xfId="589"/>
    <cellStyle name="Normal 2 6 5 4 5" xfId="53839"/>
    <cellStyle name="Normal 2 6 5 5" xfId="267"/>
    <cellStyle name="Normal 2 6 5 6" xfId="390"/>
    <cellStyle name="Normal 2 6 5 7" xfId="513"/>
    <cellStyle name="Normal 2 6 5 8" xfId="584"/>
    <cellStyle name="Normal 2 6 5 9" xfId="17103"/>
    <cellStyle name="Normal 2 6 6" xfId="121"/>
    <cellStyle name="Normal 2 6 6 10" xfId="53718"/>
    <cellStyle name="Normal 2 6 6 11" xfId="53761"/>
    <cellStyle name="Normal 2 6 6 2" xfId="158"/>
    <cellStyle name="Normal 2 6 6 2 2" xfId="199"/>
    <cellStyle name="Normal 2 6 6 2 2 2" xfId="335"/>
    <cellStyle name="Normal 2 6 6 2 2 3" xfId="458"/>
    <cellStyle name="Normal 2 6 6 2 2 4" xfId="592"/>
    <cellStyle name="Normal 2 6 6 2 2 5" xfId="53825"/>
    <cellStyle name="Normal 2 6 6 2 3" xfId="240"/>
    <cellStyle name="Normal 2 6 6 2 3 2" xfId="376"/>
    <cellStyle name="Normal 2 6 6 2 3 3" xfId="499"/>
    <cellStyle name="Normal 2 6 6 2 3 4" xfId="593"/>
    <cellStyle name="Normal 2 6 6 2 3 5" xfId="53866"/>
    <cellStyle name="Normal 2 6 6 2 4" xfId="294"/>
    <cellStyle name="Normal 2 6 6 2 5" xfId="417"/>
    <cellStyle name="Normal 2 6 6 2 6" xfId="540"/>
    <cellStyle name="Normal 2 6 6 2 7" xfId="591"/>
    <cellStyle name="Normal 2 6 6 2 8" xfId="53741"/>
    <cellStyle name="Normal 2 6 6 2 9" xfId="53762"/>
    <cellStyle name="Normal 2 6 6 3" xfId="176"/>
    <cellStyle name="Normal 2 6 6 3 2" xfId="312"/>
    <cellStyle name="Normal 2 6 6 3 3" xfId="435"/>
    <cellStyle name="Normal 2 6 6 3 4" xfId="594"/>
    <cellStyle name="Normal 2 6 6 3 5" xfId="53802"/>
    <cellStyle name="Normal 2 6 6 4" xfId="217"/>
    <cellStyle name="Normal 2 6 6 4 2" xfId="353"/>
    <cellStyle name="Normal 2 6 6 4 3" xfId="476"/>
    <cellStyle name="Normal 2 6 6 4 4" xfId="595"/>
    <cellStyle name="Normal 2 6 6 4 5" xfId="53843"/>
    <cellStyle name="Normal 2 6 6 5" xfId="271"/>
    <cellStyle name="Normal 2 6 6 6" xfId="394"/>
    <cellStyle name="Normal 2 6 6 7" xfId="517"/>
    <cellStyle name="Normal 2 6 6 8" xfId="590"/>
    <cellStyle name="Normal 2 6 6 9" xfId="53701"/>
    <cellStyle name="Normal 2 6 7" xfId="144"/>
    <cellStyle name="Normal 2 6 7 2" xfId="185"/>
    <cellStyle name="Normal 2 6 7 2 2" xfId="321"/>
    <cellStyle name="Normal 2 6 7 2 3" xfId="444"/>
    <cellStyle name="Normal 2 6 7 2 4" xfId="597"/>
    <cellStyle name="Normal 2 6 7 2 5" xfId="53811"/>
    <cellStyle name="Normal 2 6 7 3" xfId="226"/>
    <cellStyle name="Normal 2 6 7 3 2" xfId="362"/>
    <cellStyle name="Normal 2 6 7 3 3" xfId="485"/>
    <cellStyle name="Normal 2 6 7 3 4" xfId="598"/>
    <cellStyle name="Normal 2 6 7 3 5" xfId="53852"/>
    <cellStyle name="Normal 2 6 7 4" xfId="280"/>
    <cellStyle name="Normal 2 6 7 5" xfId="403"/>
    <cellStyle name="Normal 2 6 7 6" xfId="526"/>
    <cellStyle name="Normal 2 6 7 7" xfId="596"/>
    <cellStyle name="Normal 2 6 7 8" xfId="53727"/>
    <cellStyle name="Normal 2 6 7 9" xfId="53763"/>
    <cellStyle name="Normal 2 6 8" xfId="136"/>
    <cellStyle name="Normal 2 6 8 2" xfId="180"/>
    <cellStyle name="Normal 2 6 8 2 2" xfId="316"/>
    <cellStyle name="Normal 2 6 8 2 3" xfId="439"/>
    <cellStyle name="Normal 2 6 8 2 4" xfId="600"/>
    <cellStyle name="Normal 2 6 8 2 5" xfId="53806"/>
    <cellStyle name="Normal 2 6 8 3" xfId="221"/>
    <cellStyle name="Normal 2 6 8 3 2" xfId="357"/>
    <cellStyle name="Normal 2 6 8 3 3" xfId="480"/>
    <cellStyle name="Normal 2 6 8 3 4" xfId="601"/>
    <cellStyle name="Normal 2 6 8 3 5" xfId="53847"/>
    <cellStyle name="Normal 2 6 8 4" xfId="275"/>
    <cellStyle name="Normal 2 6 8 5" xfId="398"/>
    <cellStyle name="Normal 2 6 8 6" xfId="521"/>
    <cellStyle name="Normal 2 6 8 7" xfId="599"/>
    <cellStyle name="Normal 2 6 8 8" xfId="53722"/>
    <cellStyle name="Normal 2 6 8 9" xfId="53764"/>
    <cellStyle name="Normal 2 6 9" xfId="162"/>
    <cellStyle name="Normal 2 6 9 2" xfId="298"/>
    <cellStyle name="Normal 2 6 9 3" xfId="421"/>
    <cellStyle name="Normal 2 6 9 4" xfId="602"/>
    <cellStyle name="Normal 2 6 9 5" xfId="53788"/>
    <cellStyle name="Normal 2 7" xfId="126"/>
    <cellStyle name="Normal 2 7 2" xfId="17104"/>
    <cellStyle name="Normal 2 7 2 2" xfId="17105"/>
    <cellStyle name="Normal 2 7 3" xfId="17106"/>
    <cellStyle name="Normal 2 8" xfId="17107"/>
    <cellStyle name="Normal 2 8 2" xfId="17108"/>
    <cellStyle name="Normal 2 8 2 2" xfId="17109"/>
    <cellStyle name="Normal 2 8 3" xfId="17110"/>
    <cellStyle name="Normal 2 9" xfId="17111"/>
    <cellStyle name="Normal 2 9 2" xfId="17112"/>
    <cellStyle name="Normal 2_Action Item List 01.27.10" xfId="17113"/>
    <cellStyle name="Normal 20" xfId="17114"/>
    <cellStyle name="Normal 20 2" xfId="17115"/>
    <cellStyle name="Normal 20 2 2" xfId="17116"/>
    <cellStyle name="Normal 20 2 2 2" xfId="17117"/>
    <cellStyle name="Normal 20 2 2 2 2" xfId="17118"/>
    <cellStyle name="Normal 20 2 2 3" xfId="17119"/>
    <cellStyle name="Normal 20 2 2 3 2" xfId="17120"/>
    <cellStyle name="Normal 20 2 2 3 2 2" xfId="17121"/>
    <cellStyle name="Normal 20 2 2 3 3" xfId="17122"/>
    <cellStyle name="Normal 20 2 2 4" xfId="17123"/>
    <cellStyle name="Normal 20 2 2 4 2" xfId="17124"/>
    <cellStyle name="Normal 20 2 2 4 2 2" xfId="17125"/>
    <cellStyle name="Normal 20 2 2 4 3" xfId="17126"/>
    <cellStyle name="Normal 20 2 2 5" xfId="17127"/>
    <cellStyle name="Normal 20 2 3" xfId="17128"/>
    <cellStyle name="Normal 20 2 3 2" xfId="17129"/>
    <cellStyle name="Normal 20 2 3 2 2" xfId="17130"/>
    <cellStyle name="Normal 20 2 3 3" xfId="17131"/>
    <cellStyle name="Normal 20 2 4" xfId="17132"/>
    <cellStyle name="Normal 20 2 4 2" xfId="17133"/>
    <cellStyle name="Normal 20 2 4 2 2" xfId="17134"/>
    <cellStyle name="Normal 20 2 4 3" xfId="17135"/>
    <cellStyle name="Normal 20 2 5" xfId="17136"/>
    <cellStyle name="Normal 20 2 5 2" xfId="17137"/>
    <cellStyle name="Normal 20 2 5 2 2" xfId="17138"/>
    <cellStyle name="Normal 20 2 5 3" xfId="17139"/>
    <cellStyle name="Normal 20 2 6" xfId="17140"/>
    <cellStyle name="Normal 20 3" xfId="17141"/>
    <cellStyle name="Normal 20 3 2" xfId="17142"/>
    <cellStyle name="Normal 20 3 2 2" xfId="17143"/>
    <cellStyle name="Normal 20 3 3" xfId="17144"/>
    <cellStyle name="Normal 20 3 3 2" xfId="17145"/>
    <cellStyle name="Normal 20 3 3 2 2" xfId="17146"/>
    <cellStyle name="Normal 20 3 3 3" xfId="17147"/>
    <cellStyle name="Normal 20 3 4" xfId="17148"/>
    <cellStyle name="Normal 20 3 4 2" xfId="17149"/>
    <cellStyle name="Normal 20 3 4 2 2" xfId="17150"/>
    <cellStyle name="Normal 20 3 4 3" xfId="17151"/>
    <cellStyle name="Normal 20 3 5" xfId="17152"/>
    <cellStyle name="Normal 20 4" xfId="17153"/>
    <cellStyle name="Normal 20 4 2" xfId="17154"/>
    <cellStyle name="Normal 20 4 2 2" xfId="17155"/>
    <cellStyle name="Normal 20 4 2 2 2" xfId="17156"/>
    <cellStyle name="Normal 20 4 2 3" xfId="17157"/>
    <cellStyle name="Normal 20 4 2 3 2" xfId="17158"/>
    <cellStyle name="Normal 20 4 2 3 2 2" xfId="17159"/>
    <cellStyle name="Normal 20 4 2 3 3" xfId="17160"/>
    <cellStyle name="Normal 20 4 2 4" xfId="17161"/>
    <cellStyle name="Normal 20 4 3" xfId="17162"/>
    <cellStyle name="Normal 20 4 3 2" xfId="17163"/>
    <cellStyle name="Normal 20 4 3 2 2" xfId="17164"/>
    <cellStyle name="Normal 20 4 3 3" xfId="17165"/>
    <cellStyle name="Normal 20 4 4" xfId="17166"/>
    <cellStyle name="Normal 20 4 4 2" xfId="17167"/>
    <cellStyle name="Normal 20 4 4 2 2" xfId="17168"/>
    <cellStyle name="Normal 20 4 4 3" xfId="17169"/>
    <cellStyle name="Normal 20 4 5" xfId="17170"/>
    <cellStyle name="Normal 20 4 5 2" xfId="17171"/>
    <cellStyle name="Normal 20 4 5 2 2" xfId="17172"/>
    <cellStyle name="Normal 20 4 5 3" xfId="17173"/>
    <cellStyle name="Normal 20 4 6" xfId="17174"/>
    <cellStyle name="Normal 20 5" xfId="17175"/>
    <cellStyle name="Normal 200" xfId="17176"/>
    <cellStyle name="Normal 200 2" xfId="17177"/>
    <cellStyle name="Normal 200 2 2" xfId="17178"/>
    <cellStyle name="Normal 200 2 2 2" xfId="17179"/>
    <cellStyle name="Normal 200 2 2 2 2" xfId="17180"/>
    <cellStyle name="Normal 200 2 2 3" xfId="17181"/>
    <cellStyle name="Normal 200 2 2 3 2" xfId="17182"/>
    <cellStyle name="Normal 200 2 2 3 2 2" xfId="17183"/>
    <cellStyle name="Normal 200 2 2 3 3" xfId="17184"/>
    <cellStyle name="Normal 200 2 2 4" xfId="17185"/>
    <cellStyle name="Normal 200 2 2 4 2" xfId="17186"/>
    <cellStyle name="Normal 200 2 2 4 2 2" xfId="17187"/>
    <cellStyle name="Normal 200 2 2 4 3" xfId="17188"/>
    <cellStyle name="Normal 200 2 2 5" xfId="17189"/>
    <cellStyle name="Normal 200 2 3" xfId="17190"/>
    <cellStyle name="Normal 200 2 3 2" xfId="17191"/>
    <cellStyle name="Normal 200 2 3 2 2" xfId="17192"/>
    <cellStyle name="Normal 200 2 3 2 2 2" xfId="17193"/>
    <cellStyle name="Normal 200 2 3 2 3" xfId="17194"/>
    <cellStyle name="Normal 200 2 3 2 3 2" xfId="17195"/>
    <cellStyle name="Normal 200 2 3 2 3 2 2" xfId="17196"/>
    <cellStyle name="Normal 200 2 3 2 3 3" xfId="17197"/>
    <cellStyle name="Normal 200 2 3 2 4" xfId="17198"/>
    <cellStyle name="Normal 200 2 3 3" xfId="17199"/>
    <cellStyle name="Normal 200 2 3 3 2" xfId="17200"/>
    <cellStyle name="Normal 200 2 3 3 2 2" xfId="17201"/>
    <cellStyle name="Normal 200 2 3 3 3" xfId="17202"/>
    <cellStyle name="Normal 200 2 3 4" xfId="17203"/>
    <cellStyle name="Normal 200 2 3 4 2" xfId="17204"/>
    <cellStyle name="Normal 200 2 3 4 2 2" xfId="17205"/>
    <cellStyle name="Normal 200 2 3 4 3" xfId="17206"/>
    <cellStyle name="Normal 200 2 3 5" xfId="17207"/>
    <cellStyle name="Normal 200 2 3 5 2" xfId="17208"/>
    <cellStyle name="Normal 200 2 3 5 2 2" xfId="17209"/>
    <cellStyle name="Normal 200 2 3 5 3" xfId="17210"/>
    <cellStyle name="Normal 200 2 3 6" xfId="17211"/>
    <cellStyle name="Normal 200 2 4" xfId="17212"/>
    <cellStyle name="Normal 200 2 4 2" xfId="17213"/>
    <cellStyle name="Normal 200 2 4 2 2" xfId="17214"/>
    <cellStyle name="Normal 200 2 4 3" xfId="17215"/>
    <cellStyle name="Normal 200 2 5" xfId="17216"/>
    <cellStyle name="Normal 200 2 5 2" xfId="17217"/>
    <cellStyle name="Normal 200 2 5 2 2" xfId="17218"/>
    <cellStyle name="Normal 200 2 5 3" xfId="17219"/>
    <cellStyle name="Normal 200 2 6" xfId="17220"/>
    <cellStyle name="Normal 200 2 6 2" xfId="17221"/>
    <cellStyle name="Normal 200 2 6 2 2" xfId="17222"/>
    <cellStyle name="Normal 200 2 6 3" xfId="17223"/>
    <cellStyle name="Normal 200 2 7" xfId="17224"/>
    <cellStyle name="Normal 200 3" xfId="17225"/>
    <cellStyle name="Normal 200 3 2" xfId="17226"/>
    <cellStyle name="Normal 200 3 2 2" xfId="17227"/>
    <cellStyle name="Normal 200 3 3" xfId="17228"/>
    <cellStyle name="Normal 200 3 3 2" xfId="17229"/>
    <cellStyle name="Normal 200 3 3 2 2" xfId="17230"/>
    <cellStyle name="Normal 200 3 3 3" xfId="17231"/>
    <cellStyle name="Normal 200 3 4" xfId="17232"/>
    <cellStyle name="Normal 200 3 4 2" xfId="17233"/>
    <cellStyle name="Normal 200 3 4 2 2" xfId="17234"/>
    <cellStyle name="Normal 200 3 4 3" xfId="17235"/>
    <cellStyle name="Normal 200 3 5" xfId="17236"/>
    <cellStyle name="Normal 200 4" xfId="17237"/>
    <cellStyle name="Normal 200 4 2" xfId="17238"/>
    <cellStyle name="Normal 200 4 2 2" xfId="17239"/>
    <cellStyle name="Normal 200 4 2 2 2" xfId="17240"/>
    <cellStyle name="Normal 200 4 2 3" xfId="17241"/>
    <cellStyle name="Normal 200 4 2 3 2" xfId="17242"/>
    <cellStyle name="Normal 200 4 2 3 2 2" xfId="17243"/>
    <cellStyle name="Normal 200 4 2 3 3" xfId="17244"/>
    <cellStyle name="Normal 200 4 2 4" xfId="17245"/>
    <cellStyle name="Normal 200 4 3" xfId="17246"/>
    <cellStyle name="Normal 200 4 3 2" xfId="17247"/>
    <cellStyle name="Normal 200 4 3 2 2" xfId="17248"/>
    <cellStyle name="Normal 200 4 3 3" xfId="17249"/>
    <cellStyle name="Normal 200 4 4" xfId="17250"/>
    <cellStyle name="Normal 200 4 4 2" xfId="17251"/>
    <cellStyle name="Normal 200 4 4 2 2" xfId="17252"/>
    <cellStyle name="Normal 200 4 4 3" xfId="17253"/>
    <cellStyle name="Normal 200 4 5" xfId="17254"/>
    <cellStyle name="Normal 200 4 5 2" xfId="17255"/>
    <cellStyle name="Normal 200 4 5 2 2" xfId="17256"/>
    <cellStyle name="Normal 200 4 5 3" xfId="17257"/>
    <cellStyle name="Normal 200 4 6" xfId="17258"/>
    <cellStyle name="Normal 200 5" xfId="17259"/>
    <cellStyle name="Normal 200 5 2" xfId="17260"/>
    <cellStyle name="Normal 200 5 2 2" xfId="17261"/>
    <cellStyle name="Normal 200 5 3" xfId="17262"/>
    <cellStyle name="Normal 200 6" xfId="17263"/>
    <cellStyle name="Normal 200 6 2" xfId="17264"/>
    <cellStyle name="Normal 200 6 2 2" xfId="17265"/>
    <cellStyle name="Normal 200 6 3" xfId="17266"/>
    <cellStyle name="Normal 200 7" xfId="17267"/>
    <cellStyle name="Normal 200 7 2" xfId="17268"/>
    <cellStyle name="Normal 200 7 2 2" xfId="17269"/>
    <cellStyle name="Normal 200 7 3" xfId="17270"/>
    <cellStyle name="Normal 200 8" xfId="17271"/>
    <cellStyle name="Normal 201" xfId="17272"/>
    <cellStyle name="Normal 201 2" xfId="17273"/>
    <cellStyle name="Normal 201 2 2" xfId="17274"/>
    <cellStyle name="Normal 201 2 2 2" xfId="17275"/>
    <cellStyle name="Normal 201 2 2 2 2" xfId="17276"/>
    <cellStyle name="Normal 201 2 2 3" xfId="17277"/>
    <cellStyle name="Normal 201 2 2 3 2" xfId="17278"/>
    <cellStyle name="Normal 201 2 2 3 2 2" xfId="17279"/>
    <cellStyle name="Normal 201 2 2 3 3" xfId="17280"/>
    <cellStyle name="Normal 201 2 2 4" xfId="17281"/>
    <cellStyle name="Normal 201 2 2 4 2" xfId="17282"/>
    <cellStyle name="Normal 201 2 2 4 2 2" xfId="17283"/>
    <cellStyle name="Normal 201 2 2 4 3" xfId="17284"/>
    <cellStyle name="Normal 201 2 2 5" xfId="17285"/>
    <cellStyle name="Normal 201 2 3" xfId="17286"/>
    <cellStyle name="Normal 201 2 3 2" xfId="17287"/>
    <cellStyle name="Normal 201 2 3 2 2" xfId="17288"/>
    <cellStyle name="Normal 201 2 3 2 2 2" xfId="17289"/>
    <cellStyle name="Normal 201 2 3 2 3" xfId="17290"/>
    <cellStyle name="Normal 201 2 3 2 3 2" xfId="17291"/>
    <cellStyle name="Normal 201 2 3 2 3 2 2" xfId="17292"/>
    <cellStyle name="Normal 201 2 3 2 3 3" xfId="17293"/>
    <cellStyle name="Normal 201 2 3 2 4" xfId="17294"/>
    <cellStyle name="Normal 201 2 3 3" xfId="17295"/>
    <cellStyle name="Normal 201 2 3 3 2" xfId="17296"/>
    <cellStyle name="Normal 201 2 3 3 2 2" xfId="17297"/>
    <cellStyle name="Normal 201 2 3 3 3" xfId="17298"/>
    <cellStyle name="Normal 201 2 3 4" xfId="17299"/>
    <cellStyle name="Normal 201 2 3 4 2" xfId="17300"/>
    <cellStyle name="Normal 201 2 3 4 2 2" xfId="17301"/>
    <cellStyle name="Normal 201 2 3 4 3" xfId="17302"/>
    <cellStyle name="Normal 201 2 3 5" xfId="17303"/>
    <cellStyle name="Normal 201 2 3 5 2" xfId="17304"/>
    <cellStyle name="Normal 201 2 3 5 2 2" xfId="17305"/>
    <cellStyle name="Normal 201 2 3 5 3" xfId="17306"/>
    <cellStyle name="Normal 201 2 3 6" xfId="17307"/>
    <cellStyle name="Normal 201 2 4" xfId="17308"/>
    <cellStyle name="Normal 201 2 4 2" xfId="17309"/>
    <cellStyle name="Normal 201 2 4 2 2" xfId="17310"/>
    <cellStyle name="Normal 201 2 4 3" xfId="17311"/>
    <cellStyle name="Normal 201 2 5" xfId="17312"/>
    <cellStyle name="Normal 201 2 5 2" xfId="17313"/>
    <cellStyle name="Normal 201 2 5 2 2" xfId="17314"/>
    <cellStyle name="Normal 201 2 5 3" xfId="17315"/>
    <cellStyle name="Normal 201 2 6" xfId="17316"/>
    <cellStyle name="Normal 201 2 6 2" xfId="17317"/>
    <cellStyle name="Normal 201 2 6 2 2" xfId="17318"/>
    <cellStyle name="Normal 201 2 6 3" xfId="17319"/>
    <cellStyle name="Normal 201 2 7" xfId="17320"/>
    <cellStyle name="Normal 201 3" xfId="17321"/>
    <cellStyle name="Normal 201 3 2" xfId="17322"/>
    <cellStyle name="Normal 201 3 2 2" xfId="17323"/>
    <cellStyle name="Normal 201 3 3" xfId="17324"/>
    <cellStyle name="Normal 201 3 3 2" xfId="17325"/>
    <cellStyle name="Normal 201 3 3 2 2" xfId="17326"/>
    <cellStyle name="Normal 201 3 3 3" xfId="17327"/>
    <cellStyle name="Normal 201 3 4" xfId="17328"/>
    <cellStyle name="Normal 201 3 4 2" xfId="17329"/>
    <cellStyle name="Normal 201 3 4 2 2" xfId="17330"/>
    <cellStyle name="Normal 201 3 4 3" xfId="17331"/>
    <cellStyle name="Normal 201 3 5" xfId="17332"/>
    <cellStyle name="Normal 201 4" xfId="17333"/>
    <cellStyle name="Normal 201 4 2" xfId="17334"/>
    <cellStyle name="Normal 201 4 2 2" xfId="17335"/>
    <cellStyle name="Normal 201 4 2 2 2" xfId="17336"/>
    <cellStyle name="Normal 201 4 2 3" xfId="17337"/>
    <cellStyle name="Normal 201 4 2 3 2" xfId="17338"/>
    <cellStyle name="Normal 201 4 2 3 2 2" xfId="17339"/>
    <cellStyle name="Normal 201 4 2 3 3" xfId="17340"/>
    <cellStyle name="Normal 201 4 2 4" xfId="17341"/>
    <cellStyle name="Normal 201 4 3" xfId="17342"/>
    <cellStyle name="Normal 201 4 3 2" xfId="17343"/>
    <cellStyle name="Normal 201 4 3 2 2" xfId="17344"/>
    <cellStyle name="Normal 201 4 3 3" xfId="17345"/>
    <cellStyle name="Normal 201 4 4" xfId="17346"/>
    <cellStyle name="Normal 201 4 4 2" xfId="17347"/>
    <cellStyle name="Normal 201 4 4 2 2" xfId="17348"/>
    <cellStyle name="Normal 201 4 4 3" xfId="17349"/>
    <cellStyle name="Normal 201 4 5" xfId="17350"/>
    <cellStyle name="Normal 201 4 5 2" xfId="17351"/>
    <cellStyle name="Normal 201 4 5 2 2" xfId="17352"/>
    <cellStyle name="Normal 201 4 5 3" xfId="17353"/>
    <cellStyle name="Normal 201 4 6" xfId="17354"/>
    <cellStyle name="Normal 201 5" xfId="17355"/>
    <cellStyle name="Normal 201 5 2" xfId="17356"/>
    <cellStyle name="Normal 201 5 2 2" xfId="17357"/>
    <cellStyle name="Normal 201 5 3" xfId="17358"/>
    <cellStyle name="Normal 201 6" xfId="17359"/>
    <cellStyle name="Normal 201 6 2" xfId="17360"/>
    <cellStyle name="Normal 201 6 2 2" xfId="17361"/>
    <cellStyle name="Normal 201 6 3" xfId="17362"/>
    <cellStyle name="Normal 201 7" xfId="17363"/>
    <cellStyle name="Normal 201 7 2" xfId="17364"/>
    <cellStyle name="Normal 201 7 2 2" xfId="17365"/>
    <cellStyle name="Normal 201 7 3" xfId="17366"/>
    <cellStyle name="Normal 201 8" xfId="17367"/>
    <cellStyle name="Normal 202" xfId="17368"/>
    <cellStyle name="Normal 202 2" xfId="17369"/>
    <cellStyle name="Normal 202 2 2" xfId="17370"/>
    <cellStyle name="Normal 202 2 2 2" xfId="17371"/>
    <cellStyle name="Normal 202 2 2 2 2" xfId="17372"/>
    <cellStyle name="Normal 202 2 2 3" xfId="17373"/>
    <cellStyle name="Normal 202 2 2 3 2" xfId="17374"/>
    <cellStyle name="Normal 202 2 2 3 2 2" xfId="17375"/>
    <cellStyle name="Normal 202 2 2 3 3" xfId="17376"/>
    <cellStyle name="Normal 202 2 2 4" xfId="17377"/>
    <cellStyle name="Normal 202 2 2 4 2" xfId="17378"/>
    <cellStyle name="Normal 202 2 2 4 2 2" xfId="17379"/>
    <cellStyle name="Normal 202 2 2 4 3" xfId="17380"/>
    <cellStyle name="Normal 202 2 2 5" xfId="17381"/>
    <cellStyle name="Normal 202 2 3" xfId="17382"/>
    <cellStyle name="Normal 202 2 3 2" xfId="17383"/>
    <cellStyle name="Normal 202 2 3 2 2" xfId="17384"/>
    <cellStyle name="Normal 202 2 3 2 2 2" xfId="17385"/>
    <cellStyle name="Normal 202 2 3 2 3" xfId="17386"/>
    <cellStyle name="Normal 202 2 3 2 3 2" xfId="17387"/>
    <cellStyle name="Normal 202 2 3 2 3 2 2" xfId="17388"/>
    <cellStyle name="Normal 202 2 3 2 3 3" xfId="17389"/>
    <cellStyle name="Normal 202 2 3 2 4" xfId="17390"/>
    <cellStyle name="Normal 202 2 3 3" xfId="17391"/>
    <cellStyle name="Normal 202 2 3 3 2" xfId="17392"/>
    <cellStyle name="Normal 202 2 3 3 2 2" xfId="17393"/>
    <cellStyle name="Normal 202 2 3 3 3" xfId="17394"/>
    <cellStyle name="Normal 202 2 3 4" xfId="17395"/>
    <cellStyle name="Normal 202 2 3 4 2" xfId="17396"/>
    <cellStyle name="Normal 202 2 3 4 2 2" xfId="17397"/>
    <cellStyle name="Normal 202 2 3 4 3" xfId="17398"/>
    <cellStyle name="Normal 202 2 3 5" xfId="17399"/>
    <cellStyle name="Normal 202 2 3 5 2" xfId="17400"/>
    <cellStyle name="Normal 202 2 3 5 2 2" xfId="17401"/>
    <cellStyle name="Normal 202 2 3 5 3" xfId="17402"/>
    <cellStyle name="Normal 202 2 3 6" xfId="17403"/>
    <cellStyle name="Normal 202 2 4" xfId="17404"/>
    <cellStyle name="Normal 202 2 4 2" xfId="17405"/>
    <cellStyle name="Normal 202 2 4 2 2" xfId="17406"/>
    <cellStyle name="Normal 202 2 4 3" xfId="17407"/>
    <cellStyle name="Normal 202 2 5" xfId="17408"/>
    <cellStyle name="Normal 202 2 5 2" xfId="17409"/>
    <cellStyle name="Normal 202 2 5 2 2" xfId="17410"/>
    <cellStyle name="Normal 202 2 5 3" xfId="17411"/>
    <cellStyle name="Normal 202 2 6" xfId="17412"/>
    <cellStyle name="Normal 202 2 6 2" xfId="17413"/>
    <cellStyle name="Normal 202 2 6 2 2" xfId="17414"/>
    <cellStyle name="Normal 202 2 6 3" xfId="17415"/>
    <cellStyle name="Normal 202 2 7" xfId="17416"/>
    <cellStyle name="Normal 202 3" xfId="17417"/>
    <cellStyle name="Normal 202 3 2" xfId="17418"/>
    <cellStyle name="Normal 202 3 2 2" xfId="17419"/>
    <cellStyle name="Normal 202 3 3" xfId="17420"/>
    <cellStyle name="Normal 202 3 3 2" xfId="17421"/>
    <cellStyle name="Normal 202 3 3 2 2" xfId="17422"/>
    <cellStyle name="Normal 202 3 3 3" xfId="17423"/>
    <cellStyle name="Normal 202 3 4" xfId="17424"/>
    <cellStyle name="Normal 202 3 4 2" xfId="17425"/>
    <cellStyle name="Normal 202 3 4 2 2" xfId="17426"/>
    <cellStyle name="Normal 202 3 4 3" xfId="17427"/>
    <cellStyle name="Normal 202 3 5" xfId="17428"/>
    <cellStyle name="Normal 202 4" xfId="17429"/>
    <cellStyle name="Normal 202 4 2" xfId="17430"/>
    <cellStyle name="Normal 202 4 2 2" xfId="17431"/>
    <cellStyle name="Normal 202 4 2 2 2" xfId="17432"/>
    <cellStyle name="Normal 202 4 2 3" xfId="17433"/>
    <cellStyle name="Normal 202 4 2 3 2" xfId="17434"/>
    <cellStyle name="Normal 202 4 2 3 2 2" xfId="17435"/>
    <cellStyle name="Normal 202 4 2 3 3" xfId="17436"/>
    <cellStyle name="Normal 202 4 2 4" xfId="17437"/>
    <cellStyle name="Normal 202 4 3" xfId="17438"/>
    <cellStyle name="Normal 202 4 3 2" xfId="17439"/>
    <cellStyle name="Normal 202 4 3 2 2" xfId="17440"/>
    <cellStyle name="Normal 202 4 3 3" xfId="17441"/>
    <cellStyle name="Normal 202 4 4" xfId="17442"/>
    <cellStyle name="Normal 202 4 4 2" xfId="17443"/>
    <cellStyle name="Normal 202 4 4 2 2" xfId="17444"/>
    <cellStyle name="Normal 202 4 4 3" xfId="17445"/>
    <cellStyle name="Normal 202 4 5" xfId="17446"/>
    <cellStyle name="Normal 202 4 5 2" xfId="17447"/>
    <cellStyle name="Normal 202 4 5 2 2" xfId="17448"/>
    <cellStyle name="Normal 202 4 5 3" xfId="17449"/>
    <cellStyle name="Normal 202 4 6" xfId="17450"/>
    <cellStyle name="Normal 202 5" xfId="17451"/>
    <cellStyle name="Normal 202 5 2" xfId="17452"/>
    <cellStyle name="Normal 202 5 2 2" xfId="17453"/>
    <cellStyle name="Normal 202 5 3" xfId="17454"/>
    <cellStyle name="Normal 202 6" xfId="17455"/>
    <cellStyle name="Normal 202 6 2" xfId="17456"/>
    <cellStyle name="Normal 202 6 2 2" xfId="17457"/>
    <cellStyle name="Normal 202 6 3" xfId="17458"/>
    <cellStyle name="Normal 202 7" xfId="17459"/>
    <cellStyle name="Normal 202 7 2" xfId="17460"/>
    <cellStyle name="Normal 202 7 2 2" xfId="17461"/>
    <cellStyle name="Normal 202 7 3" xfId="17462"/>
    <cellStyle name="Normal 202 8" xfId="17463"/>
    <cellStyle name="Normal 203" xfId="17464"/>
    <cellStyle name="Normal 203 2" xfId="17465"/>
    <cellStyle name="Normal 203 2 2" xfId="17466"/>
    <cellStyle name="Normal 203 2 2 2" xfId="17467"/>
    <cellStyle name="Normal 203 2 2 2 2" xfId="17468"/>
    <cellStyle name="Normal 203 2 2 3" xfId="17469"/>
    <cellStyle name="Normal 203 2 2 3 2" xfId="17470"/>
    <cellStyle name="Normal 203 2 2 3 2 2" xfId="17471"/>
    <cellStyle name="Normal 203 2 2 3 3" xfId="17472"/>
    <cellStyle name="Normal 203 2 2 4" xfId="17473"/>
    <cellStyle name="Normal 203 2 2 4 2" xfId="17474"/>
    <cellStyle name="Normal 203 2 2 4 2 2" xfId="17475"/>
    <cellStyle name="Normal 203 2 2 4 3" xfId="17476"/>
    <cellStyle name="Normal 203 2 2 5" xfId="17477"/>
    <cellStyle name="Normal 203 2 3" xfId="17478"/>
    <cellStyle name="Normal 203 2 3 2" xfId="17479"/>
    <cellStyle name="Normal 203 2 3 2 2" xfId="17480"/>
    <cellStyle name="Normal 203 2 3 2 2 2" xfId="17481"/>
    <cellStyle name="Normal 203 2 3 2 3" xfId="17482"/>
    <cellStyle name="Normal 203 2 3 2 3 2" xfId="17483"/>
    <cellStyle name="Normal 203 2 3 2 3 2 2" xfId="17484"/>
    <cellStyle name="Normal 203 2 3 2 3 3" xfId="17485"/>
    <cellStyle name="Normal 203 2 3 2 4" xfId="17486"/>
    <cellStyle name="Normal 203 2 3 3" xfId="17487"/>
    <cellStyle name="Normal 203 2 3 3 2" xfId="17488"/>
    <cellStyle name="Normal 203 2 3 3 2 2" xfId="17489"/>
    <cellStyle name="Normal 203 2 3 3 3" xfId="17490"/>
    <cellStyle name="Normal 203 2 3 4" xfId="17491"/>
    <cellStyle name="Normal 203 2 3 4 2" xfId="17492"/>
    <cellStyle name="Normal 203 2 3 4 2 2" xfId="17493"/>
    <cellStyle name="Normal 203 2 3 4 3" xfId="17494"/>
    <cellStyle name="Normal 203 2 3 5" xfId="17495"/>
    <cellStyle name="Normal 203 2 3 5 2" xfId="17496"/>
    <cellStyle name="Normal 203 2 3 5 2 2" xfId="17497"/>
    <cellStyle name="Normal 203 2 3 5 3" xfId="17498"/>
    <cellStyle name="Normal 203 2 3 6" xfId="17499"/>
    <cellStyle name="Normal 203 2 4" xfId="17500"/>
    <cellStyle name="Normal 203 2 4 2" xfId="17501"/>
    <cellStyle name="Normal 203 2 4 2 2" xfId="17502"/>
    <cellStyle name="Normal 203 2 4 3" xfId="17503"/>
    <cellStyle name="Normal 203 2 5" xfId="17504"/>
    <cellStyle name="Normal 203 2 5 2" xfId="17505"/>
    <cellStyle name="Normal 203 2 5 2 2" xfId="17506"/>
    <cellStyle name="Normal 203 2 5 3" xfId="17507"/>
    <cellStyle name="Normal 203 2 6" xfId="17508"/>
    <cellStyle name="Normal 203 2 6 2" xfId="17509"/>
    <cellStyle name="Normal 203 2 6 2 2" xfId="17510"/>
    <cellStyle name="Normal 203 2 6 3" xfId="17511"/>
    <cellStyle name="Normal 203 2 7" xfId="17512"/>
    <cellStyle name="Normal 203 3" xfId="17513"/>
    <cellStyle name="Normal 203 3 2" xfId="17514"/>
    <cellStyle name="Normal 203 3 2 2" xfId="17515"/>
    <cellStyle name="Normal 203 3 3" xfId="17516"/>
    <cellStyle name="Normal 203 3 3 2" xfId="17517"/>
    <cellStyle name="Normal 203 3 3 2 2" xfId="17518"/>
    <cellStyle name="Normal 203 3 3 3" xfId="17519"/>
    <cellStyle name="Normal 203 3 4" xfId="17520"/>
    <cellStyle name="Normal 203 3 4 2" xfId="17521"/>
    <cellStyle name="Normal 203 3 4 2 2" xfId="17522"/>
    <cellStyle name="Normal 203 3 4 3" xfId="17523"/>
    <cellStyle name="Normal 203 3 5" xfId="17524"/>
    <cellStyle name="Normal 203 4" xfId="17525"/>
    <cellStyle name="Normal 203 4 2" xfId="17526"/>
    <cellStyle name="Normal 203 4 2 2" xfId="17527"/>
    <cellStyle name="Normal 203 4 2 2 2" xfId="17528"/>
    <cellStyle name="Normal 203 4 2 3" xfId="17529"/>
    <cellStyle name="Normal 203 4 2 3 2" xfId="17530"/>
    <cellStyle name="Normal 203 4 2 3 2 2" xfId="17531"/>
    <cellStyle name="Normal 203 4 2 3 3" xfId="17532"/>
    <cellStyle name="Normal 203 4 2 4" xfId="17533"/>
    <cellStyle name="Normal 203 4 3" xfId="17534"/>
    <cellStyle name="Normal 203 4 3 2" xfId="17535"/>
    <cellStyle name="Normal 203 4 3 2 2" xfId="17536"/>
    <cellStyle name="Normal 203 4 3 3" xfId="17537"/>
    <cellStyle name="Normal 203 4 4" xfId="17538"/>
    <cellStyle name="Normal 203 4 4 2" xfId="17539"/>
    <cellStyle name="Normal 203 4 4 2 2" xfId="17540"/>
    <cellStyle name="Normal 203 4 4 3" xfId="17541"/>
    <cellStyle name="Normal 203 4 5" xfId="17542"/>
    <cellStyle name="Normal 203 4 5 2" xfId="17543"/>
    <cellStyle name="Normal 203 4 5 2 2" xfId="17544"/>
    <cellStyle name="Normal 203 4 5 3" xfId="17545"/>
    <cellStyle name="Normal 203 4 6" xfId="17546"/>
    <cellStyle name="Normal 203 5" xfId="17547"/>
    <cellStyle name="Normal 203 5 2" xfId="17548"/>
    <cellStyle name="Normal 203 5 2 2" xfId="17549"/>
    <cellStyle name="Normal 203 5 3" xfId="17550"/>
    <cellStyle name="Normal 203 6" xfId="17551"/>
    <cellStyle name="Normal 203 6 2" xfId="17552"/>
    <cellStyle name="Normal 203 6 2 2" xfId="17553"/>
    <cellStyle name="Normal 203 6 3" xfId="17554"/>
    <cellStyle name="Normal 203 7" xfId="17555"/>
    <cellStyle name="Normal 203 7 2" xfId="17556"/>
    <cellStyle name="Normal 203 7 2 2" xfId="17557"/>
    <cellStyle name="Normal 203 7 3" xfId="17558"/>
    <cellStyle name="Normal 203 8" xfId="17559"/>
    <cellStyle name="Normal 204" xfId="17560"/>
    <cellStyle name="Normal 204 2" xfId="17561"/>
    <cellStyle name="Normal 204 2 2" xfId="17562"/>
    <cellStyle name="Normal 204 2 2 2" xfId="17563"/>
    <cellStyle name="Normal 204 2 3" xfId="17564"/>
    <cellStyle name="Normal 204 2 3 2" xfId="17565"/>
    <cellStyle name="Normal 204 2 3 2 2" xfId="17566"/>
    <cellStyle name="Normal 204 2 3 3" xfId="17567"/>
    <cellStyle name="Normal 204 2 4" xfId="17568"/>
    <cellStyle name="Normal 204 2 4 2" xfId="17569"/>
    <cellStyle name="Normal 204 2 4 2 2" xfId="17570"/>
    <cellStyle name="Normal 204 2 4 3" xfId="17571"/>
    <cellStyle name="Normal 204 2 5" xfId="17572"/>
    <cellStyle name="Normal 204 3" xfId="17573"/>
    <cellStyle name="Normal 204 3 2" xfId="17574"/>
    <cellStyle name="Normal 204 3 2 2" xfId="17575"/>
    <cellStyle name="Normal 204 3 2 2 2" xfId="17576"/>
    <cellStyle name="Normal 204 3 2 3" xfId="17577"/>
    <cellStyle name="Normal 204 3 2 3 2" xfId="17578"/>
    <cellStyle name="Normal 204 3 2 3 2 2" xfId="17579"/>
    <cellStyle name="Normal 204 3 2 3 3" xfId="17580"/>
    <cellStyle name="Normal 204 3 2 4" xfId="17581"/>
    <cellStyle name="Normal 204 3 3" xfId="17582"/>
    <cellStyle name="Normal 204 3 3 2" xfId="17583"/>
    <cellStyle name="Normal 204 3 3 2 2" xfId="17584"/>
    <cellStyle name="Normal 204 3 3 3" xfId="17585"/>
    <cellStyle name="Normal 204 3 4" xfId="17586"/>
    <cellStyle name="Normal 204 3 4 2" xfId="17587"/>
    <cellStyle name="Normal 204 3 4 2 2" xfId="17588"/>
    <cellStyle name="Normal 204 3 4 3" xfId="17589"/>
    <cellStyle name="Normal 204 3 5" xfId="17590"/>
    <cellStyle name="Normal 204 3 5 2" xfId="17591"/>
    <cellStyle name="Normal 204 3 5 2 2" xfId="17592"/>
    <cellStyle name="Normal 204 3 5 3" xfId="17593"/>
    <cellStyle name="Normal 204 3 6" xfId="17594"/>
    <cellStyle name="Normal 204 4" xfId="17595"/>
    <cellStyle name="Normal 204 4 2" xfId="17596"/>
    <cellStyle name="Normal 204 4 2 2" xfId="17597"/>
    <cellStyle name="Normal 204 4 3" xfId="17598"/>
    <cellStyle name="Normal 204 5" xfId="17599"/>
    <cellStyle name="Normal 204 5 2" xfId="17600"/>
    <cellStyle name="Normal 204 5 2 2" xfId="17601"/>
    <cellStyle name="Normal 204 5 3" xfId="17602"/>
    <cellStyle name="Normal 204 6" xfId="17603"/>
    <cellStyle name="Normal 204 6 2" xfId="17604"/>
    <cellStyle name="Normal 204 6 2 2" xfId="17605"/>
    <cellStyle name="Normal 204 6 3" xfId="17606"/>
    <cellStyle name="Normal 204 7" xfId="17607"/>
    <cellStyle name="Normal 205" xfId="17608"/>
    <cellStyle name="Normal 205 2" xfId="17609"/>
    <cellStyle name="Normal 205 2 2" xfId="17610"/>
    <cellStyle name="Normal 205 2 2 2" xfId="17611"/>
    <cellStyle name="Normal 205 2 3" xfId="17612"/>
    <cellStyle name="Normal 205 2 3 2" xfId="17613"/>
    <cellStyle name="Normal 205 2 3 2 2" xfId="17614"/>
    <cellStyle name="Normal 205 2 3 3" xfId="17615"/>
    <cellStyle name="Normal 205 2 4" xfId="17616"/>
    <cellStyle name="Normal 205 2 4 2" xfId="17617"/>
    <cellStyle name="Normal 205 2 4 2 2" xfId="17618"/>
    <cellStyle name="Normal 205 2 4 3" xfId="17619"/>
    <cellStyle name="Normal 205 2 5" xfId="17620"/>
    <cellStyle name="Normal 205 3" xfId="17621"/>
    <cellStyle name="Normal 205 3 2" xfId="17622"/>
    <cellStyle name="Normal 205 3 2 2" xfId="17623"/>
    <cellStyle name="Normal 205 3 2 2 2" xfId="17624"/>
    <cellStyle name="Normal 205 3 2 3" xfId="17625"/>
    <cellStyle name="Normal 205 3 2 3 2" xfId="17626"/>
    <cellStyle name="Normal 205 3 2 3 2 2" xfId="17627"/>
    <cellStyle name="Normal 205 3 2 3 3" xfId="17628"/>
    <cellStyle name="Normal 205 3 2 4" xfId="17629"/>
    <cellStyle name="Normal 205 3 3" xfId="17630"/>
    <cellStyle name="Normal 205 3 3 2" xfId="17631"/>
    <cellStyle name="Normal 205 3 3 2 2" xfId="17632"/>
    <cellStyle name="Normal 205 3 3 3" xfId="17633"/>
    <cellStyle name="Normal 205 3 4" xfId="17634"/>
    <cellStyle name="Normal 205 3 4 2" xfId="17635"/>
    <cellStyle name="Normal 205 3 4 2 2" xfId="17636"/>
    <cellStyle name="Normal 205 3 4 3" xfId="17637"/>
    <cellStyle name="Normal 205 3 5" xfId="17638"/>
    <cellStyle name="Normal 205 3 5 2" xfId="17639"/>
    <cellStyle name="Normal 205 3 5 2 2" xfId="17640"/>
    <cellStyle name="Normal 205 3 5 3" xfId="17641"/>
    <cellStyle name="Normal 205 3 6" xfId="17642"/>
    <cellStyle name="Normal 205 4" xfId="17643"/>
    <cellStyle name="Normal 205 4 2" xfId="17644"/>
    <cellStyle name="Normal 205 4 2 2" xfId="17645"/>
    <cellStyle name="Normal 205 4 3" xfId="17646"/>
    <cellStyle name="Normal 205 5" xfId="17647"/>
    <cellStyle name="Normal 205 5 2" xfId="17648"/>
    <cellStyle name="Normal 205 5 2 2" xfId="17649"/>
    <cellStyle name="Normal 205 5 3" xfId="17650"/>
    <cellStyle name="Normal 205 6" xfId="17651"/>
    <cellStyle name="Normal 205 6 2" xfId="17652"/>
    <cellStyle name="Normal 205 6 2 2" xfId="17653"/>
    <cellStyle name="Normal 205 6 3" xfId="17654"/>
    <cellStyle name="Normal 205 7" xfId="17655"/>
    <cellStyle name="Normal 206" xfId="17656"/>
    <cellStyle name="Normal 206 2" xfId="17657"/>
    <cellStyle name="Normal 206 2 2" xfId="17658"/>
    <cellStyle name="Normal 206 2 2 2" xfId="17659"/>
    <cellStyle name="Normal 206 2 3" xfId="17660"/>
    <cellStyle name="Normal 206 2 3 2" xfId="17661"/>
    <cellStyle name="Normal 206 2 3 2 2" xfId="17662"/>
    <cellStyle name="Normal 206 2 3 3" xfId="17663"/>
    <cellStyle name="Normal 206 2 4" xfId="17664"/>
    <cellStyle name="Normal 206 2 4 2" xfId="17665"/>
    <cellStyle name="Normal 206 2 4 2 2" xfId="17666"/>
    <cellStyle name="Normal 206 2 4 3" xfId="17667"/>
    <cellStyle name="Normal 206 2 5" xfId="17668"/>
    <cellStyle name="Normal 206 3" xfId="17669"/>
    <cellStyle name="Normal 206 3 2" xfId="17670"/>
    <cellStyle name="Normal 206 3 2 2" xfId="17671"/>
    <cellStyle name="Normal 206 3 2 2 2" xfId="17672"/>
    <cellStyle name="Normal 206 3 2 3" xfId="17673"/>
    <cellStyle name="Normal 206 3 2 3 2" xfId="17674"/>
    <cellStyle name="Normal 206 3 2 3 2 2" xfId="17675"/>
    <cellStyle name="Normal 206 3 2 3 3" xfId="17676"/>
    <cellStyle name="Normal 206 3 2 4" xfId="17677"/>
    <cellStyle name="Normal 206 3 3" xfId="17678"/>
    <cellStyle name="Normal 206 3 3 2" xfId="17679"/>
    <cellStyle name="Normal 206 3 3 2 2" xfId="17680"/>
    <cellStyle name="Normal 206 3 3 3" xfId="17681"/>
    <cellStyle name="Normal 206 3 4" xfId="17682"/>
    <cellStyle name="Normal 206 3 4 2" xfId="17683"/>
    <cellStyle name="Normal 206 3 4 2 2" xfId="17684"/>
    <cellStyle name="Normal 206 3 4 3" xfId="17685"/>
    <cellStyle name="Normal 206 3 5" xfId="17686"/>
    <cellStyle name="Normal 206 3 5 2" xfId="17687"/>
    <cellStyle name="Normal 206 3 5 2 2" xfId="17688"/>
    <cellStyle name="Normal 206 3 5 3" xfId="17689"/>
    <cellStyle name="Normal 206 3 6" xfId="17690"/>
    <cellStyle name="Normal 206 4" xfId="17691"/>
    <cellStyle name="Normal 206 4 2" xfId="17692"/>
    <cellStyle name="Normal 206 4 2 2" xfId="17693"/>
    <cellStyle name="Normal 206 4 3" xfId="17694"/>
    <cellStyle name="Normal 206 5" xfId="17695"/>
    <cellStyle name="Normal 206 5 2" xfId="17696"/>
    <cellStyle name="Normal 206 5 2 2" xfId="17697"/>
    <cellStyle name="Normal 206 5 3" xfId="17698"/>
    <cellStyle name="Normal 206 6" xfId="17699"/>
    <cellStyle name="Normal 206 6 2" xfId="17700"/>
    <cellStyle name="Normal 206 6 2 2" xfId="17701"/>
    <cellStyle name="Normal 206 6 3" xfId="17702"/>
    <cellStyle name="Normal 206 7" xfId="17703"/>
    <cellStyle name="Normal 207" xfId="17704"/>
    <cellStyle name="Normal 207 2" xfId="17705"/>
    <cellStyle name="Normal 207 2 2" xfId="17706"/>
    <cellStyle name="Normal 207 2 2 2" xfId="17707"/>
    <cellStyle name="Normal 207 2 3" xfId="17708"/>
    <cellStyle name="Normal 207 2 3 2" xfId="17709"/>
    <cellStyle name="Normal 207 2 3 2 2" xfId="17710"/>
    <cellStyle name="Normal 207 2 3 3" xfId="17711"/>
    <cellStyle name="Normal 207 2 4" xfId="17712"/>
    <cellStyle name="Normal 207 2 4 2" xfId="17713"/>
    <cellStyle name="Normal 207 2 4 2 2" xfId="17714"/>
    <cellStyle name="Normal 207 2 4 3" xfId="17715"/>
    <cellStyle name="Normal 207 2 5" xfId="17716"/>
    <cellStyle name="Normal 207 3" xfId="17717"/>
    <cellStyle name="Normal 207 3 2" xfId="17718"/>
    <cellStyle name="Normal 207 3 2 2" xfId="17719"/>
    <cellStyle name="Normal 207 3 2 2 2" xfId="17720"/>
    <cellStyle name="Normal 207 3 2 3" xfId="17721"/>
    <cellStyle name="Normal 207 3 2 3 2" xfId="17722"/>
    <cellStyle name="Normal 207 3 2 3 2 2" xfId="17723"/>
    <cellStyle name="Normal 207 3 2 3 3" xfId="17724"/>
    <cellStyle name="Normal 207 3 2 4" xfId="17725"/>
    <cellStyle name="Normal 207 3 3" xfId="17726"/>
    <cellStyle name="Normal 207 3 3 2" xfId="17727"/>
    <cellStyle name="Normal 207 3 3 2 2" xfId="17728"/>
    <cellStyle name="Normal 207 3 3 3" xfId="17729"/>
    <cellStyle name="Normal 207 3 4" xfId="17730"/>
    <cellStyle name="Normal 207 3 4 2" xfId="17731"/>
    <cellStyle name="Normal 207 3 4 2 2" xfId="17732"/>
    <cellStyle name="Normal 207 3 4 3" xfId="17733"/>
    <cellStyle name="Normal 207 3 5" xfId="17734"/>
    <cellStyle name="Normal 207 3 5 2" xfId="17735"/>
    <cellStyle name="Normal 207 3 5 2 2" xfId="17736"/>
    <cellStyle name="Normal 207 3 5 3" xfId="17737"/>
    <cellStyle name="Normal 207 3 6" xfId="17738"/>
    <cellStyle name="Normal 207 4" xfId="17739"/>
    <cellStyle name="Normal 207 4 2" xfId="17740"/>
    <cellStyle name="Normal 207 4 2 2" xfId="17741"/>
    <cellStyle name="Normal 207 4 3" xfId="17742"/>
    <cellStyle name="Normal 207 5" xfId="17743"/>
    <cellStyle name="Normal 207 5 2" xfId="17744"/>
    <cellStyle name="Normal 207 5 2 2" xfId="17745"/>
    <cellStyle name="Normal 207 5 3" xfId="17746"/>
    <cellStyle name="Normal 207 6" xfId="17747"/>
    <cellStyle name="Normal 207 6 2" xfId="17748"/>
    <cellStyle name="Normal 207 6 2 2" xfId="17749"/>
    <cellStyle name="Normal 207 6 3" xfId="17750"/>
    <cellStyle name="Normal 207 7" xfId="17751"/>
    <cellStyle name="Normal 208" xfId="17752"/>
    <cellStyle name="Normal 208 2" xfId="17753"/>
    <cellStyle name="Normal 208 2 2" xfId="17754"/>
    <cellStyle name="Normal 208 2 2 2" xfId="17755"/>
    <cellStyle name="Normal 208 2 3" xfId="17756"/>
    <cellStyle name="Normal 208 2 3 2" xfId="17757"/>
    <cellStyle name="Normal 208 2 3 2 2" xfId="17758"/>
    <cellStyle name="Normal 208 2 3 3" xfId="17759"/>
    <cellStyle name="Normal 208 2 4" xfId="17760"/>
    <cellStyle name="Normal 208 2 4 2" xfId="17761"/>
    <cellStyle name="Normal 208 2 4 2 2" xfId="17762"/>
    <cellStyle name="Normal 208 2 4 3" xfId="17763"/>
    <cellStyle name="Normal 208 2 5" xfId="17764"/>
    <cellStyle name="Normal 208 3" xfId="17765"/>
    <cellStyle name="Normal 208 3 2" xfId="17766"/>
    <cellStyle name="Normal 208 3 2 2" xfId="17767"/>
    <cellStyle name="Normal 208 3 2 2 2" xfId="17768"/>
    <cellStyle name="Normal 208 3 2 3" xfId="17769"/>
    <cellStyle name="Normal 208 3 2 3 2" xfId="17770"/>
    <cellStyle name="Normal 208 3 2 3 2 2" xfId="17771"/>
    <cellStyle name="Normal 208 3 2 3 3" xfId="17772"/>
    <cellStyle name="Normal 208 3 2 4" xfId="17773"/>
    <cellStyle name="Normal 208 3 3" xfId="17774"/>
    <cellStyle name="Normal 208 3 3 2" xfId="17775"/>
    <cellStyle name="Normal 208 3 3 2 2" xfId="17776"/>
    <cellStyle name="Normal 208 3 3 3" xfId="17777"/>
    <cellStyle name="Normal 208 3 4" xfId="17778"/>
    <cellStyle name="Normal 208 3 4 2" xfId="17779"/>
    <cellStyle name="Normal 208 3 4 2 2" xfId="17780"/>
    <cellStyle name="Normal 208 3 4 3" xfId="17781"/>
    <cellStyle name="Normal 208 3 5" xfId="17782"/>
    <cellStyle name="Normal 208 3 5 2" xfId="17783"/>
    <cellStyle name="Normal 208 3 5 2 2" xfId="17784"/>
    <cellStyle name="Normal 208 3 5 3" xfId="17785"/>
    <cellStyle name="Normal 208 3 6" xfId="17786"/>
    <cellStyle name="Normal 208 4" xfId="17787"/>
    <cellStyle name="Normal 208 4 2" xfId="17788"/>
    <cellStyle name="Normal 208 4 2 2" xfId="17789"/>
    <cellStyle name="Normal 208 4 3" xfId="17790"/>
    <cellStyle name="Normal 208 5" xfId="17791"/>
    <cellStyle name="Normal 208 5 2" xfId="17792"/>
    <cellStyle name="Normal 208 5 2 2" xfId="17793"/>
    <cellStyle name="Normal 208 5 3" xfId="17794"/>
    <cellStyle name="Normal 208 6" xfId="17795"/>
    <cellStyle name="Normal 208 6 2" xfId="17796"/>
    <cellStyle name="Normal 208 6 2 2" xfId="17797"/>
    <cellStyle name="Normal 208 6 3" xfId="17798"/>
    <cellStyle name="Normal 208 7" xfId="17799"/>
    <cellStyle name="Normal 209" xfId="17800"/>
    <cellStyle name="Normal 209 2" xfId="17801"/>
    <cellStyle name="Normal 209 2 2" xfId="17802"/>
    <cellStyle name="Normal 209 2 2 2" xfId="17803"/>
    <cellStyle name="Normal 209 2 3" xfId="17804"/>
    <cellStyle name="Normal 209 2 3 2" xfId="17805"/>
    <cellStyle name="Normal 209 2 3 2 2" xfId="17806"/>
    <cellStyle name="Normal 209 2 3 3" xfId="17807"/>
    <cellStyle name="Normal 209 2 4" xfId="17808"/>
    <cellStyle name="Normal 209 2 4 2" xfId="17809"/>
    <cellStyle name="Normal 209 2 4 2 2" xfId="17810"/>
    <cellStyle name="Normal 209 2 4 3" xfId="17811"/>
    <cellStyle name="Normal 209 2 5" xfId="17812"/>
    <cellStyle name="Normal 209 3" xfId="17813"/>
    <cellStyle name="Normal 209 3 2" xfId="17814"/>
    <cellStyle name="Normal 209 3 2 2" xfId="17815"/>
    <cellStyle name="Normal 209 3 2 2 2" xfId="17816"/>
    <cellStyle name="Normal 209 3 2 3" xfId="17817"/>
    <cellStyle name="Normal 209 3 2 3 2" xfId="17818"/>
    <cellStyle name="Normal 209 3 2 3 2 2" xfId="17819"/>
    <cellStyle name="Normal 209 3 2 3 3" xfId="17820"/>
    <cellStyle name="Normal 209 3 2 4" xfId="17821"/>
    <cellStyle name="Normal 209 3 3" xfId="17822"/>
    <cellStyle name="Normal 209 3 3 2" xfId="17823"/>
    <cellStyle name="Normal 209 3 3 2 2" xfId="17824"/>
    <cellStyle name="Normal 209 3 3 3" xfId="17825"/>
    <cellStyle name="Normal 209 3 4" xfId="17826"/>
    <cellStyle name="Normal 209 3 4 2" xfId="17827"/>
    <cellStyle name="Normal 209 3 4 2 2" xfId="17828"/>
    <cellStyle name="Normal 209 3 4 3" xfId="17829"/>
    <cellStyle name="Normal 209 3 5" xfId="17830"/>
    <cellStyle name="Normal 209 3 5 2" xfId="17831"/>
    <cellStyle name="Normal 209 3 5 2 2" xfId="17832"/>
    <cellStyle name="Normal 209 3 5 3" xfId="17833"/>
    <cellStyle name="Normal 209 3 6" xfId="17834"/>
    <cellStyle name="Normal 209 4" xfId="17835"/>
    <cellStyle name="Normal 209 4 2" xfId="17836"/>
    <cellStyle name="Normal 209 4 2 2" xfId="17837"/>
    <cellStyle name="Normal 209 4 3" xfId="17838"/>
    <cellStyle name="Normal 209 5" xfId="17839"/>
    <cellStyle name="Normal 209 5 2" xfId="17840"/>
    <cellStyle name="Normal 209 5 2 2" xfId="17841"/>
    <cellStyle name="Normal 209 5 3" xfId="17842"/>
    <cellStyle name="Normal 209 6" xfId="17843"/>
    <cellStyle name="Normal 209 6 2" xfId="17844"/>
    <cellStyle name="Normal 209 6 2 2" xfId="17845"/>
    <cellStyle name="Normal 209 6 3" xfId="17846"/>
    <cellStyle name="Normal 209 7" xfId="17847"/>
    <cellStyle name="Normal 21" xfId="17848"/>
    <cellStyle name="Normal 21 2" xfId="17849"/>
    <cellStyle name="Normal 21 2 2" xfId="17850"/>
    <cellStyle name="Normal 21 2 2 2" xfId="17851"/>
    <cellStyle name="Normal 21 2 2 2 2" xfId="17852"/>
    <cellStyle name="Normal 21 2 2 3" xfId="17853"/>
    <cellStyle name="Normal 21 2 2 3 2" xfId="17854"/>
    <cellStyle name="Normal 21 2 2 3 2 2" xfId="17855"/>
    <cellStyle name="Normal 21 2 2 3 3" xfId="17856"/>
    <cellStyle name="Normal 21 2 2 4" xfId="17857"/>
    <cellStyle name="Normal 21 2 2 4 2" xfId="17858"/>
    <cellStyle name="Normal 21 2 2 4 2 2" xfId="17859"/>
    <cellStyle name="Normal 21 2 2 4 3" xfId="17860"/>
    <cellStyle name="Normal 21 2 2 5" xfId="17861"/>
    <cellStyle name="Normal 21 2 3" xfId="17862"/>
    <cellStyle name="Normal 21 2 3 2" xfId="17863"/>
    <cellStyle name="Normal 21 2 3 2 2" xfId="17864"/>
    <cellStyle name="Normal 21 2 3 3" xfId="17865"/>
    <cellStyle name="Normal 21 2 4" xfId="17866"/>
    <cellStyle name="Normal 21 2 4 2" xfId="17867"/>
    <cellStyle name="Normal 21 2 4 2 2" xfId="17868"/>
    <cellStyle name="Normal 21 2 4 3" xfId="17869"/>
    <cellStyle name="Normal 21 2 5" xfId="17870"/>
    <cellStyle name="Normal 21 2 5 2" xfId="17871"/>
    <cellStyle name="Normal 21 2 5 2 2" xfId="17872"/>
    <cellStyle name="Normal 21 2 5 3" xfId="17873"/>
    <cellStyle name="Normal 21 2 6" xfId="17874"/>
    <cellStyle name="Normal 21 3" xfId="17875"/>
    <cellStyle name="Normal 21 3 2" xfId="17876"/>
    <cellStyle name="Normal 21 3 2 2" xfId="17877"/>
    <cellStyle name="Normal 21 3 3" xfId="17878"/>
    <cellStyle name="Normal 21 3 3 2" xfId="17879"/>
    <cellStyle name="Normal 21 3 3 2 2" xfId="17880"/>
    <cellStyle name="Normal 21 3 3 3" xfId="17881"/>
    <cellStyle name="Normal 21 3 4" xfId="17882"/>
    <cellStyle name="Normal 21 3 4 2" xfId="17883"/>
    <cellStyle name="Normal 21 3 4 2 2" xfId="17884"/>
    <cellStyle name="Normal 21 3 4 3" xfId="17885"/>
    <cellStyle name="Normal 21 3 5" xfId="17886"/>
    <cellStyle name="Normal 21 4" xfId="17887"/>
    <cellStyle name="Normal 21 4 2" xfId="17888"/>
    <cellStyle name="Normal 21 4 2 2" xfId="17889"/>
    <cellStyle name="Normal 21 4 2 2 2" xfId="17890"/>
    <cellStyle name="Normal 21 4 2 3" xfId="17891"/>
    <cellStyle name="Normal 21 4 2 3 2" xfId="17892"/>
    <cellStyle name="Normal 21 4 2 3 2 2" xfId="17893"/>
    <cellStyle name="Normal 21 4 2 3 3" xfId="17894"/>
    <cellStyle name="Normal 21 4 2 4" xfId="17895"/>
    <cellStyle name="Normal 21 4 3" xfId="17896"/>
    <cellStyle name="Normal 21 4 3 2" xfId="17897"/>
    <cellStyle name="Normal 21 4 3 2 2" xfId="17898"/>
    <cellStyle name="Normal 21 4 3 3" xfId="17899"/>
    <cellStyle name="Normal 21 4 4" xfId="17900"/>
    <cellStyle name="Normal 21 4 4 2" xfId="17901"/>
    <cellStyle name="Normal 21 4 4 2 2" xfId="17902"/>
    <cellStyle name="Normal 21 4 4 3" xfId="17903"/>
    <cellStyle name="Normal 21 4 5" xfId="17904"/>
    <cellStyle name="Normal 21 4 5 2" xfId="17905"/>
    <cellStyle name="Normal 21 4 5 2 2" xfId="17906"/>
    <cellStyle name="Normal 21 4 5 3" xfId="17907"/>
    <cellStyle name="Normal 21 4 6" xfId="17908"/>
    <cellStyle name="Normal 21 5" xfId="17909"/>
    <cellStyle name="Normal 210" xfId="17910"/>
    <cellStyle name="Normal 210 2" xfId="17911"/>
    <cellStyle name="Normal 210 2 2" xfId="17912"/>
    <cellStyle name="Normal 210 2 2 2" xfId="17913"/>
    <cellStyle name="Normal 210 2 3" xfId="17914"/>
    <cellStyle name="Normal 210 2 3 2" xfId="17915"/>
    <cellStyle name="Normal 210 2 3 2 2" xfId="17916"/>
    <cellStyle name="Normal 210 2 3 3" xfId="17917"/>
    <cellStyle name="Normal 210 2 4" xfId="17918"/>
    <cellStyle name="Normal 210 2 4 2" xfId="17919"/>
    <cellStyle name="Normal 210 2 4 2 2" xfId="17920"/>
    <cellStyle name="Normal 210 2 4 3" xfId="17921"/>
    <cellStyle name="Normal 210 2 5" xfId="17922"/>
    <cellStyle name="Normal 210 3" xfId="17923"/>
    <cellStyle name="Normal 210 3 2" xfId="17924"/>
    <cellStyle name="Normal 210 3 2 2" xfId="17925"/>
    <cellStyle name="Normal 210 3 2 2 2" xfId="17926"/>
    <cellStyle name="Normal 210 3 2 3" xfId="17927"/>
    <cellStyle name="Normal 210 3 2 3 2" xfId="17928"/>
    <cellStyle name="Normal 210 3 2 3 2 2" xfId="17929"/>
    <cellStyle name="Normal 210 3 2 3 3" xfId="17930"/>
    <cellStyle name="Normal 210 3 2 4" xfId="17931"/>
    <cellStyle name="Normal 210 3 3" xfId="17932"/>
    <cellStyle name="Normal 210 3 3 2" xfId="17933"/>
    <cellStyle name="Normal 210 3 3 2 2" xfId="17934"/>
    <cellStyle name="Normal 210 3 3 3" xfId="17935"/>
    <cellStyle name="Normal 210 3 4" xfId="17936"/>
    <cellStyle name="Normal 210 3 4 2" xfId="17937"/>
    <cellStyle name="Normal 210 3 4 2 2" xfId="17938"/>
    <cellStyle name="Normal 210 3 4 3" xfId="17939"/>
    <cellStyle name="Normal 210 3 5" xfId="17940"/>
    <cellStyle name="Normal 210 3 5 2" xfId="17941"/>
    <cellStyle name="Normal 210 3 5 2 2" xfId="17942"/>
    <cellStyle name="Normal 210 3 5 3" xfId="17943"/>
    <cellStyle name="Normal 210 3 6" xfId="17944"/>
    <cellStyle name="Normal 210 4" xfId="17945"/>
    <cellStyle name="Normal 210 4 2" xfId="17946"/>
    <cellStyle name="Normal 210 4 2 2" xfId="17947"/>
    <cellStyle name="Normal 210 4 3" xfId="17948"/>
    <cellStyle name="Normal 210 5" xfId="17949"/>
    <cellStyle name="Normal 210 5 2" xfId="17950"/>
    <cellStyle name="Normal 210 5 2 2" xfId="17951"/>
    <cellStyle name="Normal 210 5 3" xfId="17952"/>
    <cellStyle name="Normal 210 6" xfId="17953"/>
    <cellStyle name="Normal 210 6 2" xfId="17954"/>
    <cellStyle name="Normal 210 6 2 2" xfId="17955"/>
    <cellStyle name="Normal 210 6 3" xfId="17956"/>
    <cellStyle name="Normal 210 7" xfId="17957"/>
    <cellStyle name="Normal 211" xfId="17958"/>
    <cellStyle name="Normal 211 2" xfId="17959"/>
    <cellStyle name="Normal 211 2 2" xfId="17960"/>
    <cellStyle name="Normal 211 2 2 2" xfId="17961"/>
    <cellStyle name="Normal 211 2 3" xfId="17962"/>
    <cellStyle name="Normal 211 2 3 2" xfId="17963"/>
    <cellStyle name="Normal 211 2 3 2 2" xfId="17964"/>
    <cellStyle name="Normal 211 2 3 3" xfId="17965"/>
    <cellStyle name="Normal 211 2 4" xfId="17966"/>
    <cellStyle name="Normal 211 2 4 2" xfId="17967"/>
    <cellStyle name="Normal 211 2 4 2 2" xfId="17968"/>
    <cellStyle name="Normal 211 2 4 3" xfId="17969"/>
    <cellStyle name="Normal 211 2 5" xfId="17970"/>
    <cellStyle name="Normal 211 3" xfId="17971"/>
    <cellStyle name="Normal 211 3 2" xfId="17972"/>
    <cellStyle name="Normal 211 3 2 2" xfId="17973"/>
    <cellStyle name="Normal 211 3 2 2 2" xfId="17974"/>
    <cellStyle name="Normal 211 3 2 3" xfId="17975"/>
    <cellStyle name="Normal 211 3 2 3 2" xfId="17976"/>
    <cellStyle name="Normal 211 3 2 3 2 2" xfId="17977"/>
    <cellStyle name="Normal 211 3 2 3 3" xfId="17978"/>
    <cellStyle name="Normal 211 3 2 4" xfId="17979"/>
    <cellStyle name="Normal 211 3 3" xfId="17980"/>
    <cellStyle name="Normal 211 3 3 2" xfId="17981"/>
    <cellStyle name="Normal 211 3 3 2 2" xfId="17982"/>
    <cellStyle name="Normal 211 3 3 3" xfId="17983"/>
    <cellStyle name="Normal 211 3 4" xfId="17984"/>
    <cellStyle name="Normal 211 3 4 2" xfId="17985"/>
    <cellStyle name="Normal 211 3 4 2 2" xfId="17986"/>
    <cellStyle name="Normal 211 3 4 3" xfId="17987"/>
    <cellStyle name="Normal 211 3 5" xfId="17988"/>
    <cellStyle name="Normal 211 3 5 2" xfId="17989"/>
    <cellStyle name="Normal 211 3 5 2 2" xfId="17990"/>
    <cellStyle name="Normal 211 3 5 3" xfId="17991"/>
    <cellStyle name="Normal 211 3 6" xfId="17992"/>
    <cellStyle name="Normal 211 4" xfId="17993"/>
    <cellStyle name="Normal 211 4 2" xfId="17994"/>
    <cellStyle name="Normal 211 4 2 2" xfId="17995"/>
    <cellStyle name="Normal 211 4 3" xfId="17996"/>
    <cellStyle name="Normal 211 5" xfId="17997"/>
    <cellStyle name="Normal 211 5 2" xfId="17998"/>
    <cellStyle name="Normal 211 5 2 2" xfId="17999"/>
    <cellStyle name="Normal 211 5 3" xfId="18000"/>
    <cellStyle name="Normal 211 6" xfId="18001"/>
    <cellStyle name="Normal 211 6 2" xfId="18002"/>
    <cellStyle name="Normal 211 6 2 2" xfId="18003"/>
    <cellStyle name="Normal 211 6 3" xfId="18004"/>
    <cellStyle name="Normal 211 7" xfId="18005"/>
    <cellStyle name="Normal 212" xfId="18006"/>
    <cellStyle name="Normal 212 2" xfId="18007"/>
    <cellStyle name="Normal 212 2 2" xfId="18008"/>
    <cellStyle name="Normal 212 2 2 2" xfId="18009"/>
    <cellStyle name="Normal 212 2 3" xfId="18010"/>
    <cellStyle name="Normal 212 2 3 2" xfId="18011"/>
    <cellStyle name="Normal 212 2 3 2 2" xfId="18012"/>
    <cellStyle name="Normal 212 2 3 3" xfId="18013"/>
    <cellStyle name="Normal 212 2 4" xfId="18014"/>
    <cellStyle name="Normal 212 2 4 2" xfId="18015"/>
    <cellStyle name="Normal 212 2 4 2 2" xfId="18016"/>
    <cellStyle name="Normal 212 2 4 3" xfId="18017"/>
    <cellStyle name="Normal 212 2 5" xfId="18018"/>
    <cellStyle name="Normal 212 3" xfId="18019"/>
    <cellStyle name="Normal 212 3 2" xfId="18020"/>
    <cellStyle name="Normal 212 3 2 2" xfId="18021"/>
    <cellStyle name="Normal 212 3 2 2 2" xfId="18022"/>
    <cellStyle name="Normal 212 3 2 3" xfId="18023"/>
    <cellStyle name="Normal 212 3 2 3 2" xfId="18024"/>
    <cellStyle name="Normal 212 3 2 3 2 2" xfId="18025"/>
    <cellStyle name="Normal 212 3 2 3 3" xfId="18026"/>
    <cellStyle name="Normal 212 3 2 4" xfId="18027"/>
    <cellStyle name="Normal 212 3 3" xfId="18028"/>
    <cellStyle name="Normal 212 3 3 2" xfId="18029"/>
    <cellStyle name="Normal 212 3 3 2 2" xfId="18030"/>
    <cellStyle name="Normal 212 3 3 3" xfId="18031"/>
    <cellStyle name="Normal 212 3 4" xfId="18032"/>
    <cellStyle name="Normal 212 3 4 2" xfId="18033"/>
    <cellStyle name="Normal 212 3 4 2 2" xfId="18034"/>
    <cellStyle name="Normal 212 3 4 3" xfId="18035"/>
    <cellStyle name="Normal 212 3 5" xfId="18036"/>
    <cellStyle name="Normal 212 3 5 2" xfId="18037"/>
    <cellStyle name="Normal 212 3 5 2 2" xfId="18038"/>
    <cellStyle name="Normal 212 3 5 3" xfId="18039"/>
    <cellStyle name="Normal 212 3 6" xfId="18040"/>
    <cellStyle name="Normal 212 4" xfId="18041"/>
    <cellStyle name="Normal 212 4 2" xfId="18042"/>
    <cellStyle name="Normal 212 4 2 2" xfId="18043"/>
    <cellStyle name="Normal 212 4 3" xfId="18044"/>
    <cellStyle name="Normal 212 5" xfId="18045"/>
    <cellStyle name="Normal 212 5 2" xfId="18046"/>
    <cellStyle name="Normal 212 5 2 2" xfId="18047"/>
    <cellStyle name="Normal 212 5 3" xfId="18048"/>
    <cellStyle name="Normal 212 6" xfId="18049"/>
    <cellStyle name="Normal 212 6 2" xfId="18050"/>
    <cellStyle name="Normal 212 6 2 2" xfId="18051"/>
    <cellStyle name="Normal 212 6 3" xfId="18052"/>
    <cellStyle name="Normal 212 7" xfId="18053"/>
    <cellStyle name="Normal 213" xfId="18054"/>
    <cellStyle name="Normal 213 2" xfId="18055"/>
    <cellStyle name="Normal 213 2 2" xfId="18056"/>
    <cellStyle name="Normal 213 2 2 2" xfId="18057"/>
    <cellStyle name="Normal 213 2 3" xfId="18058"/>
    <cellStyle name="Normal 213 2 3 2" xfId="18059"/>
    <cellStyle name="Normal 213 2 3 2 2" xfId="18060"/>
    <cellStyle name="Normal 213 2 3 3" xfId="18061"/>
    <cellStyle name="Normal 213 2 4" xfId="18062"/>
    <cellStyle name="Normal 213 2 4 2" xfId="18063"/>
    <cellStyle name="Normal 213 2 4 2 2" xfId="18064"/>
    <cellStyle name="Normal 213 2 4 3" xfId="18065"/>
    <cellStyle name="Normal 213 2 5" xfId="18066"/>
    <cellStyle name="Normal 213 3" xfId="18067"/>
    <cellStyle name="Normal 213 3 2" xfId="18068"/>
    <cellStyle name="Normal 213 3 2 2" xfId="18069"/>
    <cellStyle name="Normal 213 3 2 2 2" xfId="18070"/>
    <cellStyle name="Normal 213 3 2 3" xfId="18071"/>
    <cellStyle name="Normal 213 3 2 3 2" xfId="18072"/>
    <cellStyle name="Normal 213 3 2 3 2 2" xfId="18073"/>
    <cellStyle name="Normal 213 3 2 3 3" xfId="18074"/>
    <cellStyle name="Normal 213 3 2 4" xfId="18075"/>
    <cellStyle name="Normal 213 3 3" xfId="18076"/>
    <cellStyle name="Normal 213 3 3 2" xfId="18077"/>
    <cellStyle name="Normal 213 3 3 2 2" xfId="18078"/>
    <cellStyle name="Normal 213 3 3 3" xfId="18079"/>
    <cellStyle name="Normal 213 3 4" xfId="18080"/>
    <cellStyle name="Normal 213 3 4 2" xfId="18081"/>
    <cellStyle name="Normal 213 3 4 2 2" xfId="18082"/>
    <cellStyle name="Normal 213 3 4 3" xfId="18083"/>
    <cellStyle name="Normal 213 3 5" xfId="18084"/>
    <cellStyle name="Normal 213 3 5 2" xfId="18085"/>
    <cellStyle name="Normal 213 3 5 2 2" xfId="18086"/>
    <cellStyle name="Normal 213 3 5 3" xfId="18087"/>
    <cellStyle name="Normal 213 3 6" xfId="18088"/>
    <cellStyle name="Normal 213 4" xfId="18089"/>
    <cellStyle name="Normal 213 4 2" xfId="18090"/>
    <cellStyle name="Normal 213 4 2 2" xfId="18091"/>
    <cellStyle name="Normal 213 4 3" xfId="18092"/>
    <cellStyle name="Normal 213 5" xfId="18093"/>
    <cellStyle name="Normal 213 5 2" xfId="18094"/>
    <cellStyle name="Normal 213 5 2 2" xfId="18095"/>
    <cellStyle name="Normal 213 5 3" xfId="18096"/>
    <cellStyle name="Normal 213 6" xfId="18097"/>
    <cellStyle name="Normal 213 6 2" xfId="18098"/>
    <cellStyle name="Normal 213 6 2 2" xfId="18099"/>
    <cellStyle name="Normal 213 6 3" xfId="18100"/>
    <cellStyle name="Normal 213 7" xfId="18101"/>
    <cellStyle name="Normal 214" xfId="18102"/>
    <cellStyle name="Normal 214 2" xfId="18103"/>
    <cellStyle name="Normal 214 2 2" xfId="18104"/>
    <cellStyle name="Normal 214 2 2 2" xfId="18105"/>
    <cellStyle name="Normal 214 2 3" xfId="18106"/>
    <cellStyle name="Normal 214 2 3 2" xfId="18107"/>
    <cellStyle name="Normal 214 2 3 2 2" xfId="18108"/>
    <cellStyle name="Normal 214 2 3 3" xfId="18109"/>
    <cellStyle name="Normal 214 2 4" xfId="18110"/>
    <cellStyle name="Normal 214 2 4 2" xfId="18111"/>
    <cellStyle name="Normal 214 2 4 2 2" xfId="18112"/>
    <cellStyle name="Normal 214 2 4 3" xfId="18113"/>
    <cellStyle name="Normal 214 2 5" xfId="18114"/>
    <cellStyle name="Normal 214 3" xfId="18115"/>
    <cellStyle name="Normal 214 3 2" xfId="18116"/>
    <cellStyle name="Normal 214 3 2 2" xfId="18117"/>
    <cellStyle name="Normal 214 3 2 2 2" xfId="18118"/>
    <cellStyle name="Normal 214 3 2 3" xfId="18119"/>
    <cellStyle name="Normal 214 3 2 3 2" xfId="18120"/>
    <cellStyle name="Normal 214 3 2 3 2 2" xfId="18121"/>
    <cellStyle name="Normal 214 3 2 3 3" xfId="18122"/>
    <cellStyle name="Normal 214 3 2 4" xfId="18123"/>
    <cellStyle name="Normal 214 3 3" xfId="18124"/>
    <cellStyle name="Normal 214 3 3 2" xfId="18125"/>
    <cellStyle name="Normal 214 3 3 2 2" xfId="18126"/>
    <cellStyle name="Normal 214 3 3 3" xfId="18127"/>
    <cellStyle name="Normal 214 3 4" xfId="18128"/>
    <cellStyle name="Normal 214 3 4 2" xfId="18129"/>
    <cellStyle name="Normal 214 3 4 2 2" xfId="18130"/>
    <cellStyle name="Normal 214 3 4 3" xfId="18131"/>
    <cellStyle name="Normal 214 3 5" xfId="18132"/>
    <cellStyle name="Normal 214 3 5 2" xfId="18133"/>
    <cellStyle name="Normal 214 3 5 2 2" xfId="18134"/>
    <cellStyle name="Normal 214 3 5 3" xfId="18135"/>
    <cellStyle name="Normal 214 3 6" xfId="18136"/>
    <cellStyle name="Normal 214 4" xfId="18137"/>
    <cellStyle name="Normal 214 4 2" xfId="18138"/>
    <cellStyle name="Normal 214 4 2 2" xfId="18139"/>
    <cellStyle name="Normal 214 4 3" xfId="18140"/>
    <cellStyle name="Normal 214 5" xfId="18141"/>
    <cellStyle name="Normal 214 5 2" xfId="18142"/>
    <cellStyle name="Normal 214 5 2 2" xfId="18143"/>
    <cellStyle name="Normal 214 5 3" xfId="18144"/>
    <cellStyle name="Normal 214 6" xfId="18145"/>
    <cellStyle name="Normal 214 6 2" xfId="18146"/>
    <cellStyle name="Normal 214 6 2 2" xfId="18147"/>
    <cellStyle name="Normal 214 6 3" xfId="18148"/>
    <cellStyle name="Normal 214 7" xfId="18149"/>
    <cellStyle name="Normal 215" xfId="18150"/>
    <cellStyle name="Normal 215 2" xfId="18151"/>
    <cellStyle name="Normal 215 2 2" xfId="18152"/>
    <cellStyle name="Normal 215 2 2 2" xfId="18153"/>
    <cellStyle name="Normal 215 2 3" xfId="18154"/>
    <cellStyle name="Normal 215 2 3 2" xfId="18155"/>
    <cellStyle name="Normal 215 2 3 2 2" xfId="18156"/>
    <cellStyle name="Normal 215 2 3 3" xfId="18157"/>
    <cellStyle name="Normal 215 2 4" xfId="18158"/>
    <cellStyle name="Normal 215 2 4 2" xfId="18159"/>
    <cellStyle name="Normal 215 2 4 2 2" xfId="18160"/>
    <cellStyle name="Normal 215 2 4 3" xfId="18161"/>
    <cellStyle name="Normal 215 2 5" xfId="18162"/>
    <cellStyle name="Normal 215 3" xfId="18163"/>
    <cellStyle name="Normal 215 3 2" xfId="18164"/>
    <cellStyle name="Normal 215 3 2 2" xfId="18165"/>
    <cellStyle name="Normal 215 3 2 2 2" xfId="18166"/>
    <cellStyle name="Normal 215 3 2 3" xfId="18167"/>
    <cellStyle name="Normal 215 3 2 3 2" xfId="18168"/>
    <cellStyle name="Normal 215 3 2 3 2 2" xfId="18169"/>
    <cellStyle name="Normal 215 3 2 3 3" xfId="18170"/>
    <cellStyle name="Normal 215 3 2 4" xfId="18171"/>
    <cellStyle name="Normal 215 3 3" xfId="18172"/>
    <cellStyle name="Normal 215 3 3 2" xfId="18173"/>
    <cellStyle name="Normal 215 3 3 2 2" xfId="18174"/>
    <cellStyle name="Normal 215 3 3 3" xfId="18175"/>
    <cellStyle name="Normal 215 3 4" xfId="18176"/>
    <cellStyle name="Normal 215 3 4 2" xfId="18177"/>
    <cellStyle name="Normal 215 3 4 2 2" xfId="18178"/>
    <cellStyle name="Normal 215 3 4 3" xfId="18179"/>
    <cellStyle name="Normal 215 3 5" xfId="18180"/>
    <cellStyle name="Normal 215 3 5 2" xfId="18181"/>
    <cellStyle name="Normal 215 3 5 2 2" xfId="18182"/>
    <cellStyle name="Normal 215 3 5 3" xfId="18183"/>
    <cellStyle name="Normal 215 3 6" xfId="18184"/>
    <cellStyle name="Normal 215 4" xfId="18185"/>
    <cellStyle name="Normal 215 4 2" xfId="18186"/>
    <cellStyle name="Normal 215 4 2 2" xfId="18187"/>
    <cellStyle name="Normal 215 4 3" xfId="18188"/>
    <cellStyle name="Normal 215 5" xfId="18189"/>
    <cellStyle name="Normal 215 5 2" xfId="18190"/>
    <cellStyle name="Normal 215 5 2 2" xfId="18191"/>
    <cellStyle name="Normal 215 5 3" xfId="18192"/>
    <cellStyle name="Normal 215 6" xfId="18193"/>
    <cellStyle name="Normal 215 6 2" xfId="18194"/>
    <cellStyle name="Normal 215 6 2 2" xfId="18195"/>
    <cellStyle name="Normal 215 6 3" xfId="18196"/>
    <cellStyle name="Normal 215 7" xfId="18197"/>
    <cellStyle name="Normal 216" xfId="18198"/>
    <cellStyle name="Normal 216 2" xfId="18199"/>
    <cellStyle name="Normal 216 2 2" xfId="18200"/>
    <cellStyle name="Normal 216 2 2 2" xfId="18201"/>
    <cellStyle name="Normal 216 2 3" xfId="18202"/>
    <cellStyle name="Normal 216 2 3 2" xfId="18203"/>
    <cellStyle name="Normal 216 2 3 2 2" xfId="18204"/>
    <cellStyle name="Normal 216 2 3 3" xfId="18205"/>
    <cellStyle name="Normal 216 2 4" xfId="18206"/>
    <cellStyle name="Normal 216 2 4 2" xfId="18207"/>
    <cellStyle name="Normal 216 2 4 2 2" xfId="18208"/>
    <cellStyle name="Normal 216 2 4 3" xfId="18209"/>
    <cellStyle name="Normal 216 2 5" xfId="18210"/>
    <cellStyle name="Normal 216 3" xfId="18211"/>
    <cellStyle name="Normal 216 3 2" xfId="18212"/>
    <cellStyle name="Normal 216 3 2 2" xfId="18213"/>
    <cellStyle name="Normal 216 3 2 2 2" xfId="18214"/>
    <cellStyle name="Normal 216 3 2 3" xfId="18215"/>
    <cellStyle name="Normal 216 3 2 3 2" xfId="18216"/>
    <cellStyle name="Normal 216 3 2 3 2 2" xfId="18217"/>
    <cellStyle name="Normal 216 3 2 3 3" xfId="18218"/>
    <cellStyle name="Normal 216 3 2 4" xfId="18219"/>
    <cellStyle name="Normal 216 3 3" xfId="18220"/>
    <cellStyle name="Normal 216 3 3 2" xfId="18221"/>
    <cellStyle name="Normal 216 3 3 2 2" xfId="18222"/>
    <cellStyle name="Normal 216 3 3 3" xfId="18223"/>
    <cellStyle name="Normal 216 3 4" xfId="18224"/>
    <cellStyle name="Normal 216 3 4 2" xfId="18225"/>
    <cellStyle name="Normal 216 3 4 2 2" xfId="18226"/>
    <cellStyle name="Normal 216 3 4 3" xfId="18227"/>
    <cellStyle name="Normal 216 3 5" xfId="18228"/>
    <cellStyle name="Normal 216 3 5 2" xfId="18229"/>
    <cellStyle name="Normal 216 3 5 2 2" xfId="18230"/>
    <cellStyle name="Normal 216 3 5 3" xfId="18231"/>
    <cellStyle name="Normal 216 3 6" xfId="18232"/>
    <cellStyle name="Normal 216 4" xfId="18233"/>
    <cellStyle name="Normal 216 4 2" xfId="18234"/>
    <cellStyle name="Normal 216 4 2 2" xfId="18235"/>
    <cellStyle name="Normal 216 4 3" xfId="18236"/>
    <cellStyle name="Normal 216 5" xfId="18237"/>
    <cellStyle name="Normal 216 5 2" xfId="18238"/>
    <cellStyle name="Normal 216 5 2 2" xfId="18239"/>
    <cellStyle name="Normal 216 5 3" xfId="18240"/>
    <cellStyle name="Normal 216 6" xfId="18241"/>
    <cellStyle name="Normal 216 6 2" xfId="18242"/>
    <cellStyle name="Normal 216 6 2 2" xfId="18243"/>
    <cellStyle name="Normal 216 6 3" xfId="18244"/>
    <cellStyle name="Normal 216 7" xfId="18245"/>
    <cellStyle name="Normal 217" xfId="18246"/>
    <cellStyle name="Normal 217 2" xfId="18247"/>
    <cellStyle name="Normal 217 2 2" xfId="18248"/>
    <cellStyle name="Normal 217 2 2 2" xfId="18249"/>
    <cellStyle name="Normal 217 2 2 2 2" xfId="18250"/>
    <cellStyle name="Normal 217 2 2 3" xfId="18251"/>
    <cellStyle name="Normal 217 2 2 3 2" xfId="18252"/>
    <cellStyle name="Normal 217 2 2 3 2 2" xfId="18253"/>
    <cellStyle name="Normal 217 2 2 3 3" xfId="18254"/>
    <cellStyle name="Normal 217 2 2 4" xfId="18255"/>
    <cellStyle name="Normal 217 2 2 4 2" xfId="18256"/>
    <cellStyle name="Normal 217 2 2 4 2 2" xfId="18257"/>
    <cellStyle name="Normal 217 2 2 4 3" xfId="18258"/>
    <cellStyle name="Normal 217 2 2 5" xfId="18259"/>
    <cellStyle name="Normal 217 2 3" xfId="18260"/>
    <cellStyle name="Normal 217 2 3 2" xfId="18261"/>
    <cellStyle name="Normal 217 2 3 2 2" xfId="18262"/>
    <cellStyle name="Normal 217 2 3 2 2 2" xfId="18263"/>
    <cellStyle name="Normal 217 2 3 2 3" xfId="18264"/>
    <cellStyle name="Normal 217 2 3 2 3 2" xfId="18265"/>
    <cellStyle name="Normal 217 2 3 2 3 2 2" xfId="18266"/>
    <cellStyle name="Normal 217 2 3 2 3 3" xfId="18267"/>
    <cellStyle name="Normal 217 2 3 2 4" xfId="18268"/>
    <cellStyle name="Normal 217 2 3 3" xfId="18269"/>
    <cellStyle name="Normal 217 2 3 3 2" xfId="18270"/>
    <cellStyle name="Normal 217 2 3 3 2 2" xfId="18271"/>
    <cellStyle name="Normal 217 2 3 3 3" xfId="18272"/>
    <cellStyle name="Normal 217 2 3 4" xfId="18273"/>
    <cellStyle name="Normal 217 2 3 4 2" xfId="18274"/>
    <cellStyle name="Normal 217 2 3 4 2 2" xfId="18275"/>
    <cellStyle name="Normal 217 2 3 4 3" xfId="18276"/>
    <cellStyle name="Normal 217 2 3 5" xfId="18277"/>
    <cellStyle name="Normal 217 2 3 5 2" xfId="18278"/>
    <cellStyle name="Normal 217 2 3 5 2 2" xfId="18279"/>
    <cellStyle name="Normal 217 2 3 5 3" xfId="18280"/>
    <cellStyle name="Normal 217 2 3 6" xfId="18281"/>
    <cellStyle name="Normal 217 2 4" xfId="18282"/>
    <cellStyle name="Normal 217 2 4 2" xfId="18283"/>
    <cellStyle name="Normal 217 2 4 2 2" xfId="18284"/>
    <cellStyle name="Normal 217 2 4 3" xfId="18285"/>
    <cellStyle name="Normal 217 2 5" xfId="18286"/>
    <cellStyle name="Normal 217 2 5 2" xfId="18287"/>
    <cellStyle name="Normal 217 2 5 2 2" xfId="18288"/>
    <cellStyle name="Normal 217 2 5 3" xfId="18289"/>
    <cellStyle name="Normal 217 2 6" xfId="18290"/>
    <cellStyle name="Normal 217 2 6 2" xfId="18291"/>
    <cellStyle name="Normal 217 2 6 2 2" xfId="18292"/>
    <cellStyle name="Normal 217 2 6 3" xfId="18293"/>
    <cellStyle name="Normal 217 2 7" xfId="18294"/>
    <cellStyle name="Normal 217 3" xfId="18295"/>
    <cellStyle name="Normal 217 3 2" xfId="18296"/>
    <cellStyle name="Normal 217 3 2 2" xfId="18297"/>
    <cellStyle name="Normal 217 3 3" xfId="18298"/>
    <cellStyle name="Normal 217 3 3 2" xfId="18299"/>
    <cellStyle name="Normal 217 3 3 2 2" xfId="18300"/>
    <cellStyle name="Normal 217 3 3 3" xfId="18301"/>
    <cellStyle name="Normal 217 3 4" xfId="18302"/>
    <cellStyle name="Normal 217 3 4 2" xfId="18303"/>
    <cellStyle name="Normal 217 3 4 2 2" xfId="18304"/>
    <cellStyle name="Normal 217 3 4 3" xfId="18305"/>
    <cellStyle name="Normal 217 3 5" xfId="18306"/>
    <cellStyle name="Normal 217 4" xfId="18307"/>
    <cellStyle name="Normal 217 4 2" xfId="18308"/>
    <cellStyle name="Normal 217 4 2 2" xfId="18309"/>
    <cellStyle name="Normal 217 4 2 2 2" xfId="18310"/>
    <cellStyle name="Normal 217 4 2 3" xfId="18311"/>
    <cellStyle name="Normal 217 4 2 3 2" xfId="18312"/>
    <cellStyle name="Normal 217 4 2 3 2 2" xfId="18313"/>
    <cellStyle name="Normal 217 4 2 3 3" xfId="18314"/>
    <cellStyle name="Normal 217 4 2 4" xfId="18315"/>
    <cellStyle name="Normal 217 4 3" xfId="18316"/>
    <cellStyle name="Normal 217 4 3 2" xfId="18317"/>
    <cellStyle name="Normal 217 4 3 2 2" xfId="18318"/>
    <cellStyle name="Normal 217 4 3 3" xfId="18319"/>
    <cellStyle name="Normal 217 4 4" xfId="18320"/>
    <cellStyle name="Normal 217 4 4 2" xfId="18321"/>
    <cellStyle name="Normal 217 4 4 2 2" xfId="18322"/>
    <cellStyle name="Normal 217 4 4 3" xfId="18323"/>
    <cellStyle name="Normal 217 4 5" xfId="18324"/>
    <cellStyle name="Normal 217 4 5 2" xfId="18325"/>
    <cellStyle name="Normal 217 4 5 2 2" xfId="18326"/>
    <cellStyle name="Normal 217 4 5 3" xfId="18327"/>
    <cellStyle name="Normal 217 4 6" xfId="18328"/>
    <cellStyle name="Normal 217 5" xfId="18329"/>
    <cellStyle name="Normal 217 5 2" xfId="18330"/>
    <cellStyle name="Normal 217 5 2 2" xfId="18331"/>
    <cellStyle name="Normal 217 5 3" xfId="18332"/>
    <cellStyle name="Normal 217 6" xfId="18333"/>
    <cellStyle name="Normal 217 6 2" xfId="18334"/>
    <cellStyle name="Normal 217 6 2 2" xfId="18335"/>
    <cellStyle name="Normal 217 6 3" xfId="18336"/>
    <cellStyle name="Normal 217 7" xfId="18337"/>
    <cellStyle name="Normal 217 7 2" xfId="18338"/>
    <cellStyle name="Normal 217 7 2 2" xfId="18339"/>
    <cellStyle name="Normal 217 7 3" xfId="18340"/>
    <cellStyle name="Normal 217 8" xfId="18341"/>
    <cellStyle name="Normal 218" xfId="18342"/>
    <cellStyle name="Normal 218 2" xfId="18343"/>
    <cellStyle name="Normal 218 2 2" xfId="18344"/>
    <cellStyle name="Normal 218 2 2 2" xfId="18345"/>
    <cellStyle name="Normal 218 2 2 2 2" xfId="18346"/>
    <cellStyle name="Normal 218 2 2 3" xfId="18347"/>
    <cellStyle name="Normal 218 2 2 3 2" xfId="18348"/>
    <cellStyle name="Normal 218 2 2 3 2 2" xfId="18349"/>
    <cellStyle name="Normal 218 2 2 3 3" xfId="18350"/>
    <cellStyle name="Normal 218 2 2 4" xfId="18351"/>
    <cellStyle name="Normal 218 2 2 4 2" xfId="18352"/>
    <cellStyle name="Normal 218 2 2 4 2 2" xfId="18353"/>
    <cellStyle name="Normal 218 2 2 4 3" xfId="18354"/>
    <cellStyle name="Normal 218 2 2 5" xfId="18355"/>
    <cellStyle name="Normal 218 2 3" xfId="18356"/>
    <cellStyle name="Normal 218 2 3 2" xfId="18357"/>
    <cellStyle name="Normal 218 2 3 2 2" xfId="18358"/>
    <cellStyle name="Normal 218 2 3 2 2 2" xfId="18359"/>
    <cellStyle name="Normal 218 2 3 2 3" xfId="18360"/>
    <cellStyle name="Normal 218 2 3 2 3 2" xfId="18361"/>
    <cellStyle name="Normal 218 2 3 2 3 2 2" xfId="18362"/>
    <cellStyle name="Normal 218 2 3 2 3 3" xfId="18363"/>
    <cellStyle name="Normal 218 2 3 2 4" xfId="18364"/>
    <cellStyle name="Normal 218 2 3 3" xfId="18365"/>
    <cellStyle name="Normal 218 2 3 3 2" xfId="18366"/>
    <cellStyle name="Normal 218 2 3 3 2 2" xfId="18367"/>
    <cellStyle name="Normal 218 2 3 3 3" xfId="18368"/>
    <cellStyle name="Normal 218 2 3 4" xfId="18369"/>
    <cellStyle name="Normal 218 2 3 4 2" xfId="18370"/>
    <cellStyle name="Normal 218 2 3 4 2 2" xfId="18371"/>
    <cellStyle name="Normal 218 2 3 4 3" xfId="18372"/>
    <cellStyle name="Normal 218 2 3 5" xfId="18373"/>
    <cellStyle name="Normal 218 2 3 5 2" xfId="18374"/>
    <cellStyle name="Normal 218 2 3 5 2 2" xfId="18375"/>
    <cellStyle name="Normal 218 2 3 5 3" xfId="18376"/>
    <cellStyle name="Normal 218 2 3 6" xfId="18377"/>
    <cellStyle name="Normal 218 2 4" xfId="18378"/>
    <cellStyle name="Normal 218 2 4 2" xfId="18379"/>
    <cellStyle name="Normal 218 2 4 2 2" xfId="18380"/>
    <cellStyle name="Normal 218 2 4 3" xfId="18381"/>
    <cellStyle name="Normal 218 2 5" xfId="18382"/>
    <cellStyle name="Normal 218 2 5 2" xfId="18383"/>
    <cellStyle name="Normal 218 2 5 2 2" xfId="18384"/>
    <cellStyle name="Normal 218 2 5 3" xfId="18385"/>
    <cellStyle name="Normal 218 2 6" xfId="18386"/>
    <cellStyle name="Normal 218 2 6 2" xfId="18387"/>
    <cellStyle name="Normal 218 2 6 2 2" xfId="18388"/>
    <cellStyle name="Normal 218 2 6 3" xfId="18389"/>
    <cellStyle name="Normal 218 2 7" xfId="18390"/>
    <cellStyle name="Normal 218 3" xfId="18391"/>
    <cellStyle name="Normal 218 3 2" xfId="18392"/>
    <cellStyle name="Normal 218 3 2 2" xfId="18393"/>
    <cellStyle name="Normal 218 3 3" xfId="18394"/>
    <cellStyle name="Normal 218 3 3 2" xfId="18395"/>
    <cellStyle name="Normal 218 3 3 2 2" xfId="18396"/>
    <cellStyle name="Normal 218 3 3 3" xfId="18397"/>
    <cellStyle name="Normal 218 3 4" xfId="18398"/>
    <cellStyle name="Normal 218 3 4 2" xfId="18399"/>
    <cellStyle name="Normal 218 3 4 2 2" xfId="18400"/>
    <cellStyle name="Normal 218 3 4 3" xfId="18401"/>
    <cellStyle name="Normal 218 3 5" xfId="18402"/>
    <cellStyle name="Normal 218 4" xfId="18403"/>
    <cellStyle name="Normal 218 4 2" xfId="18404"/>
    <cellStyle name="Normal 218 4 2 2" xfId="18405"/>
    <cellStyle name="Normal 218 4 2 2 2" xfId="18406"/>
    <cellStyle name="Normal 218 4 2 3" xfId="18407"/>
    <cellStyle name="Normal 218 4 2 3 2" xfId="18408"/>
    <cellStyle name="Normal 218 4 2 3 2 2" xfId="18409"/>
    <cellStyle name="Normal 218 4 2 3 3" xfId="18410"/>
    <cellStyle name="Normal 218 4 2 4" xfId="18411"/>
    <cellStyle name="Normal 218 4 3" xfId="18412"/>
    <cellStyle name="Normal 218 4 3 2" xfId="18413"/>
    <cellStyle name="Normal 218 4 3 2 2" xfId="18414"/>
    <cellStyle name="Normal 218 4 3 3" xfId="18415"/>
    <cellStyle name="Normal 218 4 4" xfId="18416"/>
    <cellStyle name="Normal 218 4 4 2" xfId="18417"/>
    <cellStyle name="Normal 218 4 4 2 2" xfId="18418"/>
    <cellStyle name="Normal 218 4 4 3" xfId="18419"/>
    <cellStyle name="Normal 218 4 5" xfId="18420"/>
    <cellStyle name="Normal 218 4 5 2" xfId="18421"/>
    <cellStyle name="Normal 218 4 5 2 2" xfId="18422"/>
    <cellStyle name="Normal 218 4 5 3" xfId="18423"/>
    <cellStyle name="Normal 218 4 6" xfId="18424"/>
    <cellStyle name="Normal 218 5" xfId="18425"/>
    <cellStyle name="Normal 218 5 2" xfId="18426"/>
    <cellStyle name="Normal 218 5 2 2" xfId="18427"/>
    <cellStyle name="Normal 218 5 3" xfId="18428"/>
    <cellStyle name="Normal 218 6" xfId="18429"/>
    <cellStyle name="Normal 218 6 2" xfId="18430"/>
    <cellStyle name="Normal 218 6 2 2" xfId="18431"/>
    <cellStyle name="Normal 218 6 3" xfId="18432"/>
    <cellStyle name="Normal 218 7" xfId="18433"/>
    <cellStyle name="Normal 218 7 2" xfId="18434"/>
    <cellStyle name="Normal 218 7 2 2" xfId="18435"/>
    <cellStyle name="Normal 218 7 3" xfId="18436"/>
    <cellStyle name="Normal 218 8" xfId="18437"/>
    <cellStyle name="Normal 219" xfId="18438"/>
    <cellStyle name="Normal 219 2" xfId="18439"/>
    <cellStyle name="Normal 219 2 2" xfId="18440"/>
    <cellStyle name="Normal 219 2 2 2" xfId="18441"/>
    <cellStyle name="Normal 219 2 2 2 2" xfId="18442"/>
    <cellStyle name="Normal 219 2 2 3" xfId="18443"/>
    <cellStyle name="Normal 219 2 2 3 2" xfId="18444"/>
    <cellStyle name="Normal 219 2 2 3 2 2" xfId="18445"/>
    <cellStyle name="Normal 219 2 2 3 3" xfId="18446"/>
    <cellStyle name="Normal 219 2 2 4" xfId="18447"/>
    <cellStyle name="Normal 219 2 2 4 2" xfId="18448"/>
    <cellStyle name="Normal 219 2 2 4 2 2" xfId="18449"/>
    <cellStyle name="Normal 219 2 2 4 3" xfId="18450"/>
    <cellStyle name="Normal 219 2 2 5" xfId="18451"/>
    <cellStyle name="Normal 219 2 3" xfId="18452"/>
    <cellStyle name="Normal 219 2 3 2" xfId="18453"/>
    <cellStyle name="Normal 219 2 3 2 2" xfId="18454"/>
    <cellStyle name="Normal 219 2 3 2 2 2" xfId="18455"/>
    <cellStyle name="Normal 219 2 3 2 3" xfId="18456"/>
    <cellStyle name="Normal 219 2 3 2 3 2" xfId="18457"/>
    <cellStyle name="Normal 219 2 3 2 3 2 2" xfId="18458"/>
    <cellStyle name="Normal 219 2 3 2 3 3" xfId="18459"/>
    <cellStyle name="Normal 219 2 3 2 4" xfId="18460"/>
    <cellStyle name="Normal 219 2 3 3" xfId="18461"/>
    <cellStyle name="Normal 219 2 3 3 2" xfId="18462"/>
    <cellStyle name="Normal 219 2 3 3 2 2" xfId="18463"/>
    <cellStyle name="Normal 219 2 3 3 3" xfId="18464"/>
    <cellStyle name="Normal 219 2 3 4" xfId="18465"/>
    <cellStyle name="Normal 219 2 3 4 2" xfId="18466"/>
    <cellStyle name="Normal 219 2 3 4 2 2" xfId="18467"/>
    <cellStyle name="Normal 219 2 3 4 3" xfId="18468"/>
    <cellStyle name="Normal 219 2 3 5" xfId="18469"/>
    <cellStyle name="Normal 219 2 3 5 2" xfId="18470"/>
    <cellStyle name="Normal 219 2 3 5 2 2" xfId="18471"/>
    <cellStyle name="Normal 219 2 3 5 3" xfId="18472"/>
    <cellStyle name="Normal 219 2 3 6" xfId="18473"/>
    <cellStyle name="Normal 219 2 4" xfId="18474"/>
    <cellStyle name="Normal 219 2 4 2" xfId="18475"/>
    <cellStyle name="Normal 219 2 4 2 2" xfId="18476"/>
    <cellStyle name="Normal 219 2 4 3" xfId="18477"/>
    <cellStyle name="Normal 219 2 5" xfId="18478"/>
    <cellStyle name="Normal 219 2 5 2" xfId="18479"/>
    <cellStyle name="Normal 219 2 5 2 2" xfId="18480"/>
    <cellStyle name="Normal 219 2 5 3" xfId="18481"/>
    <cellStyle name="Normal 219 2 6" xfId="18482"/>
    <cellStyle name="Normal 219 2 6 2" xfId="18483"/>
    <cellStyle name="Normal 219 2 6 2 2" xfId="18484"/>
    <cellStyle name="Normal 219 2 6 3" xfId="18485"/>
    <cellStyle name="Normal 219 2 7" xfId="18486"/>
    <cellStyle name="Normal 219 3" xfId="18487"/>
    <cellStyle name="Normal 219 3 2" xfId="18488"/>
    <cellStyle name="Normal 219 3 2 2" xfId="18489"/>
    <cellStyle name="Normal 219 3 3" xfId="18490"/>
    <cellStyle name="Normal 219 3 3 2" xfId="18491"/>
    <cellStyle name="Normal 219 3 3 2 2" xfId="18492"/>
    <cellStyle name="Normal 219 3 3 3" xfId="18493"/>
    <cellStyle name="Normal 219 3 4" xfId="18494"/>
    <cellStyle name="Normal 219 3 4 2" xfId="18495"/>
    <cellStyle name="Normal 219 3 4 2 2" xfId="18496"/>
    <cellStyle name="Normal 219 3 4 3" xfId="18497"/>
    <cellStyle name="Normal 219 3 5" xfId="18498"/>
    <cellStyle name="Normal 219 4" xfId="18499"/>
    <cellStyle name="Normal 219 4 2" xfId="18500"/>
    <cellStyle name="Normal 219 4 2 2" xfId="18501"/>
    <cellStyle name="Normal 219 4 2 2 2" xfId="18502"/>
    <cellStyle name="Normal 219 4 2 3" xfId="18503"/>
    <cellStyle name="Normal 219 4 2 3 2" xfId="18504"/>
    <cellStyle name="Normal 219 4 2 3 2 2" xfId="18505"/>
    <cellStyle name="Normal 219 4 2 3 3" xfId="18506"/>
    <cellStyle name="Normal 219 4 2 4" xfId="18507"/>
    <cellStyle name="Normal 219 4 3" xfId="18508"/>
    <cellStyle name="Normal 219 4 3 2" xfId="18509"/>
    <cellStyle name="Normal 219 4 3 2 2" xfId="18510"/>
    <cellStyle name="Normal 219 4 3 3" xfId="18511"/>
    <cellStyle name="Normal 219 4 4" xfId="18512"/>
    <cellStyle name="Normal 219 4 4 2" xfId="18513"/>
    <cellStyle name="Normal 219 4 4 2 2" xfId="18514"/>
    <cellStyle name="Normal 219 4 4 3" xfId="18515"/>
    <cellStyle name="Normal 219 4 5" xfId="18516"/>
    <cellStyle name="Normal 219 4 5 2" xfId="18517"/>
    <cellStyle name="Normal 219 4 5 2 2" xfId="18518"/>
    <cellStyle name="Normal 219 4 5 3" xfId="18519"/>
    <cellStyle name="Normal 219 4 6" xfId="18520"/>
    <cellStyle name="Normal 219 5" xfId="18521"/>
    <cellStyle name="Normal 219 5 2" xfId="18522"/>
    <cellStyle name="Normal 219 5 2 2" xfId="18523"/>
    <cellStyle name="Normal 219 5 3" xfId="18524"/>
    <cellStyle name="Normal 219 6" xfId="18525"/>
    <cellStyle name="Normal 219 6 2" xfId="18526"/>
    <cellStyle name="Normal 219 6 2 2" xfId="18527"/>
    <cellStyle name="Normal 219 6 3" xfId="18528"/>
    <cellStyle name="Normal 219 7" xfId="18529"/>
    <cellStyle name="Normal 219 7 2" xfId="18530"/>
    <cellStyle name="Normal 219 7 2 2" xfId="18531"/>
    <cellStyle name="Normal 219 7 3" xfId="18532"/>
    <cellStyle name="Normal 219 8" xfId="18533"/>
    <cellStyle name="Normal 22" xfId="18534"/>
    <cellStyle name="Normal 22 2" xfId="18535"/>
    <cellStyle name="Normal 22 2 2" xfId="18536"/>
    <cellStyle name="Normal 22 2 2 2" xfId="18537"/>
    <cellStyle name="Normal 22 2 2 2 2" xfId="18538"/>
    <cellStyle name="Normal 22 2 2 3" xfId="18539"/>
    <cellStyle name="Normal 22 2 2 3 2" xfId="18540"/>
    <cellStyle name="Normal 22 2 2 3 2 2" xfId="18541"/>
    <cellStyle name="Normal 22 2 2 3 3" xfId="18542"/>
    <cellStyle name="Normal 22 2 2 4" xfId="18543"/>
    <cellStyle name="Normal 22 2 2 4 2" xfId="18544"/>
    <cellStyle name="Normal 22 2 2 4 2 2" xfId="18545"/>
    <cellStyle name="Normal 22 2 2 4 3" xfId="18546"/>
    <cellStyle name="Normal 22 2 2 5" xfId="18547"/>
    <cellStyle name="Normal 22 2 3" xfId="18548"/>
    <cellStyle name="Normal 22 2 3 2" xfId="18549"/>
    <cellStyle name="Normal 22 2 3 2 2" xfId="18550"/>
    <cellStyle name="Normal 22 2 3 3" xfId="18551"/>
    <cellStyle name="Normal 22 2 4" xfId="18552"/>
    <cellStyle name="Normal 22 2 4 2" xfId="18553"/>
    <cellStyle name="Normal 22 2 4 2 2" xfId="18554"/>
    <cellStyle name="Normal 22 2 4 3" xfId="18555"/>
    <cellStyle name="Normal 22 2 5" xfId="18556"/>
    <cellStyle name="Normal 22 2 5 2" xfId="18557"/>
    <cellStyle name="Normal 22 2 5 2 2" xfId="18558"/>
    <cellStyle name="Normal 22 2 5 3" xfId="18559"/>
    <cellStyle name="Normal 22 2 6" xfId="18560"/>
    <cellStyle name="Normal 22 3" xfId="18561"/>
    <cellStyle name="Normal 22 3 2" xfId="18562"/>
    <cellStyle name="Normal 22 3 2 2" xfId="18563"/>
    <cellStyle name="Normal 22 3 3" xfId="18564"/>
    <cellStyle name="Normal 22 3 3 2" xfId="18565"/>
    <cellStyle name="Normal 22 3 3 2 2" xfId="18566"/>
    <cellStyle name="Normal 22 3 3 3" xfId="18567"/>
    <cellStyle name="Normal 22 3 4" xfId="18568"/>
    <cellStyle name="Normal 22 3 4 2" xfId="18569"/>
    <cellStyle name="Normal 22 3 4 2 2" xfId="18570"/>
    <cellStyle name="Normal 22 3 4 3" xfId="18571"/>
    <cellStyle name="Normal 22 3 5" xfId="18572"/>
    <cellStyle name="Normal 22 4" xfId="18573"/>
    <cellStyle name="Normal 22 4 2" xfId="18574"/>
    <cellStyle name="Normal 22 4 2 2" xfId="18575"/>
    <cellStyle name="Normal 22 4 2 2 2" xfId="18576"/>
    <cellStyle name="Normal 22 4 2 3" xfId="18577"/>
    <cellStyle name="Normal 22 4 2 3 2" xfId="18578"/>
    <cellStyle name="Normal 22 4 2 3 2 2" xfId="18579"/>
    <cellStyle name="Normal 22 4 2 3 3" xfId="18580"/>
    <cellStyle name="Normal 22 4 2 4" xfId="18581"/>
    <cellStyle name="Normal 22 4 3" xfId="18582"/>
    <cellStyle name="Normal 22 4 3 2" xfId="18583"/>
    <cellStyle name="Normal 22 4 3 2 2" xfId="18584"/>
    <cellStyle name="Normal 22 4 3 3" xfId="18585"/>
    <cellStyle name="Normal 22 4 4" xfId="18586"/>
    <cellStyle name="Normal 22 4 4 2" xfId="18587"/>
    <cellStyle name="Normal 22 4 4 2 2" xfId="18588"/>
    <cellStyle name="Normal 22 4 4 3" xfId="18589"/>
    <cellStyle name="Normal 22 4 5" xfId="18590"/>
    <cellStyle name="Normal 22 4 5 2" xfId="18591"/>
    <cellStyle name="Normal 22 4 5 2 2" xfId="18592"/>
    <cellStyle name="Normal 22 4 5 3" xfId="18593"/>
    <cellStyle name="Normal 22 4 6" xfId="18594"/>
    <cellStyle name="Normal 22 5" xfId="18595"/>
    <cellStyle name="Normal 220" xfId="18596"/>
    <cellStyle name="Normal 220 2" xfId="18597"/>
    <cellStyle name="Normal 220 2 2" xfId="18598"/>
    <cellStyle name="Normal 220 2 2 2" xfId="18599"/>
    <cellStyle name="Normal 220 2 2 2 2" xfId="18600"/>
    <cellStyle name="Normal 220 2 2 3" xfId="18601"/>
    <cellStyle name="Normal 220 2 2 3 2" xfId="18602"/>
    <cellStyle name="Normal 220 2 2 3 2 2" xfId="18603"/>
    <cellStyle name="Normal 220 2 2 3 3" xfId="18604"/>
    <cellStyle name="Normal 220 2 2 4" xfId="18605"/>
    <cellStyle name="Normal 220 2 2 4 2" xfId="18606"/>
    <cellStyle name="Normal 220 2 2 4 2 2" xfId="18607"/>
    <cellStyle name="Normal 220 2 2 4 3" xfId="18608"/>
    <cellStyle name="Normal 220 2 2 5" xfId="18609"/>
    <cellStyle name="Normal 220 2 3" xfId="18610"/>
    <cellStyle name="Normal 220 2 3 2" xfId="18611"/>
    <cellStyle name="Normal 220 2 3 2 2" xfId="18612"/>
    <cellStyle name="Normal 220 2 3 2 2 2" xfId="18613"/>
    <cellStyle name="Normal 220 2 3 2 3" xfId="18614"/>
    <cellStyle name="Normal 220 2 3 2 3 2" xfId="18615"/>
    <cellStyle name="Normal 220 2 3 2 3 2 2" xfId="18616"/>
    <cellStyle name="Normal 220 2 3 2 3 3" xfId="18617"/>
    <cellStyle name="Normal 220 2 3 2 4" xfId="18618"/>
    <cellStyle name="Normal 220 2 3 3" xfId="18619"/>
    <cellStyle name="Normal 220 2 3 3 2" xfId="18620"/>
    <cellStyle name="Normal 220 2 3 3 2 2" xfId="18621"/>
    <cellStyle name="Normal 220 2 3 3 3" xfId="18622"/>
    <cellStyle name="Normal 220 2 3 4" xfId="18623"/>
    <cellStyle name="Normal 220 2 3 4 2" xfId="18624"/>
    <cellStyle name="Normal 220 2 3 4 2 2" xfId="18625"/>
    <cellStyle name="Normal 220 2 3 4 3" xfId="18626"/>
    <cellStyle name="Normal 220 2 3 5" xfId="18627"/>
    <cellStyle name="Normal 220 2 3 5 2" xfId="18628"/>
    <cellStyle name="Normal 220 2 3 5 2 2" xfId="18629"/>
    <cellStyle name="Normal 220 2 3 5 3" xfId="18630"/>
    <cellStyle name="Normal 220 2 3 6" xfId="18631"/>
    <cellStyle name="Normal 220 2 4" xfId="18632"/>
    <cellStyle name="Normal 220 2 4 2" xfId="18633"/>
    <cellStyle name="Normal 220 2 4 2 2" xfId="18634"/>
    <cellStyle name="Normal 220 2 4 3" xfId="18635"/>
    <cellStyle name="Normal 220 2 5" xfId="18636"/>
    <cellStyle name="Normal 220 2 5 2" xfId="18637"/>
    <cellStyle name="Normal 220 2 5 2 2" xfId="18638"/>
    <cellStyle name="Normal 220 2 5 3" xfId="18639"/>
    <cellStyle name="Normal 220 2 6" xfId="18640"/>
    <cellStyle name="Normal 220 2 6 2" xfId="18641"/>
    <cellStyle name="Normal 220 2 6 2 2" xfId="18642"/>
    <cellStyle name="Normal 220 2 6 3" xfId="18643"/>
    <cellStyle name="Normal 220 2 7" xfId="18644"/>
    <cellStyle name="Normal 220 3" xfId="18645"/>
    <cellStyle name="Normal 220 3 2" xfId="18646"/>
    <cellStyle name="Normal 220 3 2 2" xfId="18647"/>
    <cellStyle name="Normal 220 3 3" xfId="18648"/>
    <cellStyle name="Normal 220 3 3 2" xfId="18649"/>
    <cellStyle name="Normal 220 3 3 2 2" xfId="18650"/>
    <cellStyle name="Normal 220 3 3 3" xfId="18651"/>
    <cellStyle name="Normal 220 3 4" xfId="18652"/>
    <cellStyle name="Normal 220 3 4 2" xfId="18653"/>
    <cellStyle name="Normal 220 3 4 2 2" xfId="18654"/>
    <cellStyle name="Normal 220 3 4 3" xfId="18655"/>
    <cellStyle name="Normal 220 3 5" xfId="18656"/>
    <cellStyle name="Normal 220 4" xfId="18657"/>
    <cellStyle name="Normal 220 4 2" xfId="18658"/>
    <cellStyle name="Normal 220 4 2 2" xfId="18659"/>
    <cellStyle name="Normal 220 4 2 2 2" xfId="18660"/>
    <cellStyle name="Normal 220 4 2 3" xfId="18661"/>
    <cellStyle name="Normal 220 4 2 3 2" xfId="18662"/>
    <cellStyle name="Normal 220 4 2 3 2 2" xfId="18663"/>
    <cellStyle name="Normal 220 4 2 3 3" xfId="18664"/>
    <cellStyle name="Normal 220 4 2 4" xfId="18665"/>
    <cellStyle name="Normal 220 4 3" xfId="18666"/>
    <cellStyle name="Normal 220 4 3 2" xfId="18667"/>
    <cellStyle name="Normal 220 4 3 2 2" xfId="18668"/>
    <cellStyle name="Normal 220 4 3 3" xfId="18669"/>
    <cellStyle name="Normal 220 4 4" xfId="18670"/>
    <cellStyle name="Normal 220 4 4 2" xfId="18671"/>
    <cellStyle name="Normal 220 4 4 2 2" xfId="18672"/>
    <cellStyle name="Normal 220 4 4 3" xfId="18673"/>
    <cellStyle name="Normal 220 4 5" xfId="18674"/>
    <cellStyle name="Normal 220 4 5 2" xfId="18675"/>
    <cellStyle name="Normal 220 4 5 2 2" xfId="18676"/>
    <cellStyle name="Normal 220 4 5 3" xfId="18677"/>
    <cellStyle name="Normal 220 4 6" xfId="18678"/>
    <cellStyle name="Normal 220 5" xfId="18679"/>
    <cellStyle name="Normal 220 5 2" xfId="18680"/>
    <cellStyle name="Normal 220 5 2 2" xfId="18681"/>
    <cellStyle name="Normal 220 5 3" xfId="18682"/>
    <cellStyle name="Normal 220 6" xfId="18683"/>
    <cellStyle name="Normal 220 6 2" xfId="18684"/>
    <cellStyle name="Normal 220 6 2 2" xfId="18685"/>
    <cellStyle name="Normal 220 6 3" xfId="18686"/>
    <cellStyle name="Normal 220 7" xfId="18687"/>
    <cellStyle name="Normal 220 7 2" xfId="18688"/>
    <cellStyle name="Normal 220 7 2 2" xfId="18689"/>
    <cellStyle name="Normal 220 7 3" xfId="18690"/>
    <cellStyle name="Normal 220 8" xfId="18691"/>
    <cellStyle name="Normal 221" xfId="18692"/>
    <cellStyle name="Normal 221 2" xfId="18693"/>
    <cellStyle name="Normal 221 2 2" xfId="18694"/>
    <cellStyle name="Normal 221 2 2 2" xfId="18695"/>
    <cellStyle name="Normal 221 2 2 2 2" xfId="18696"/>
    <cellStyle name="Normal 221 2 2 3" xfId="18697"/>
    <cellStyle name="Normal 221 2 2 3 2" xfId="18698"/>
    <cellStyle name="Normal 221 2 2 3 2 2" xfId="18699"/>
    <cellStyle name="Normal 221 2 2 3 3" xfId="18700"/>
    <cellStyle name="Normal 221 2 2 4" xfId="18701"/>
    <cellStyle name="Normal 221 2 2 4 2" xfId="18702"/>
    <cellStyle name="Normal 221 2 2 4 2 2" xfId="18703"/>
    <cellStyle name="Normal 221 2 2 4 3" xfId="18704"/>
    <cellStyle name="Normal 221 2 2 5" xfId="18705"/>
    <cellStyle name="Normal 221 2 3" xfId="18706"/>
    <cellStyle name="Normal 221 2 3 2" xfId="18707"/>
    <cellStyle name="Normal 221 2 3 2 2" xfId="18708"/>
    <cellStyle name="Normal 221 2 3 2 2 2" xfId="18709"/>
    <cellStyle name="Normal 221 2 3 2 3" xfId="18710"/>
    <cellStyle name="Normal 221 2 3 2 3 2" xfId="18711"/>
    <cellStyle name="Normal 221 2 3 2 3 2 2" xfId="18712"/>
    <cellStyle name="Normal 221 2 3 2 3 3" xfId="18713"/>
    <cellStyle name="Normal 221 2 3 2 4" xfId="18714"/>
    <cellStyle name="Normal 221 2 3 3" xfId="18715"/>
    <cellStyle name="Normal 221 2 3 3 2" xfId="18716"/>
    <cellStyle name="Normal 221 2 3 3 2 2" xfId="18717"/>
    <cellStyle name="Normal 221 2 3 3 3" xfId="18718"/>
    <cellStyle name="Normal 221 2 3 4" xfId="18719"/>
    <cellStyle name="Normal 221 2 3 4 2" xfId="18720"/>
    <cellStyle name="Normal 221 2 3 4 2 2" xfId="18721"/>
    <cellStyle name="Normal 221 2 3 4 3" xfId="18722"/>
    <cellStyle name="Normal 221 2 3 5" xfId="18723"/>
    <cellStyle name="Normal 221 2 3 5 2" xfId="18724"/>
    <cellStyle name="Normal 221 2 3 5 2 2" xfId="18725"/>
    <cellStyle name="Normal 221 2 3 5 3" xfId="18726"/>
    <cellStyle name="Normal 221 2 3 6" xfId="18727"/>
    <cellStyle name="Normal 221 2 4" xfId="18728"/>
    <cellStyle name="Normal 221 2 4 2" xfId="18729"/>
    <cellStyle name="Normal 221 2 4 2 2" xfId="18730"/>
    <cellStyle name="Normal 221 2 4 3" xfId="18731"/>
    <cellStyle name="Normal 221 2 5" xfId="18732"/>
    <cellStyle name="Normal 221 2 5 2" xfId="18733"/>
    <cellStyle name="Normal 221 2 5 2 2" xfId="18734"/>
    <cellStyle name="Normal 221 2 5 3" xfId="18735"/>
    <cellStyle name="Normal 221 2 6" xfId="18736"/>
    <cellStyle name="Normal 221 2 6 2" xfId="18737"/>
    <cellStyle name="Normal 221 2 6 2 2" xfId="18738"/>
    <cellStyle name="Normal 221 2 6 3" xfId="18739"/>
    <cellStyle name="Normal 221 2 7" xfId="18740"/>
    <cellStyle name="Normal 221 3" xfId="18741"/>
    <cellStyle name="Normal 221 3 2" xfId="18742"/>
    <cellStyle name="Normal 221 3 2 2" xfId="18743"/>
    <cellStyle name="Normal 221 3 3" xfId="18744"/>
    <cellStyle name="Normal 221 3 3 2" xfId="18745"/>
    <cellStyle name="Normal 221 3 3 2 2" xfId="18746"/>
    <cellStyle name="Normal 221 3 3 3" xfId="18747"/>
    <cellStyle name="Normal 221 3 4" xfId="18748"/>
    <cellStyle name="Normal 221 3 4 2" xfId="18749"/>
    <cellStyle name="Normal 221 3 4 2 2" xfId="18750"/>
    <cellStyle name="Normal 221 3 4 3" xfId="18751"/>
    <cellStyle name="Normal 221 3 5" xfId="18752"/>
    <cellStyle name="Normal 221 4" xfId="18753"/>
    <cellStyle name="Normal 221 4 2" xfId="18754"/>
    <cellStyle name="Normal 221 4 2 2" xfId="18755"/>
    <cellStyle name="Normal 221 4 2 2 2" xfId="18756"/>
    <cellStyle name="Normal 221 4 2 3" xfId="18757"/>
    <cellStyle name="Normal 221 4 2 3 2" xfId="18758"/>
    <cellStyle name="Normal 221 4 2 3 2 2" xfId="18759"/>
    <cellStyle name="Normal 221 4 2 3 3" xfId="18760"/>
    <cellStyle name="Normal 221 4 2 4" xfId="18761"/>
    <cellStyle name="Normal 221 4 3" xfId="18762"/>
    <cellStyle name="Normal 221 4 3 2" xfId="18763"/>
    <cellStyle name="Normal 221 4 3 2 2" xfId="18764"/>
    <cellStyle name="Normal 221 4 3 3" xfId="18765"/>
    <cellStyle name="Normal 221 4 4" xfId="18766"/>
    <cellStyle name="Normal 221 4 4 2" xfId="18767"/>
    <cellStyle name="Normal 221 4 4 2 2" xfId="18768"/>
    <cellStyle name="Normal 221 4 4 3" xfId="18769"/>
    <cellStyle name="Normal 221 4 5" xfId="18770"/>
    <cellStyle name="Normal 221 4 5 2" xfId="18771"/>
    <cellStyle name="Normal 221 4 5 2 2" xfId="18772"/>
    <cellStyle name="Normal 221 4 5 3" xfId="18773"/>
    <cellStyle name="Normal 221 4 6" xfId="18774"/>
    <cellStyle name="Normal 221 5" xfId="18775"/>
    <cellStyle name="Normal 221 5 2" xfId="18776"/>
    <cellStyle name="Normal 221 5 2 2" xfId="18777"/>
    <cellStyle name="Normal 221 5 3" xfId="18778"/>
    <cellStyle name="Normal 221 6" xfId="18779"/>
    <cellStyle name="Normal 221 6 2" xfId="18780"/>
    <cellStyle name="Normal 221 6 2 2" xfId="18781"/>
    <cellStyle name="Normal 221 6 3" xfId="18782"/>
    <cellStyle name="Normal 221 7" xfId="18783"/>
    <cellStyle name="Normal 221 7 2" xfId="18784"/>
    <cellStyle name="Normal 221 7 2 2" xfId="18785"/>
    <cellStyle name="Normal 221 7 3" xfId="18786"/>
    <cellStyle name="Normal 221 8" xfId="18787"/>
    <cellStyle name="Normal 222" xfId="18788"/>
    <cellStyle name="Normal 222 2" xfId="18789"/>
    <cellStyle name="Normal 222 2 2" xfId="18790"/>
    <cellStyle name="Normal 222 2 2 2" xfId="18791"/>
    <cellStyle name="Normal 222 2 2 2 2" xfId="18792"/>
    <cellStyle name="Normal 222 2 2 3" xfId="18793"/>
    <cellStyle name="Normal 222 2 2 3 2" xfId="18794"/>
    <cellStyle name="Normal 222 2 2 3 2 2" xfId="18795"/>
    <cellStyle name="Normal 222 2 2 3 3" xfId="18796"/>
    <cellStyle name="Normal 222 2 2 4" xfId="18797"/>
    <cellStyle name="Normal 222 2 2 4 2" xfId="18798"/>
    <cellStyle name="Normal 222 2 2 4 2 2" xfId="18799"/>
    <cellStyle name="Normal 222 2 2 4 3" xfId="18800"/>
    <cellStyle name="Normal 222 2 2 5" xfId="18801"/>
    <cellStyle name="Normal 222 2 3" xfId="18802"/>
    <cellStyle name="Normal 222 2 3 2" xfId="18803"/>
    <cellStyle name="Normal 222 2 3 2 2" xfId="18804"/>
    <cellStyle name="Normal 222 2 3 2 2 2" xfId="18805"/>
    <cellStyle name="Normal 222 2 3 2 3" xfId="18806"/>
    <cellStyle name="Normal 222 2 3 2 3 2" xfId="18807"/>
    <cellStyle name="Normal 222 2 3 2 3 2 2" xfId="18808"/>
    <cellStyle name="Normal 222 2 3 2 3 3" xfId="18809"/>
    <cellStyle name="Normal 222 2 3 2 4" xfId="18810"/>
    <cellStyle name="Normal 222 2 3 3" xfId="18811"/>
    <cellStyle name="Normal 222 2 3 3 2" xfId="18812"/>
    <cellStyle name="Normal 222 2 3 3 2 2" xfId="18813"/>
    <cellStyle name="Normal 222 2 3 3 3" xfId="18814"/>
    <cellStyle name="Normal 222 2 3 4" xfId="18815"/>
    <cellStyle name="Normal 222 2 3 4 2" xfId="18816"/>
    <cellStyle name="Normal 222 2 3 4 2 2" xfId="18817"/>
    <cellStyle name="Normal 222 2 3 4 3" xfId="18818"/>
    <cellStyle name="Normal 222 2 3 5" xfId="18819"/>
    <cellStyle name="Normal 222 2 3 5 2" xfId="18820"/>
    <cellStyle name="Normal 222 2 3 5 2 2" xfId="18821"/>
    <cellStyle name="Normal 222 2 3 5 3" xfId="18822"/>
    <cellStyle name="Normal 222 2 3 6" xfId="18823"/>
    <cellStyle name="Normal 222 2 4" xfId="18824"/>
    <cellStyle name="Normal 222 2 4 2" xfId="18825"/>
    <cellStyle name="Normal 222 2 4 2 2" xfId="18826"/>
    <cellStyle name="Normal 222 2 4 3" xfId="18827"/>
    <cellStyle name="Normal 222 2 5" xfId="18828"/>
    <cellStyle name="Normal 222 2 5 2" xfId="18829"/>
    <cellStyle name="Normal 222 2 5 2 2" xfId="18830"/>
    <cellStyle name="Normal 222 2 5 3" xfId="18831"/>
    <cellStyle name="Normal 222 2 6" xfId="18832"/>
    <cellStyle name="Normal 222 2 6 2" xfId="18833"/>
    <cellStyle name="Normal 222 2 6 2 2" xfId="18834"/>
    <cellStyle name="Normal 222 2 6 3" xfId="18835"/>
    <cellStyle name="Normal 222 2 7" xfId="18836"/>
    <cellStyle name="Normal 222 3" xfId="18837"/>
    <cellStyle name="Normal 222 3 2" xfId="18838"/>
    <cellStyle name="Normal 222 3 2 2" xfId="18839"/>
    <cellStyle name="Normal 222 3 3" xfId="18840"/>
    <cellStyle name="Normal 222 3 3 2" xfId="18841"/>
    <cellStyle name="Normal 222 3 3 2 2" xfId="18842"/>
    <cellStyle name="Normal 222 3 3 3" xfId="18843"/>
    <cellStyle name="Normal 222 3 4" xfId="18844"/>
    <cellStyle name="Normal 222 3 4 2" xfId="18845"/>
    <cellStyle name="Normal 222 3 4 2 2" xfId="18846"/>
    <cellStyle name="Normal 222 3 4 3" xfId="18847"/>
    <cellStyle name="Normal 222 3 5" xfId="18848"/>
    <cellStyle name="Normal 222 4" xfId="18849"/>
    <cellStyle name="Normal 222 4 2" xfId="18850"/>
    <cellStyle name="Normal 222 4 2 2" xfId="18851"/>
    <cellStyle name="Normal 222 4 2 2 2" xfId="18852"/>
    <cellStyle name="Normal 222 4 2 3" xfId="18853"/>
    <cellStyle name="Normal 222 4 2 3 2" xfId="18854"/>
    <cellStyle name="Normal 222 4 2 3 2 2" xfId="18855"/>
    <cellStyle name="Normal 222 4 2 3 3" xfId="18856"/>
    <cellStyle name="Normal 222 4 2 4" xfId="18857"/>
    <cellStyle name="Normal 222 4 3" xfId="18858"/>
    <cellStyle name="Normal 222 4 3 2" xfId="18859"/>
    <cellStyle name="Normal 222 4 3 2 2" xfId="18860"/>
    <cellStyle name="Normal 222 4 3 3" xfId="18861"/>
    <cellStyle name="Normal 222 4 4" xfId="18862"/>
    <cellStyle name="Normal 222 4 4 2" xfId="18863"/>
    <cellStyle name="Normal 222 4 4 2 2" xfId="18864"/>
    <cellStyle name="Normal 222 4 4 3" xfId="18865"/>
    <cellStyle name="Normal 222 4 5" xfId="18866"/>
    <cellStyle name="Normal 222 4 5 2" xfId="18867"/>
    <cellStyle name="Normal 222 4 5 2 2" xfId="18868"/>
    <cellStyle name="Normal 222 4 5 3" xfId="18869"/>
    <cellStyle name="Normal 222 4 6" xfId="18870"/>
    <cellStyle name="Normal 222 5" xfId="18871"/>
    <cellStyle name="Normal 222 5 2" xfId="18872"/>
    <cellStyle name="Normal 222 5 2 2" xfId="18873"/>
    <cellStyle name="Normal 222 5 3" xfId="18874"/>
    <cellStyle name="Normal 222 6" xfId="18875"/>
    <cellStyle name="Normal 222 6 2" xfId="18876"/>
    <cellStyle name="Normal 222 6 2 2" xfId="18877"/>
    <cellStyle name="Normal 222 6 3" xfId="18878"/>
    <cellStyle name="Normal 222 7" xfId="18879"/>
    <cellStyle name="Normal 222 7 2" xfId="18880"/>
    <cellStyle name="Normal 222 7 2 2" xfId="18881"/>
    <cellStyle name="Normal 222 7 3" xfId="18882"/>
    <cellStyle name="Normal 222 8" xfId="18883"/>
    <cellStyle name="Normal 223" xfId="18884"/>
    <cellStyle name="Normal 223 2" xfId="18885"/>
    <cellStyle name="Normal 223 2 2" xfId="18886"/>
    <cellStyle name="Normal 223 2 2 2" xfId="18887"/>
    <cellStyle name="Normal 223 2 2 2 2" xfId="18888"/>
    <cellStyle name="Normal 223 2 2 3" xfId="18889"/>
    <cellStyle name="Normal 223 2 2 3 2" xfId="18890"/>
    <cellStyle name="Normal 223 2 2 3 2 2" xfId="18891"/>
    <cellStyle name="Normal 223 2 2 3 3" xfId="18892"/>
    <cellStyle name="Normal 223 2 2 4" xfId="18893"/>
    <cellStyle name="Normal 223 2 2 4 2" xfId="18894"/>
    <cellStyle name="Normal 223 2 2 4 2 2" xfId="18895"/>
    <cellStyle name="Normal 223 2 2 4 3" xfId="18896"/>
    <cellStyle name="Normal 223 2 2 5" xfId="18897"/>
    <cellStyle name="Normal 223 2 3" xfId="18898"/>
    <cellStyle name="Normal 223 2 3 2" xfId="18899"/>
    <cellStyle name="Normal 223 2 3 2 2" xfId="18900"/>
    <cellStyle name="Normal 223 2 3 2 2 2" xfId="18901"/>
    <cellStyle name="Normal 223 2 3 2 3" xfId="18902"/>
    <cellStyle name="Normal 223 2 3 2 3 2" xfId="18903"/>
    <cellStyle name="Normal 223 2 3 2 3 2 2" xfId="18904"/>
    <cellStyle name="Normal 223 2 3 2 3 3" xfId="18905"/>
    <cellStyle name="Normal 223 2 3 2 4" xfId="18906"/>
    <cellStyle name="Normal 223 2 3 3" xfId="18907"/>
    <cellStyle name="Normal 223 2 3 3 2" xfId="18908"/>
    <cellStyle name="Normal 223 2 3 3 2 2" xfId="18909"/>
    <cellStyle name="Normal 223 2 3 3 3" xfId="18910"/>
    <cellStyle name="Normal 223 2 3 4" xfId="18911"/>
    <cellStyle name="Normal 223 2 3 4 2" xfId="18912"/>
    <cellStyle name="Normal 223 2 3 4 2 2" xfId="18913"/>
    <cellStyle name="Normal 223 2 3 4 3" xfId="18914"/>
    <cellStyle name="Normal 223 2 3 5" xfId="18915"/>
    <cellStyle name="Normal 223 2 3 5 2" xfId="18916"/>
    <cellStyle name="Normal 223 2 3 5 2 2" xfId="18917"/>
    <cellStyle name="Normal 223 2 3 5 3" xfId="18918"/>
    <cellStyle name="Normal 223 2 3 6" xfId="18919"/>
    <cellStyle name="Normal 223 2 4" xfId="18920"/>
    <cellStyle name="Normal 223 2 4 2" xfId="18921"/>
    <cellStyle name="Normal 223 2 4 2 2" xfId="18922"/>
    <cellStyle name="Normal 223 2 4 3" xfId="18923"/>
    <cellStyle name="Normal 223 2 5" xfId="18924"/>
    <cellStyle name="Normal 223 2 5 2" xfId="18925"/>
    <cellStyle name="Normal 223 2 5 2 2" xfId="18926"/>
    <cellStyle name="Normal 223 2 5 3" xfId="18927"/>
    <cellStyle name="Normal 223 2 6" xfId="18928"/>
    <cellStyle name="Normal 223 2 6 2" xfId="18929"/>
    <cellStyle name="Normal 223 2 6 2 2" xfId="18930"/>
    <cellStyle name="Normal 223 2 6 3" xfId="18931"/>
    <cellStyle name="Normal 223 2 7" xfId="18932"/>
    <cellStyle name="Normal 223 3" xfId="18933"/>
    <cellStyle name="Normal 223 3 2" xfId="18934"/>
    <cellStyle name="Normal 223 3 2 2" xfId="18935"/>
    <cellStyle name="Normal 223 3 3" xfId="18936"/>
    <cellStyle name="Normal 223 3 3 2" xfId="18937"/>
    <cellStyle name="Normal 223 3 3 2 2" xfId="18938"/>
    <cellStyle name="Normal 223 3 3 3" xfId="18939"/>
    <cellStyle name="Normal 223 3 4" xfId="18940"/>
    <cellStyle name="Normal 223 3 4 2" xfId="18941"/>
    <cellStyle name="Normal 223 3 4 2 2" xfId="18942"/>
    <cellStyle name="Normal 223 3 4 3" xfId="18943"/>
    <cellStyle name="Normal 223 3 5" xfId="18944"/>
    <cellStyle name="Normal 223 4" xfId="18945"/>
    <cellStyle name="Normal 223 4 2" xfId="18946"/>
    <cellStyle name="Normal 223 4 2 2" xfId="18947"/>
    <cellStyle name="Normal 223 4 2 2 2" xfId="18948"/>
    <cellStyle name="Normal 223 4 2 3" xfId="18949"/>
    <cellStyle name="Normal 223 4 2 3 2" xfId="18950"/>
    <cellStyle name="Normal 223 4 2 3 2 2" xfId="18951"/>
    <cellStyle name="Normal 223 4 2 3 3" xfId="18952"/>
    <cellStyle name="Normal 223 4 2 4" xfId="18953"/>
    <cellStyle name="Normal 223 4 3" xfId="18954"/>
    <cellStyle name="Normal 223 4 3 2" xfId="18955"/>
    <cellStyle name="Normal 223 4 3 2 2" xfId="18956"/>
    <cellStyle name="Normal 223 4 3 3" xfId="18957"/>
    <cellStyle name="Normal 223 4 4" xfId="18958"/>
    <cellStyle name="Normal 223 4 4 2" xfId="18959"/>
    <cellStyle name="Normal 223 4 4 2 2" xfId="18960"/>
    <cellStyle name="Normal 223 4 4 3" xfId="18961"/>
    <cellStyle name="Normal 223 4 5" xfId="18962"/>
    <cellStyle name="Normal 223 4 5 2" xfId="18963"/>
    <cellStyle name="Normal 223 4 5 2 2" xfId="18964"/>
    <cellStyle name="Normal 223 4 5 3" xfId="18965"/>
    <cellStyle name="Normal 223 4 6" xfId="18966"/>
    <cellStyle name="Normal 223 5" xfId="18967"/>
    <cellStyle name="Normal 223 5 2" xfId="18968"/>
    <cellStyle name="Normal 223 5 2 2" xfId="18969"/>
    <cellStyle name="Normal 223 5 3" xfId="18970"/>
    <cellStyle name="Normal 223 6" xfId="18971"/>
    <cellStyle name="Normal 223 6 2" xfId="18972"/>
    <cellStyle name="Normal 223 6 2 2" xfId="18973"/>
    <cellStyle name="Normal 223 6 3" xfId="18974"/>
    <cellStyle name="Normal 223 7" xfId="18975"/>
    <cellStyle name="Normal 223 7 2" xfId="18976"/>
    <cellStyle name="Normal 223 7 2 2" xfId="18977"/>
    <cellStyle name="Normal 223 7 3" xfId="18978"/>
    <cellStyle name="Normal 223 8" xfId="18979"/>
    <cellStyle name="Normal 224" xfId="18980"/>
    <cellStyle name="Normal 224 2" xfId="18981"/>
    <cellStyle name="Normal 224 2 2" xfId="18982"/>
    <cellStyle name="Normal 224 2 2 2" xfId="18983"/>
    <cellStyle name="Normal 224 2 2 2 2" xfId="18984"/>
    <cellStyle name="Normal 224 2 2 3" xfId="18985"/>
    <cellStyle name="Normal 224 2 2 3 2" xfId="18986"/>
    <cellStyle name="Normal 224 2 2 3 2 2" xfId="18987"/>
    <cellStyle name="Normal 224 2 2 3 3" xfId="18988"/>
    <cellStyle name="Normal 224 2 2 4" xfId="18989"/>
    <cellStyle name="Normal 224 2 2 4 2" xfId="18990"/>
    <cellStyle name="Normal 224 2 2 4 2 2" xfId="18991"/>
    <cellStyle name="Normal 224 2 2 4 3" xfId="18992"/>
    <cellStyle name="Normal 224 2 2 5" xfId="18993"/>
    <cellStyle name="Normal 224 2 3" xfId="18994"/>
    <cellStyle name="Normal 224 2 3 2" xfId="18995"/>
    <cellStyle name="Normal 224 2 3 2 2" xfId="18996"/>
    <cellStyle name="Normal 224 2 3 2 2 2" xfId="18997"/>
    <cellStyle name="Normal 224 2 3 2 3" xfId="18998"/>
    <cellStyle name="Normal 224 2 3 2 3 2" xfId="18999"/>
    <cellStyle name="Normal 224 2 3 2 3 2 2" xfId="19000"/>
    <cellStyle name="Normal 224 2 3 2 3 3" xfId="19001"/>
    <cellStyle name="Normal 224 2 3 2 4" xfId="19002"/>
    <cellStyle name="Normal 224 2 3 3" xfId="19003"/>
    <cellStyle name="Normal 224 2 3 3 2" xfId="19004"/>
    <cellStyle name="Normal 224 2 3 3 2 2" xfId="19005"/>
    <cellStyle name="Normal 224 2 3 3 3" xfId="19006"/>
    <cellStyle name="Normal 224 2 3 4" xfId="19007"/>
    <cellStyle name="Normal 224 2 3 4 2" xfId="19008"/>
    <cellStyle name="Normal 224 2 3 4 2 2" xfId="19009"/>
    <cellStyle name="Normal 224 2 3 4 3" xfId="19010"/>
    <cellStyle name="Normal 224 2 3 5" xfId="19011"/>
    <cellStyle name="Normal 224 2 3 5 2" xfId="19012"/>
    <cellStyle name="Normal 224 2 3 5 2 2" xfId="19013"/>
    <cellStyle name="Normal 224 2 3 5 3" xfId="19014"/>
    <cellStyle name="Normal 224 2 3 6" xfId="19015"/>
    <cellStyle name="Normal 224 2 4" xfId="19016"/>
    <cellStyle name="Normal 224 2 4 2" xfId="19017"/>
    <cellStyle name="Normal 224 2 4 2 2" xfId="19018"/>
    <cellStyle name="Normal 224 2 4 3" xfId="19019"/>
    <cellStyle name="Normal 224 2 5" xfId="19020"/>
    <cellStyle name="Normal 224 2 5 2" xfId="19021"/>
    <cellStyle name="Normal 224 2 5 2 2" xfId="19022"/>
    <cellStyle name="Normal 224 2 5 3" xfId="19023"/>
    <cellStyle name="Normal 224 2 6" xfId="19024"/>
    <cellStyle name="Normal 224 2 6 2" xfId="19025"/>
    <cellStyle name="Normal 224 2 6 2 2" xfId="19026"/>
    <cellStyle name="Normal 224 2 6 3" xfId="19027"/>
    <cellStyle name="Normal 224 2 7" xfId="19028"/>
    <cellStyle name="Normal 224 3" xfId="19029"/>
    <cellStyle name="Normal 224 3 2" xfId="19030"/>
    <cellStyle name="Normal 224 3 2 2" xfId="19031"/>
    <cellStyle name="Normal 224 3 3" xfId="19032"/>
    <cellStyle name="Normal 224 3 3 2" xfId="19033"/>
    <cellStyle name="Normal 224 3 3 2 2" xfId="19034"/>
    <cellStyle name="Normal 224 3 3 3" xfId="19035"/>
    <cellStyle name="Normal 224 3 4" xfId="19036"/>
    <cellStyle name="Normal 224 3 4 2" xfId="19037"/>
    <cellStyle name="Normal 224 3 4 2 2" xfId="19038"/>
    <cellStyle name="Normal 224 3 4 3" xfId="19039"/>
    <cellStyle name="Normal 224 3 5" xfId="19040"/>
    <cellStyle name="Normal 224 4" xfId="19041"/>
    <cellStyle name="Normal 224 4 2" xfId="19042"/>
    <cellStyle name="Normal 224 4 2 2" xfId="19043"/>
    <cellStyle name="Normal 224 4 2 2 2" xfId="19044"/>
    <cellStyle name="Normal 224 4 2 3" xfId="19045"/>
    <cellStyle name="Normal 224 4 2 3 2" xfId="19046"/>
    <cellStyle name="Normal 224 4 2 3 2 2" xfId="19047"/>
    <cellStyle name="Normal 224 4 2 3 3" xfId="19048"/>
    <cellStyle name="Normal 224 4 2 4" xfId="19049"/>
    <cellStyle name="Normal 224 4 3" xfId="19050"/>
    <cellStyle name="Normal 224 4 3 2" xfId="19051"/>
    <cellStyle name="Normal 224 4 3 2 2" xfId="19052"/>
    <cellStyle name="Normal 224 4 3 3" xfId="19053"/>
    <cellStyle name="Normal 224 4 4" xfId="19054"/>
    <cellStyle name="Normal 224 4 4 2" xfId="19055"/>
    <cellStyle name="Normal 224 4 4 2 2" xfId="19056"/>
    <cellStyle name="Normal 224 4 4 3" xfId="19057"/>
    <cellStyle name="Normal 224 4 5" xfId="19058"/>
    <cellStyle name="Normal 224 4 5 2" xfId="19059"/>
    <cellStyle name="Normal 224 4 5 2 2" xfId="19060"/>
    <cellStyle name="Normal 224 4 5 3" xfId="19061"/>
    <cellStyle name="Normal 224 4 6" xfId="19062"/>
    <cellStyle name="Normal 224 5" xfId="19063"/>
    <cellStyle name="Normal 224 5 2" xfId="19064"/>
    <cellStyle name="Normal 224 5 2 2" xfId="19065"/>
    <cellStyle name="Normal 224 5 3" xfId="19066"/>
    <cellStyle name="Normal 224 6" xfId="19067"/>
    <cellStyle name="Normal 224 6 2" xfId="19068"/>
    <cellStyle name="Normal 224 6 2 2" xfId="19069"/>
    <cellStyle name="Normal 224 6 3" xfId="19070"/>
    <cellStyle name="Normal 224 7" xfId="19071"/>
    <cellStyle name="Normal 224 7 2" xfId="19072"/>
    <cellStyle name="Normal 224 7 2 2" xfId="19073"/>
    <cellStyle name="Normal 224 7 3" xfId="19074"/>
    <cellStyle name="Normal 224 8" xfId="19075"/>
    <cellStyle name="Normal 225" xfId="19076"/>
    <cellStyle name="Normal 225 2" xfId="19077"/>
    <cellStyle name="Normal 225 2 2" xfId="19078"/>
    <cellStyle name="Normal 225 2 2 2" xfId="19079"/>
    <cellStyle name="Normal 225 2 2 2 2" xfId="19080"/>
    <cellStyle name="Normal 225 2 2 3" xfId="19081"/>
    <cellStyle name="Normal 225 2 2 3 2" xfId="19082"/>
    <cellStyle name="Normal 225 2 2 3 2 2" xfId="19083"/>
    <cellStyle name="Normal 225 2 2 3 3" xfId="19084"/>
    <cellStyle name="Normal 225 2 2 4" xfId="19085"/>
    <cellStyle name="Normal 225 2 2 4 2" xfId="19086"/>
    <cellStyle name="Normal 225 2 2 4 2 2" xfId="19087"/>
    <cellStyle name="Normal 225 2 2 4 3" xfId="19088"/>
    <cellStyle name="Normal 225 2 2 5" xfId="19089"/>
    <cellStyle name="Normal 225 2 3" xfId="19090"/>
    <cellStyle name="Normal 225 2 3 2" xfId="19091"/>
    <cellStyle name="Normal 225 2 3 2 2" xfId="19092"/>
    <cellStyle name="Normal 225 2 3 2 2 2" xfId="19093"/>
    <cellStyle name="Normal 225 2 3 2 3" xfId="19094"/>
    <cellStyle name="Normal 225 2 3 2 3 2" xfId="19095"/>
    <cellStyle name="Normal 225 2 3 2 3 2 2" xfId="19096"/>
    <cellStyle name="Normal 225 2 3 2 3 3" xfId="19097"/>
    <cellStyle name="Normal 225 2 3 2 4" xfId="19098"/>
    <cellStyle name="Normal 225 2 3 3" xfId="19099"/>
    <cellStyle name="Normal 225 2 3 3 2" xfId="19100"/>
    <cellStyle name="Normal 225 2 3 3 2 2" xfId="19101"/>
    <cellStyle name="Normal 225 2 3 3 3" xfId="19102"/>
    <cellStyle name="Normal 225 2 3 4" xfId="19103"/>
    <cellStyle name="Normal 225 2 3 4 2" xfId="19104"/>
    <cellStyle name="Normal 225 2 3 4 2 2" xfId="19105"/>
    <cellStyle name="Normal 225 2 3 4 3" xfId="19106"/>
    <cellStyle name="Normal 225 2 3 5" xfId="19107"/>
    <cellStyle name="Normal 225 2 3 5 2" xfId="19108"/>
    <cellStyle name="Normal 225 2 3 5 2 2" xfId="19109"/>
    <cellStyle name="Normal 225 2 3 5 3" xfId="19110"/>
    <cellStyle name="Normal 225 2 3 6" xfId="19111"/>
    <cellStyle name="Normal 225 2 4" xfId="19112"/>
    <cellStyle name="Normal 225 2 4 2" xfId="19113"/>
    <cellStyle name="Normal 225 2 4 2 2" xfId="19114"/>
    <cellStyle name="Normal 225 2 4 3" xfId="19115"/>
    <cellStyle name="Normal 225 2 5" xfId="19116"/>
    <cellStyle name="Normal 225 2 5 2" xfId="19117"/>
    <cellStyle name="Normal 225 2 5 2 2" xfId="19118"/>
    <cellStyle name="Normal 225 2 5 3" xfId="19119"/>
    <cellStyle name="Normal 225 2 6" xfId="19120"/>
    <cellStyle name="Normal 225 2 6 2" xfId="19121"/>
    <cellStyle name="Normal 225 2 6 2 2" xfId="19122"/>
    <cellStyle name="Normal 225 2 6 3" xfId="19123"/>
    <cellStyle name="Normal 225 2 7" xfId="19124"/>
    <cellStyle name="Normal 225 3" xfId="19125"/>
    <cellStyle name="Normal 225 3 2" xfId="19126"/>
    <cellStyle name="Normal 225 3 2 2" xfId="19127"/>
    <cellStyle name="Normal 225 3 3" xfId="19128"/>
    <cellStyle name="Normal 225 3 3 2" xfId="19129"/>
    <cellStyle name="Normal 225 3 3 2 2" xfId="19130"/>
    <cellStyle name="Normal 225 3 3 3" xfId="19131"/>
    <cellStyle name="Normal 225 3 4" xfId="19132"/>
    <cellStyle name="Normal 225 3 4 2" xfId="19133"/>
    <cellStyle name="Normal 225 3 4 2 2" xfId="19134"/>
    <cellStyle name="Normal 225 3 4 3" xfId="19135"/>
    <cellStyle name="Normal 225 3 5" xfId="19136"/>
    <cellStyle name="Normal 225 4" xfId="19137"/>
    <cellStyle name="Normal 225 4 2" xfId="19138"/>
    <cellStyle name="Normal 225 4 2 2" xfId="19139"/>
    <cellStyle name="Normal 225 4 2 2 2" xfId="19140"/>
    <cellStyle name="Normal 225 4 2 3" xfId="19141"/>
    <cellStyle name="Normal 225 4 2 3 2" xfId="19142"/>
    <cellStyle name="Normal 225 4 2 3 2 2" xfId="19143"/>
    <cellStyle name="Normal 225 4 2 3 3" xfId="19144"/>
    <cellStyle name="Normal 225 4 2 4" xfId="19145"/>
    <cellStyle name="Normal 225 4 3" xfId="19146"/>
    <cellStyle name="Normal 225 4 3 2" xfId="19147"/>
    <cellStyle name="Normal 225 4 3 2 2" xfId="19148"/>
    <cellStyle name="Normal 225 4 3 3" xfId="19149"/>
    <cellStyle name="Normal 225 4 4" xfId="19150"/>
    <cellStyle name="Normal 225 4 4 2" xfId="19151"/>
    <cellStyle name="Normal 225 4 4 2 2" xfId="19152"/>
    <cellStyle name="Normal 225 4 4 3" xfId="19153"/>
    <cellStyle name="Normal 225 4 5" xfId="19154"/>
    <cellStyle name="Normal 225 4 5 2" xfId="19155"/>
    <cellStyle name="Normal 225 4 5 2 2" xfId="19156"/>
    <cellStyle name="Normal 225 4 5 3" xfId="19157"/>
    <cellStyle name="Normal 225 4 6" xfId="19158"/>
    <cellStyle name="Normal 225 5" xfId="19159"/>
    <cellStyle name="Normal 225 5 2" xfId="19160"/>
    <cellStyle name="Normal 225 5 2 2" xfId="19161"/>
    <cellStyle name="Normal 225 5 3" xfId="19162"/>
    <cellStyle name="Normal 225 6" xfId="19163"/>
    <cellStyle name="Normal 225 6 2" xfId="19164"/>
    <cellStyle name="Normal 225 6 2 2" xfId="19165"/>
    <cellStyle name="Normal 225 6 3" xfId="19166"/>
    <cellStyle name="Normal 225 7" xfId="19167"/>
    <cellStyle name="Normal 225 7 2" xfId="19168"/>
    <cellStyle name="Normal 225 7 2 2" xfId="19169"/>
    <cellStyle name="Normal 225 7 3" xfId="19170"/>
    <cellStyle name="Normal 225 8" xfId="19171"/>
    <cellStyle name="Normal 226" xfId="19172"/>
    <cellStyle name="Normal 226 2" xfId="19173"/>
    <cellStyle name="Normal 226 2 2" xfId="19174"/>
    <cellStyle name="Normal 226 2 2 2" xfId="19175"/>
    <cellStyle name="Normal 226 2 2 2 2" xfId="19176"/>
    <cellStyle name="Normal 226 2 2 3" xfId="19177"/>
    <cellStyle name="Normal 226 2 2 3 2" xfId="19178"/>
    <cellStyle name="Normal 226 2 2 3 2 2" xfId="19179"/>
    <cellStyle name="Normal 226 2 2 3 3" xfId="19180"/>
    <cellStyle name="Normal 226 2 2 4" xfId="19181"/>
    <cellStyle name="Normal 226 2 2 4 2" xfId="19182"/>
    <cellStyle name="Normal 226 2 2 4 2 2" xfId="19183"/>
    <cellStyle name="Normal 226 2 2 4 3" xfId="19184"/>
    <cellStyle name="Normal 226 2 2 5" xfId="19185"/>
    <cellStyle name="Normal 226 2 3" xfId="19186"/>
    <cellStyle name="Normal 226 2 3 2" xfId="19187"/>
    <cellStyle name="Normal 226 2 3 2 2" xfId="19188"/>
    <cellStyle name="Normal 226 2 3 2 2 2" xfId="19189"/>
    <cellStyle name="Normal 226 2 3 2 3" xfId="19190"/>
    <cellStyle name="Normal 226 2 3 2 3 2" xfId="19191"/>
    <cellStyle name="Normal 226 2 3 2 3 2 2" xfId="19192"/>
    <cellStyle name="Normal 226 2 3 2 3 3" xfId="19193"/>
    <cellStyle name="Normal 226 2 3 2 4" xfId="19194"/>
    <cellStyle name="Normal 226 2 3 3" xfId="19195"/>
    <cellStyle name="Normal 226 2 3 3 2" xfId="19196"/>
    <cellStyle name="Normal 226 2 3 3 2 2" xfId="19197"/>
    <cellStyle name="Normal 226 2 3 3 3" xfId="19198"/>
    <cellStyle name="Normal 226 2 3 4" xfId="19199"/>
    <cellStyle name="Normal 226 2 3 4 2" xfId="19200"/>
    <cellStyle name="Normal 226 2 3 4 2 2" xfId="19201"/>
    <cellStyle name="Normal 226 2 3 4 3" xfId="19202"/>
    <cellStyle name="Normal 226 2 3 5" xfId="19203"/>
    <cellStyle name="Normal 226 2 3 5 2" xfId="19204"/>
    <cellStyle name="Normal 226 2 3 5 2 2" xfId="19205"/>
    <cellStyle name="Normal 226 2 3 5 3" xfId="19206"/>
    <cellStyle name="Normal 226 2 3 6" xfId="19207"/>
    <cellStyle name="Normal 226 2 4" xfId="19208"/>
    <cellStyle name="Normal 226 2 4 2" xfId="19209"/>
    <cellStyle name="Normal 226 2 4 2 2" xfId="19210"/>
    <cellStyle name="Normal 226 2 4 3" xfId="19211"/>
    <cellStyle name="Normal 226 2 5" xfId="19212"/>
    <cellStyle name="Normal 226 2 5 2" xfId="19213"/>
    <cellStyle name="Normal 226 2 5 2 2" xfId="19214"/>
    <cellStyle name="Normal 226 2 5 3" xfId="19215"/>
    <cellStyle name="Normal 226 2 6" xfId="19216"/>
    <cellStyle name="Normal 226 2 6 2" xfId="19217"/>
    <cellStyle name="Normal 226 2 6 2 2" xfId="19218"/>
    <cellStyle name="Normal 226 2 6 3" xfId="19219"/>
    <cellStyle name="Normal 226 2 7" xfId="19220"/>
    <cellStyle name="Normal 226 3" xfId="19221"/>
    <cellStyle name="Normal 226 3 2" xfId="19222"/>
    <cellStyle name="Normal 226 3 2 2" xfId="19223"/>
    <cellStyle name="Normal 226 3 3" xfId="19224"/>
    <cellStyle name="Normal 226 3 3 2" xfId="19225"/>
    <cellStyle name="Normal 226 3 3 2 2" xfId="19226"/>
    <cellStyle name="Normal 226 3 3 3" xfId="19227"/>
    <cellStyle name="Normal 226 3 4" xfId="19228"/>
    <cellStyle name="Normal 226 3 4 2" xfId="19229"/>
    <cellStyle name="Normal 226 3 4 2 2" xfId="19230"/>
    <cellStyle name="Normal 226 3 4 3" xfId="19231"/>
    <cellStyle name="Normal 226 3 5" xfId="19232"/>
    <cellStyle name="Normal 226 4" xfId="19233"/>
    <cellStyle name="Normal 226 4 2" xfId="19234"/>
    <cellStyle name="Normal 226 4 2 2" xfId="19235"/>
    <cellStyle name="Normal 226 4 2 2 2" xfId="19236"/>
    <cellStyle name="Normal 226 4 2 3" xfId="19237"/>
    <cellStyle name="Normal 226 4 2 3 2" xfId="19238"/>
    <cellStyle name="Normal 226 4 2 3 2 2" xfId="19239"/>
    <cellStyle name="Normal 226 4 2 3 3" xfId="19240"/>
    <cellStyle name="Normal 226 4 2 4" xfId="19241"/>
    <cellStyle name="Normal 226 4 3" xfId="19242"/>
    <cellStyle name="Normal 226 4 3 2" xfId="19243"/>
    <cellStyle name="Normal 226 4 3 2 2" xfId="19244"/>
    <cellStyle name="Normal 226 4 3 3" xfId="19245"/>
    <cellStyle name="Normal 226 4 4" xfId="19246"/>
    <cellStyle name="Normal 226 4 4 2" xfId="19247"/>
    <cellStyle name="Normal 226 4 4 2 2" xfId="19248"/>
    <cellStyle name="Normal 226 4 4 3" xfId="19249"/>
    <cellStyle name="Normal 226 4 5" xfId="19250"/>
    <cellStyle name="Normal 226 4 5 2" xfId="19251"/>
    <cellStyle name="Normal 226 4 5 2 2" xfId="19252"/>
    <cellStyle name="Normal 226 4 5 3" xfId="19253"/>
    <cellStyle name="Normal 226 4 6" xfId="19254"/>
    <cellStyle name="Normal 226 5" xfId="19255"/>
    <cellStyle name="Normal 226 5 2" xfId="19256"/>
    <cellStyle name="Normal 226 5 2 2" xfId="19257"/>
    <cellStyle name="Normal 226 5 3" xfId="19258"/>
    <cellStyle name="Normal 226 6" xfId="19259"/>
    <cellStyle name="Normal 226 6 2" xfId="19260"/>
    <cellStyle name="Normal 226 6 2 2" xfId="19261"/>
    <cellStyle name="Normal 226 6 3" xfId="19262"/>
    <cellStyle name="Normal 226 7" xfId="19263"/>
    <cellStyle name="Normal 226 7 2" xfId="19264"/>
    <cellStyle name="Normal 226 7 2 2" xfId="19265"/>
    <cellStyle name="Normal 226 7 3" xfId="19266"/>
    <cellStyle name="Normal 226 8" xfId="19267"/>
    <cellStyle name="Normal 227" xfId="19268"/>
    <cellStyle name="Normal 227 2" xfId="19269"/>
    <cellStyle name="Normal 227 2 2" xfId="19270"/>
    <cellStyle name="Normal 227 2 2 2" xfId="19271"/>
    <cellStyle name="Normal 227 2 2 2 2" xfId="19272"/>
    <cellStyle name="Normal 227 2 2 3" xfId="19273"/>
    <cellStyle name="Normal 227 2 2 3 2" xfId="19274"/>
    <cellStyle name="Normal 227 2 2 3 2 2" xfId="19275"/>
    <cellStyle name="Normal 227 2 2 3 3" xfId="19276"/>
    <cellStyle name="Normal 227 2 2 4" xfId="19277"/>
    <cellStyle name="Normal 227 2 2 4 2" xfId="19278"/>
    <cellStyle name="Normal 227 2 2 4 2 2" xfId="19279"/>
    <cellStyle name="Normal 227 2 2 4 3" xfId="19280"/>
    <cellStyle name="Normal 227 2 2 5" xfId="19281"/>
    <cellStyle name="Normal 227 2 3" xfId="19282"/>
    <cellStyle name="Normal 227 2 3 2" xfId="19283"/>
    <cellStyle name="Normal 227 2 3 2 2" xfId="19284"/>
    <cellStyle name="Normal 227 2 3 2 2 2" xfId="19285"/>
    <cellStyle name="Normal 227 2 3 2 3" xfId="19286"/>
    <cellStyle name="Normal 227 2 3 2 3 2" xfId="19287"/>
    <cellStyle name="Normal 227 2 3 2 3 2 2" xfId="19288"/>
    <cellStyle name="Normal 227 2 3 2 3 3" xfId="19289"/>
    <cellStyle name="Normal 227 2 3 2 4" xfId="19290"/>
    <cellStyle name="Normal 227 2 3 3" xfId="19291"/>
    <cellStyle name="Normal 227 2 3 3 2" xfId="19292"/>
    <cellStyle name="Normal 227 2 3 3 2 2" xfId="19293"/>
    <cellStyle name="Normal 227 2 3 3 3" xfId="19294"/>
    <cellStyle name="Normal 227 2 3 4" xfId="19295"/>
    <cellStyle name="Normal 227 2 3 4 2" xfId="19296"/>
    <cellStyle name="Normal 227 2 3 4 2 2" xfId="19297"/>
    <cellStyle name="Normal 227 2 3 4 3" xfId="19298"/>
    <cellStyle name="Normal 227 2 3 5" xfId="19299"/>
    <cellStyle name="Normal 227 2 3 5 2" xfId="19300"/>
    <cellStyle name="Normal 227 2 3 5 2 2" xfId="19301"/>
    <cellStyle name="Normal 227 2 3 5 3" xfId="19302"/>
    <cellStyle name="Normal 227 2 3 6" xfId="19303"/>
    <cellStyle name="Normal 227 2 4" xfId="19304"/>
    <cellStyle name="Normal 227 2 4 2" xfId="19305"/>
    <cellStyle name="Normal 227 2 4 2 2" xfId="19306"/>
    <cellStyle name="Normal 227 2 4 3" xfId="19307"/>
    <cellStyle name="Normal 227 2 5" xfId="19308"/>
    <cellStyle name="Normal 227 2 5 2" xfId="19309"/>
    <cellStyle name="Normal 227 2 5 2 2" xfId="19310"/>
    <cellStyle name="Normal 227 2 5 3" xfId="19311"/>
    <cellStyle name="Normal 227 2 6" xfId="19312"/>
    <cellStyle name="Normal 227 2 6 2" xfId="19313"/>
    <cellStyle name="Normal 227 2 6 2 2" xfId="19314"/>
    <cellStyle name="Normal 227 2 6 3" xfId="19315"/>
    <cellStyle name="Normal 227 2 7" xfId="19316"/>
    <cellStyle name="Normal 227 3" xfId="19317"/>
    <cellStyle name="Normal 227 3 2" xfId="19318"/>
    <cellStyle name="Normal 227 3 2 2" xfId="19319"/>
    <cellStyle name="Normal 227 3 3" xfId="19320"/>
    <cellStyle name="Normal 227 3 3 2" xfId="19321"/>
    <cellStyle name="Normal 227 3 3 2 2" xfId="19322"/>
    <cellStyle name="Normal 227 3 3 3" xfId="19323"/>
    <cellStyle name="Normal 227 3 4" xfId="19324"/>
    <cellStyle name="Normal 227 3 4 2" xfId="19325"/>
    <cellStyle name="Normal 227 3 4 2 2" xfId="19326"/>
    <cellStyle name="Normal 227 3 4 3" xfId="19327"/>
    <cellStyle name="Normal 227 3 5" xfId="19328"/>
    <cellStyle name="Normal 227 4" xfId="19329"/>
    <cellStyle name="Normal 227 4 2" xfId="19330"/>
    <cellStyle name="Normal 227 4 2 2" xfId="19331"/>
    <cellStyle name="Normal 227 4 2 2 2" xfId="19332"/>
    <cellStyle name="Normal 227 4 2 3" xfId="19333"/>
    <cellStyle name="Normal 227 4 2 3 2" xfId="19334"/>
    <cellStyle name="Normal 227 4 2 3 2 2" xfId="19335"/>
    <cellStyle name="Normal 227 4 2 3 3" xfId="19336"/>
    <cellStyle name="Normal 227 4 2 4" xfId="19337"/>
    <cellStyle name="Normal 227 4 3" xfId="19338"/>
    <cellStyle name="Normal 227 4 3 2" xfId="19339"/>
    <cellStyle name="Normal 227 4 3 2 2" xfId="19340"/>
    <cellStyle name="Normal 227 4 3 3" xfId="19341"/>
    <cellStyle name="Normal 227 4 4" xfId="19342"/>
    <cellStyle name="Normal 227 4 4 2" xfId="19343"/>
    <cellStyle name="Normal 227 4 4 2 2" xfId="19344"/>
    <cellStyle name="Normal 227 4 4 3" xfId="19345"/>
    <cellStyle name="Normal 227 4 5" xfId="19346"/>
    <cellStyle name="Normal 227 4 5 2" xfId="19347"/>
    <cellStyle name="Normal 227 4 5 2 2" xfId="19348"/>
    <cellStyle name="Normal 227 4 5 3" xfId="19349"/>
    <cellStyle name="Normal 227 4 6" xfId="19350"/>
    <cellStyle name="Normal 227 5" xfId="19351"/>
    <cellStyle name="Normal 227 5 2" xfId="19352"/>
    <cellStyle name="Normal 227 5 2 2" xfId="19353"/>
    <cellStyle name="Normal 227 5 3" xfId="19354"/>
    <cellStyle name="Normal 227 6" xfId="19355"/>
    <cellStyle name="Normal 227 6 2" xfId="19356"/>
    <cellStyle name="Normal 227 6 2 2" xfId="19357"/>
    <cellStyle name="Normal 227 6 3" xfId="19358"/>
    <cellStyle name="Normal 227 7" xfId="19359"/>
    <cellStyle name="Normal 227 7 2" xfId="19360"/>
    <cellStyle name="Normal 227 7 2 2" xfId="19361"/>
    <cellStyle name="Normal 227 7 3" xfId="19362"/>
    <cellStyle name="Normal 227 8" xfId="19363"/>
    <cellStyle name="Normal 228" xfId="19364"/>
    <cellStyle name="Normal 228 2" xfId="19365"/>
    <cellStyle name="Normal 228 2 2" xfId="19366"/>
    <cellStyle name="Normal 228 2 2 2" xfId="19367"/>
    <cellStyle name="Normal 228 2 2 2 2" xfId="19368"/>
    <cellStyle name="Normal 228 2 2 3" xfId="19369"/>
    <cellStyle name="Normal 228 2 2 3 2" xfId="19370"/>
    <cellStyle name="Normal 228 2 2 3 2 2" xfId="19371"/>
    <cellStyle name="Normal 228 2 2 3 3" xfId="19372"/>
    <cellStyle name="Normal 228 2 2 4" xfId="19373"/>
    <cellStyle name="Normal 228 2 2 4 2" xfId="19374"/>
    <cellStyle name="Normal 228 2 2 4 2 2" xfId="19375"/>
    <cellStyle name="Normal 228 2 2 4 3" xfId="19376"/>
    <cellStyle name="Normal 228 2 2 5" xfId="19377"/>
    <cellStyle name="Normal 228 2 3" xfId="19378"/>
    <cellStyle name="Normal 228 2 3 2" xfId="19379"/>
    <cellStyle name="Normal 228 2 3 2 2" xfId="19380"/>
    <cellStyle name="Normal 228 2 3 2 2 2" xfId="19381"/>
    <cellStyle name="Normal 228 2 3 2 3" xfId="19382"/>
    <cellStyle name="Normal 228 2 3 2 3 2" xfId="19383"/>
    <cellStyle name="Normal 228 2 3 2 3 2 2" xfId="19384"/>
    <cellStyle name="Normal 228 2 3 2 3 3" xfId="19385"/>
    <cellStyle name="Normal 228 2 3 2 4" xfId="19386"/>
    <cellStyle name="Normal 228 2 3 3" xfId="19387"/>
    <cellStyle name="Normal 228 2 3 3 2" xfId="19388"/>
    <cellStyle name="Normal 228 2 3 3 2 2" xfId="19389"/>
    <cellStyle name="Normal 228 2 3 3 3" xfId="19390"/>
    <cellStyle name="Normal 228 2 3 4" xfId="19391"/>
    <cellStyle name="Normal 228 2 3 4 2" xfId="19392"/>
    <cellStyle name="Normal 228 2 3 4 2 2" xfId="19393"/>
    <cellStyle name="Normal 228 2 3 4 3" xfId="19394"/>
    <cellStyle name="Normal 228 2 3 5" xfId="19395"/>
    <cellStyle name="Normal 228 2 3 5 2" xfId="19396"/>
    <cellStyle name="Normal 228 2 3 5 2 2" xfId="19397"/>
    <cellStyle name="Normal 228 2 3 5 3" xfId="19398"/>
    <cellStyle name="Normal 228 2 3 6" xfId="19399"/>
    <cellStyle name="Normal 228 2 4" xfId="19400"/>
    <cellStyle name="Normal 228 2 4 2" xfId="19401"/>
    <cellStyle name="Normal 228 2 4 2 2" xfId="19402"/>
    <cellStyle name="Normal 228 2 4 3" xfId="19403"/>
    <cellStyle name="Normal 228 2 5" xfId="19404"/>
    <cellStyle name="Normal 228 2 5 2" xfId="19405"/>
    <cellStyle name="Normal 228 2 5 2 2" xfId="19406"/>
    <cellStyle name="Normal 228 2 5 3" xfId="19407"/>
    <cellStyle name="Normal 228 2 6" xfId="19408"/>
    <cellStyle name="Normal 228 2 6 2" xfId="19409"/>
    <cellStyle name="Normal 228 2 6 2 2" xfId="19410"/>
    <cellStyle name="Normal 228 2 6 3" xfId="19411"/>
    <cellStyle name="Normal 228 2 7" xfId="19412"/>
    <cellStyle name="Normal 228 3" xfId="19413"/>
    <cellStyle name="Normal 228 3 2" xfId="19414"/>
    <cellStyle name="Normal 228 3 2 2" xfId="19415"/>
    <cellStyle name="Normal 228 3 3" xfId="19416"/>
    <cellStyle name="Normal 228 3 3 2" xfId="19417"/>
    <cellStyle name="Normal 228 3 3 2 2" xfId="19418"/>
    <cellStyle name="Normal 228 3 3 3" xfId="19419"/>
    <cellStyle name="Normal 228 3 4" xfId="19420"/>
    <cellStyle name="Normal 228 3 4 2" xfId="19421"/>
    <cellStyle name="Normal 228 3 4 2 2" xfId="19422"/>
    <cellStyle name="Normal 228 3 4 3" xfId="19423"/>
    <cellStyle name="Normal 228 3 5" xfId="19424"/>
    <cellStyle name="Normal 228 4" xfId="19425"/>
    <cellStyle name="Normal 228 4 2" xfId="19426"/>
    <cellStyle name="Normal 228 4 2 2" xfId="19427"/>
    <cellStyle name="Normal 228 4 2 2 2" xfId="19428"/>
    <cellStyle name="Normal 228 4 2 3" xfId="19429"/>
    <cellStyle name="Normal 228 4 2 3 2" xfId="19430"/>
    <cellStyle name="Normal 228 4 2 3 2 2" xfId="19431"/>
    <cellStyle name="Normal 228 4 2 3 3" xfId="19432"/>
    <cellStyle name="Normal 228 4 2 4" xfId="19433"/>
    <cellStyle name="Normal 228 4 3" xfId="19434"/>
    <cellStyle name="Normal 228 4 3 2" xfId="19435"/>
    <cellStyle name="Normal 228 4 3 2 2" xfId="19436"/>
    <cellStyle name="Normal 228 4 3 3" xfId="19437"/>
    <cellStyle name="Normal 228 4 4" xfId="19438"/>
    <cellStyle name="Normal 228 4 4 2" xfId="19439"/>
    <cellStyle name="Normal 228 4 4 2 2" xfId="19440"/>
    <cellStyle name="Normal 228 4 4 3" xfId="19441"/>
    <cellStyle name="Normal 228 4 5" xfId="19442"/>
    <cellStyle name="Normal 228 4 5 2" xfId="19443"/>
    <cellStyle name="Normal 228 4 5 2 2" xfId="19444"/>
    <cellStyle name="Normal 228 4 5 3" xfId="19445"/>
    <cellStyle name="Normal 228 4 6" xfId="19446"/>
    <cellStyle name="Normal 228 5" xfId="19447"/>
    <cellStyle name="Normal 228 5 2" xfId="19448"/>
    <cellStyle name="Normal 228 5 2 2" xfId="19449"/>
    <cellStyle name="Normal 228 5 3" xfId="19450"/>
    <cellStyle name="Normal 228 6" xfId="19451"/>
    <cellStyle name="Normal 228 6 2" xfId="19452"/>
    <cellStyle name="Normal 228 6 2 2" xfId="19453"/>
    <cellStyle name="Normal 228 6 3" xfId="19454"/>
    <cellStyle name="Normal 228 7" xfId="19455"/>
    <cellStyle name="Normal 228 7 2" xfId="19456"/>
    <cellStyle name="Normal 228 7 2 2" xfId="19457"/>
    <cellStyle name="Normal 228 7 3" xfId="19458"/>
    <cellStyle name="Normal 228 8" xfId="19459"/>
    <cellStyle name="Normal 229" xfId="19460"/>
    <cellStyle name="Normal 229 2" xfId="19461"/>
    <cellStyle name="Normal 229 2 2" xfId="19462"/>
    <cellStyle name="Normal 229 2 2 2" xfId="19463"/>
    <cellStyle name="Normal 229 2 2 2 2" xfId="19464"/>
    <cellStyle name="Normal 229 2 2 3" xfId="19465"/>
    <cellStyle name="Normal 229 2 2 3 2" xfId="19466"/>
    <cellStyle name="Normal 229 2 2 3 2 2" xfId="19467"/>
    <cellStyle name="Normal 229 2 2 3 3" xfId="19468"/>
    <cellStyle name="Normal 229 2 2 4" xfId="19469"/>
    <cellStyle name="Normal 229 2 2 4 2" xfId="19470"/>
    <cellStyle name="Normal 229 2 2 4 2 2" xfId="19471"/>
    <cellStyle name="Normal 229 2 2 4 3" xfId="19472"/>
    <cellStyle name="Normal 229 2 2 5" xfId="19473"/>
    <cellStyle name="Normal 229 2 3" xfId="19474"/>
    <cellStyle name="Normal 229 2 3 2" xfId="19475"/>
    <cellStyle name="Normal 229 2 3 2 2" xfId="19476"/>
    <cellStyle name="Normal 229 2 3 2 2 2" xfId="19477"/>
    <cellStyle name="Normal 229 2 3 2 3" xfId="19478"/>
    <cellStyle name="Normal 229 2 3 2 3 2" xfId="19479"/>
    <cellStyle name="Normal 229 2 3 2 3 2 2" xfId="19480"/>
    <cellStyle name="Normal 229 2 3 2 3 3" xfId="19481"/>
    <cellStyle name="Normal 229 2 3 2 4" xfId="19482"/>
    <cellStyle name="Normal 229 2 3 3" xfId="19483"/>
    <cellStyle name="Normal 229 2 3 3 2" xfId="19484"/>
    <cellStyle name="Normal 229 2 3 3 2 2" xfId="19485"/>
    <cellStyle name="Normal 229 2 3 3 3" xfId="19486"/>
    <cellStyle name="Normal 229 2 3 4" xfId="19487"/>
    <cellStyle name="Normal 229 2 3 4 2" xfId="19488"/>
    <cellStyle name="Normal 229 2 3 4 2 2" xfId="19489"/>
    <cellStyle name="Normal 229 2 3 4 3" xfId="19490"/>
    <cellStyle name="Normal 229 2 3 5" xfId="19491"/>
    <cellStyle name="Normal 229 2 3 5 2" xfId="19492"/>
    <cellStyle name="Normal 229 2 3 5 2 2" xfId="19493"/>
    <cellStyle name="Normal 229 2 3 5 3" xfId="19494"/>
    <cellStyle name="Normal 229 2 3 6" xfId="19495"/>
    <cellStyle name="Normal 229 2 4" xfId="19496"/>
    <cellStyle name="Normal 229 2 4 2" xfId="19497"/>
    <cellStyle name="Normal 229 2 4 2 2" xfId="19498"/>
    <cellStyle name="Normal 229 2 4 3" xfId="19499"/>
    <cellStyle name="Normal 229 2 5" xfId="19500"/>
    <cellStyle name="Normal 229 2 5 2" xfId="19501"/>
    <cellStyle name="Normal 229 2 5 2 2" xfId="19502"/>
    <cellStyle name="Normal 229 2 5 3" xfId="19503"/>
    <cellStyle name="Normal 229 2 6" xfId="19504"/>
    <cellStyle name="Normal 229 2 6 2" xfId="19505"/>
    <cellStyle name="Normal 229 2 6 2 2" xfId="19506"/>
    <cellStyle name="Normal 229 2 6 3" xfId="19507"/>
    <cellStyle name="Normal 229 2 7" xfId="19508"/>
    <cellStyle name="Normal 229 3" xfId="19509"/>
    <cellStyle name="Normal 229 3 2" xfId="19510"/>
    <cellStyle name="Normal 229 3 2 2" xfId="19511"/>
    <cellStyle name="Normal 229 3 3" xfId="19512"/>
    <cellStyle name="Normal 229 3 3 2" xfId="19513"/>
    <cellStyle name="Normal 229 3 3 2 2" xfId="19514"/>
    <cellStyle name="Normal 229 3 3 3" xfId="19515"/>
    <cellStyle name="Normal 229 3 4" xfId="19516"/>
    <cellStyle name="Normal 229 3 4 2" xfId="19517"/>
    <cellStyle name="Normal 229 3 4 2 2" xfId="19518"/>
    <cellStyle name="Normal 229 3 4 3" xfId="19519"/>
    <cellStyle name="Normal 229 3 5" xfId="19520"/>
    <cellStyle name="Normal 229 4" xfId="19521"/>
    <cellStyle name="Normal 229 4 2" xfId="19522"/>
    <cellStyle name="Normal 229 4 2 2" xfId="19523"/>
    <cellStyle name="Normal 229 4 2 2 2" xfId="19524"/>
    <cellStyle name="Normal 229 4 2 3" xfId="19525"/>
    <cellStyle name="Normal 229 4 2 3 2" xfId="19526"/>
    <cellStyle name="Normal 229 4 2 3 2 2" xfId="19527"/>
    <cellStyle name="Normal 229 4 2 3 3" xfId="19528"/>
    <cellStyle name="Normal 229 4 2 4" xfId="19529"/>
    <cellStyle name="Normal 229 4 3" xfId="19530"/>
    <cellStyle name="Normal 229 4 3 2" xfId="19531"/>
    <cellStyle name="Normal 229 4 3 2 2" xfId="19532"/>
    <cellStyle name="Normal 229 4 3 3" xfId="19533"/>
    <cellStyle name="Normal 229 4 4" xfId="19534"/>
    <cellStyle name="Normal 229 4 4 2" xfId="19535"/>
    <cellStyle name="Normal 229 4 4 2 2" xfId="19536"/>
    <cellStyle name="Normal 229 4 4 3" xfId="19537"/>
    <cellStyle name="Normal 229 4 5" xfId="19538"/>
    <cellStyle name="Normal 229 4 5 2" xfId="19539"/>
    <cellStyle name="Normal 229 4 5 2 2" xfId="19540"/>
    <cellStyle name="Normal 229 4 5 3" xfId="19541"/>
    <cellStyle name="Normal 229 4 6" xfId="19542"/>
    <cellStyle name="Normal 229 5" xfId="19543"/>
    <cellStyle name="Normal 229 5 2" xfId="19544"/>
    <cellStyle name="Normal 229 5 2 2" xfId="19545"/>
    <cellStyle name="Normal 229 5 3" xfId="19546"/>
    <cellStyle name="Normal 229 6" xfId="19547"/>
    <cellStyle name="Normal 229 6 2" xfId="19548"/>
    <cellStyle name="Normal 229 6 2 2" xfId="19549"/>
    <cellStyle name="Normal 229 6 3" xfId="19550"/>
    <cellStyle name="Normal 229 7" xfId="19551"/>
    <cellStyle name="Normal 229 7 2" xfId="19552"/>
    <cellStyle name="Normal 229 7 2 2" xfId="19553"/>
    <cellStyle name="Normal 229 7 3" xfId="19554"/>
    <cellStyle name="Normal 229 8" xfId="19555"/>
    <cellStyle name="Normal 23" xfId="19556"/>
    <cellStyle name="Normal 23 2" xfId="19557"/>
    <cellStyle name="Normal 23 2 2" xfId="19558"/>
    <cellStyle name="Normal 23 2 2 2" xfId="19559"/>
    <cellStyle name="Normal 23 2 2 2 2" xfId="19560"/>
    <cellStyle name="Normal 23 2 2 3" xfId="19561"/>
    <cellStyle name="Normal 23 2 2 3 2" xfId="19562"/>
    <cellStyle name="Normal 23 2 2 3 2 2" xfId="19563"/>
    <cellStyle name="Normal 23 2 2 3 3" xfId="19564"/>
    <cellStyle name="Normal 23 2 2 4" xfId="19565"/>
    <cellStyle name="Normal 23 2 2 4 2" xfId="19566"/>
    <cellStyle name="Normal 23 2 2 4 2 2" xfId="19567"/>
    <cellStyle name="Normal 23 2 2 4 3" xfId="19568"/>
    <cellStyle name="Normal 23 2 2 5" xfId="19569"/>
    <cellStyle name="Normal 23 2 3" xfId="19570"/>
    <cellStyle name="Normal 23 2 3 2" xfId="19571"/>
    <cellStyle name="Normal 23 2 3 2 2" xfId="19572"/>
    <cellStyle name="Normal 23 2 3 3" xfId="19573"/>
    <cellStyle name="Normal 23 2 4" xfId="19574"/>
    <cellStyle name="Normal 23 2 4 2" xfId="19575"/>
    <cellStyle name="Normal 23 2 4 2 2" xfId="19576"/>
    <cellStyle name="Normal 23 2 4 3" xfId="19577"/>
    <cellStyle name="Normal 23 2 5" xfId="19578"/>
    <cellStyle name="Normal 23 2 5 2" xfId="19579"/>
    <cellStyle name="Normal 23 2 5 2 2" xfId="19580"/>
    <cellStyle name="Normal 23 2 5 3" xfId="19581"/>
    <cellStyle name="Normal 23 2 6" xfId="19582"/>
    <cellStyle name="Normal 23 3" xfId="19583"/>
    <cellStyle name="Normal 23 3 2" xfId="19584"/>
    <cellStyle name="Normal 23 3 2 2" xfId="19585"/>
    <cellStyle name="Normal 23 3 3" xfId="19586"/>
    <cellStyle name="Normal 23 3 3 2" xfId="19587"/>
    <cellStyle name="Normal 23 3 3 2 2" xfId="19588"/>
    <cellStyle name="Normal 23 3 3 3" xfId="19589"/>
    <cellStyle name="Normal 23 3 4" xfId="19590"/>
    <cellStyle name="Normal 23 3 4 2" xfId="19591"/>
    <cellStyle name="Normal 23 3 4 2 2" xfId="19592"/>
    <cellStyle name="Normal 23 3 4 3" xfId="19593"/>
    <cellStyle name="Normal 23 3 5" xfId="19594"/>
    <cellStyle name="Normal 23 4" xfId="19595"/>
    <cellStyle name="Normal 23 4 2" xfId="19596"/>
    <cellStyle name="Normal 23 4 2 2" xfId="19597"/>
    <cellStyle name="Normal 23 4 2 2 2" xfId="19598"/>
    <cellStyle name="Normal 23 4 2 3" xfId="19599"/>
    <cellStyle name="Normal 23 4 2 3 2" xfId="19600"/>
    <cellStyle name="Normal 23 4 2 3 2 2" xfId="19601"/>
    <cellStyle name="Normal 23 4 2 3 3" xfId="19602"/>
    <cellStyle name="Normal 23 4 2 4" xfId="19603"/>
    <cellStyle name="Normal 23 4 3" xfId="19604"/>
    <cellStyle name="Normal 23 4 3 2" xfId="19605"/>
    <cellStyle name="Normal 23 4 3 2 2" xfId="19606"/>
    <cellStyle name="Normal 23 4 3 3" xfId="19607"/>
    <cellStyle name="Normal 23 4 4" xfId="19608"/>
    <cellStyle name="Normal 23 4 4 2" xfId="19609"/>
    <cellStyle name="Normal 23 4 4 2 2" xfId="19610"/>
    <cellStyle name="Normal 23 4 4 3" xfId="19611"/>
    <cellStyle name="Normal 23 4 5" xfId="19612"/>
    <cellStyle name="Normal 23 4 5 2" xfId="19613"/>
    <cellStyle name="Normal 23 4 5 2 2" xfId="19614"/>
    <cellStyle name="Normal 23 4 5 3" xfId="19615"/>
    <cellStyle name="Normal 23 4 6" xfId="19616"/>
    <cellStyle name="Normal 23 5" xfId="19617"/>
    <cellStyle name="Normal 230" xfId="19618"/>
    <cellStyle name="Normal 230 2" xfId="19619"/>
    <cellStyle name="Normal 230 2 2" xfId="19620"/>
    <cellStyle name="Normal 230 2 2 2" xfId="19621"/>
    <cellStyle name="Normal 230 2 2 2 2" xfId="19622"/>
    <cellStyle name="Normal 230 2 2 3" xfId="19623"/>
    <cellStyle name="Normal 230 2 2 3 2" xfId="19624"/>
    <cellStyle name="Normal 230 2 2 3 2 2" xfId="19625"/>
    <cellStyle name="Normal 230 2 2 3 3" xfId="19626"/>
    <cellStyle name="Normal 230 2 2 4" xfId="19627"/>
    <cellStyle name="Normal 230 2 2 4 2" xfId="19628"/>
    <cellStyle name="Normal 230 2 2 4 2 2" xfId="19629"/>
    <cellStyle name="Normal 230 2 2 4 3" xfId="19630"/>
    <cellStyle name="Normal 230 2 2 5" xfId="19631"/>
    <cellStyle name="Normal 230 2 3" xfId="19632"/>
    <cellStyle name="Normal 230 2 3 2" xfId="19633"/>
    <cellStyle name="Normal 230 2 3 2 2" xfId="19634"/>
    <cellStyle name="Normal 230 2 3 2 2 2" xfId="19635"/>
    <cellStyle name="Normal 230 2 3 2 3" xfId="19636"/>
    <cellStyle name="Normal 230 2 3 2 3 2" xfId="19637"/>
    <cellStyle name="Normal 230 2 3 2 3 2 2" xfId="19638"/>
    <cellStyle name="Normal 230 2 3 2 3 3" xfId="19639"/>
    <cellStyle name="Normal 230 2 3 2 4" xfId="19640"/>
    <cellStyle name="Normal 230 2 3 3" xfId="19641"/>
    <cellStyle name="Normal 230 2 3 3 2" xfId="19642"/>
    <cellStyle name="Normal 230 2 3 3 2 2" xfId="19643"/>
    <cellStyle name="Normal 230 2 3 3 3" xfId="19644"/>
    <cellStyle name="Normal 230 2 3 4" xfId="19645"/>
    <cellStyle name="Normal 230 2 3 4 2" xfId="19646"/>
    <cellStyle name="Normal 230 2 3 4 2 2" xfId="19647"/>
    <cellStyle name="Normal 230 2 3 4 3" xfId="19648"/>
    <cellStyle name="Normal 230 2 3 5" xfId="19649"/>
    <cellStyle name="Normal 230 2 3 5 2" xfId="19650"/>
    <cellStyle name="Normal 230 2 3 5 2 2" xfId="19651"/>
    <cellStyle name="Normal 230 2 3 5 3" xfId="19652"/>
    <cellStyle name="Normal 230 2 3 6" xfId="19653"/>
    <cellStyle name="Normal 230 2 4" xfId="19654"/>
    <cellStyle name="Normal 230 2 4 2" xfId="19655"/>
    <cellStyle name="Normal 230 2 4 2 2" xfId="19656"/>
    <cellStyle name="Normal 230 2 4 3" xfId="19657"/>
    <cellStyle name="Normal 230 2 5" xfId="19658"/>
    <cellStyle name="Normal 230 2 5 2" xfId="19659"/>
    <cellStyle name="Normal 230 2 5 2 2" xfId="19660"/>
    <cellStyle name="Normal 230 2 5 3" xfId="19661"/>
    <cellStyle name="Normal 230 2 6" xfId="19662"/>
    <cellStyle name="Normal 230 2 6 2" xfId="19663"/>
    <cellStyle name="Normal 230 2 6 2 2" xfId="19664"/>
    <cellStyle name="Normal 230 2 6 3" xfId="19665"/>
    <cellStyle name="Normal 230 2 7" xfId="19666"/>
    <cellStyle name="Normal 230 3" xfId="19667"/>
    <cellStyle name="Normal 230 3 2" xfId="19668"/>
    <cellStyle name="Normal 230 3 2 2" xfId="19669"/>
    <cellStyle name="Normal 230 3 3" xfId="19670"/>
    <cellStyle name="Normal 230 3 3 2" xfId="19671"/>
    <cellStyle name="Normal 230 3 3 2 2" xfId="19672"/>
    <cellStyle name="Normal 230 3 3 3" xfId="19673"/>
    <cellStyle name="Normal 230 3 4" xfId="19674"/>
    <cellStyle name="Normal 230 3 4 2" xfId="19675"/>
    <cellStyle name="Normal 230 3 4 2 2" xfId="19676"/>
    <cellStyle name="Normal 230 3 4 3" xfId="19677"/>
    <cellStyle name="Normal 230 3 5" xfId="19678"/>
    <cellStyle name="Normal 230 4" xfId="19679"/>
    <cellStyle name="Normal 230 4 2" xfId="19680"/>
    <cellStyle name="Normal 230 4 2 2" xfId="19681"/>
    <cellStyle name="Normal 230 4 2 2 2" xfId="19682"/>
    <cellStyle name="Normal 230 4 2 3" xfId="19683"/>
    <cellStyle name="Normal 230 4 2 3 2" xfId="19684"/>
    <cellStyle name="Normal 230 4 2 3 2 2" xfId="19685"/>
    <cellStyle name="Normal 230 4 2 3 3" xfId="19686"/>
    <cellStyle name="Normal 230 4 2 4" xfId="19687"/>
    <cellStyle name="Normal 230 4 3" xfId="19688"/>
    <cellStyle name="Normal 230 4 3 2" xfId="19689"/>
    <cellStyle name="Normal 230 4 3 2 2" xfId="19690"/>
    <cellStyle name="Normal 230 4 3 3" xfId="19691"/>
    <cellStyle name="Normal 230 4 4" xfId="19692"/>
    <cellStyle name="Normal 230 4 4 2" xfId="19693"/>
    <cellStyle name="Normal 230 4 4 2 2" xfId="19694"/>
    <cellStyle name="Normal 230 4 4 3" xfId="19695"/>
    <cellStyle name="Normal 230 4 5" xfId="19696"/>
    <cellStyle name="Normal 230 4 5 2" xfId="19697"/>
    <cellStyle name="Normal 230 4 5 2 2" xfId="19698"/>
    <cellStyle name="Normal 230 4 5 3" xfId="19699"/>
    <cellStyle name="Normal 230 4 6" xfId="19700"/>
    <cellStyle name="Normal 230 5" xfId="19701"/>
    <cellStyle name="Normal 230 5 2" xfId="19702"/>
    <cellStyle name="Normal 230 5 2 2" xfId="19703"/>
    <cellStyle name="Normal 230 5 3" xfId="19704"/>
    <cellStyle name="Normal 230 6" xfId="19705"/>
    <cellStyle name="Normal 230 6 2" xfId="19706"/>
    <cellStyle name="Normal 230 6 2 2" xfId="19707"/>
    <cellStyle name="Normal 230 6 3" xfId="19708"/>
    <cellStyle name="Normal 230 7" xfId="19709"/>
    <cellStyle name="Normal 230 7 2" xfId="19710"/>
    <cellStyle name="Normal 230 7 2 2" xfId="19711"/>
    <cellStyle name="Normal 230 7 3" xfId="19712"/>
    <cellStyle name="Normal 230 8" xfId="19713"/>
    <cellStyle name="Normal 231" xfId="19714"/>
    <cellStyle name="Normal 231 2" xfId="19715"/>
    <cellStyle name="Normal 231 2 2" xfId="19716"/>
    <cellStyle name="Normal 231 2 2 2" xfId="19717"/>
    <cellStyle name="Normal 231 2 2 2 2" xfId="19718"/>
    <cellStyle name="Normal 231 2 2 3" xfId="19719"/>
    <cellStyle name="Normal 231 2 2 3 2" xfId="19720"/>
    <cellStyle name="Normal 231 2 2 3 2 2" xfId="19721"/>
    <cellStyle name="Normal 231 2 2 3 3" xfId="19722"/>
    <cellStyle name="Normal 231 2 2 4" xfId="19723"/>
    <cellStyle name="Normal 231 2 2 4 2" xfId="19724"/>
    <cellStyle name="Normal 231 2 2 4 2 2" xfId="19725"/>
    <cellStyle name="Normal 231 2 2 4 3" xfId="19726"/>
    <cellStyle name="Normal 231 2 2 5" xfId="19727"/>
    <cellStyle name="Normal 231 2 3" xfId="19728"/>
    <cellStyle name="Normal 231 2 3 2" xfId="19729"/>
    <cellStyle name="Normal 231 2 3 2 2" xfId="19730"/>
    <cellStyle name="Normal 231 2 3 2 2 2" xfId="19731"/>
    <cellStyle name="Normal 231 2 3 2 3" xfId="19732"/>
    <cellStyle name="Normal 231 2 3 2 3 2" xfId="19733"/>
    <cellStyle name="Normal 231 2 3 2 3 2 2" xfId="19734"/>
    <cellStyle name="Normal 231 2 3 2 3 3" xfId="19735"/>
    <cellStyle name="Normal 231 2 3 2 4" xfId="19736"/>
    <cellStyle name="Normal 231 2 3 3" xfId="19737"/>
    <cellStyle name="Normal 231 2 3 3 2" xfId="19738"/>
    <cellStyle name="Normal 231 2 3 3 2 2" xfId="19739"/>
    <cellStyle name="Normal 231 2 3 3 3" xfId="19740"/>
    <cellStyle name="Normal 231 2 3 4" xfId="19741"/>
    <cellStyle name="Normal 231 2 3 4 2" xfId="19742"/>
    <cellStyle name="Normal 231 2 3 4 2 2" xfId="19743"/>
    <cellStyle name="Normal 231 2 3 4 3" xfId="19744"/>
    <cellStyle name="Normal 231 2 3 5" xfId="19745"/>
    <cellStyle name="Normal 231 2 3 5 2" xfId="19746"/>
    <cellStyle name="Normal 231 2 3 5 2 2" xfId="19747"/>
    <cellStyle name="Normal 231 2 3 5 3" xfId="19748"/>
    <cellStyle name="Normal 231 2 3 6" xfId="19749"/>
    <cellStyle name="Normal 231 2 4" xfId="19750"/>
    <cellStyle name="Normal 231 2 4 2" xfId="19751"/>
    <cellStyle name="Normal 231 2 4 2 2" xfId="19752"/>
    <cellStyle name="Normal 231 2 4 3" xfId="19753"/>
    <cellStyle name="Normal 231 2 5" xfId="19754"/>
    <cellStyle name="Normal 231 2 5 2" xfId="19755"/>
    <cellStyle name="Normal 231 2 5 2 2" xfId="19756"/>
    <cellStyle name="Normal 231 2 5 3" xfId="19757"/>
    <cellStyle name="Normal 231 2 6" xfId="19758"/>
    <cellStyle name="Normal 231 2 6 2" xfId="19759"/>
    <cellStyle name="Normal 231 2 6 2 2" xfId="19760"/>
    <cellStyle name="Normal 231 2 6 3" xfId="19761"/>
    <cellStyle name="Normal 231 2 7" xfId="19762"/>
    <cellStyle name="Normal 231 3" xfId="19763"/>
    <cellStyle name="Normal 231 3 2" xfId="19764"/>
    <cellStyle name="Normal 231 3 2 2" xfId="19765"/>
    <cellStyle name="Normal 231 3 3" xfId="19766"/>
    <cellStyle name="Normal 231 3 3 2" xfId="19767"/>
    <cellStyle name="Normal 231 3 3 2 2" xfId="19768"/>
    <cellStyle name="Normal 231 3 3 3" xfId="19769"/>
    <cellStyle name="Normal 231 3 4" xfId="19770"/>
    <cellStyle name="Normal 231 3 4 2" xfId="19771"/>
    <cellStyle name="Normal 231 3 4 2 2" xfId="19772"/>
    <cellStyle name="Normal 231 3 4 3" xfId="19773"/>
    <cellStyle name="Normal 231 3 5" xfId="19774"/>
    <cellStyle name="Normal 231 4" xfId="19775"/>
    <cellStyle name="Normal 231 4 2" xfId="19776"/>
    <cellStyle name="Normal 231 4 2 2" xfId="19777"/>
    <cellStyle name="Normal 231 4 2 2 2" xfId="19778"/>
    <cellStyle name="Normal 231 4 2 3" xfId="19779"/>
    <cellStyle name="Normal 231 4 2 3 2" xfId="19780"/>
    <cellStyle name="Normal 231 4 2 3 2 2" xfId="19781"/>
    <cellStyle name="Normal 231 4 2 3 3" xfId="19782"/>
    <cellStyle name="Normal 231 4 2 4" xfId="19783"/>
    <cellStyle name="Normal 231 4 3" xfId="19784"/>
    <cellStyle name="Normal 231 4 3 2" xfId="19785"/>
    <cellStyle name="Normal 231 4 3 2 2" xfId="19786"/>
    <cellStyle name="Normal 231 4 3 3" xfId="19787"/>
    <cellStyle name="Normal 231 4 4" xfId="19788"/>
    <cellStyle name="Normal 231 4 4 2" xfId="19789"/>
    <cellStyle name="Normal 231 4 4 2 2" xfId="19790"/>
    <cellStyle name="Normal 231 4 4 3" xfId="19791"/>
    <cellStyle name="Normal 231 4 5" xfId="19792"/>
    <cellStyle name="Normal 231 4 5 2" xfId="19793"/>
    <cellStyle name="Normal 231 4 5 2 2" xfId="19794"/>
    <cellStyle name="Normal 231 4 5 3" xfId="19795"/>
    <cellStyle name="Normal 231 4 6" xfId="19796"/>
    <cellStyle name="Normal 231 5" xfId="19797"/>
    <cellStyle name="Normal 231 5 2" xfId="19798"/>
    <cellStyle name="Normal 231 5 2 2" xfId="19799"/>
    <cellStyle name="Normal 231 5 3" xfId="19800"/>
    <cellStyle name="Normal 231 6" xfId="19801"/>
    <cellStyle name="Normal 231 6 2" xfId="19802"/>
    <cellStyle name="Normal 231 6 2 2" xfId="19803"/>
    <cellStyle name="Normal 231 6 3" xfId="19804"/>
    <cellStyle name="Normal 231 7" xfId="19805"/>
    <cellStyle name="Normal 231 7 2" xfId="19806"/>
    <cellStyle name="Normal 231 7 2 2" xfId="19807"/>
    <cellStyle name="Normal 231 7 3" xfId="19808"/>
    <cellStyle name="Normal 231 8" xfId="19809"/>
    <cellStyle name="Normal 232" xfId="19810"/>
    <cellStyle name="Normal 232 2" xfId="19811"/>
    <cellStyle name="Normal 232 2 2" xfId="19812"/>
    <cellStyle name="Normal 232 2 2 2" xfId="19813"/>
    <cellStyle name="Normal 232 2 2 2 2" xfId="19814"/>
    <cellStyle name="Normal 232 2 2 3" xfId="19815"/>
    <cellStyle name="Normal 232 2 2 3 2" xfId="19816"/>
    <cellStyle name="Normal 232 2 2 3 2 2" xfId="19817"/>
    <cellStyle name="Normal 232 2 2 3 3" xfId="19818"/>
    <cellStyle name="Normal 232 2 2 4" xfId="19819"/>
    <cellStyle name="Normal 232 2 2 4 2" xfId="19820"/>
    <cellStyle name="Normal 232 2 2 4 2 2" xfId="19821"/>
    <cellStyle name="Normal 232 2 2 4 3" xfId="19822"/>
    <cellStyle name="Normal 232 2 2 5" xfId="19823"/>
    <cellStyle name="Normal 232 2 3" xfId="19824"/>
    <cellStyle name="Normal 232 2 3 2" xfId="19825"/>
    <cellStyle name="Normal 232 2 3 2 2" xfId="19826"/>
    <cellStyle name="Normal 232 2 3 2 2 2" xfId="19827"/>
    <cellStyle name="Normal 232 2 3 2 3" xfId="19828"/>
    <cellStyle name="Normal 232 2 3 2 3 2" xfId="19829"/>
    <cellStyle name="Normal 232 2 3 2 3 2 2" xfId="19830"/>
    <cellStyle name="Normal 232 2 3 2 3 3" xfId="19831"/>
    <cellStyle name="Normal 232 2 3 2 4" xfId="19832"/>
    <cellStyle name="Normal 232 2 3 3" xfId="19833"/>
    <cellStyle name="Normal 232 2 3 3 2" xfId="19834"/>
    <cellStyle name="Normal 232 2 3 3 2 2" xfId="19835"/>
    <cellStyle name="Normal 232 2 3 3 3" xfId="19836"/>
    <cellStyle name="Normal 232 2 3 4" xfId="19837"/>
    <cellStyle name="Normal 232 2 3 4 2" xfId="19838"/>
    <cellStyle name="Normal 232 2 3 4 2 2" xfId="19839"/>
    <cellStyle name="Normal 232 2 3 4 3" xfId="19840"/>
    <cellStyle name="Normal 232 2 3 5" xfId="19841"/>
    <cellStyle name="Normal 232 2 3 5 2" xfId="19842"/>
    <cellStyle name="Normal 232 2 3 5 2 2" xfId="19843"/>
    <cellStyle name="Normal 232 2 3 5 3" xfId="19844"/>
    <cellStyle name="Normal 232 2 3 6" xfId="19845"/>
    <cellStyle name="Normal 232 2 4" xfId="19846"/>
    <cellStyle name="Normal 232 2 4 2" xfId="19847"/>
    <cellStyle name="Normal 232 2 4 2 2" xfId="19848"/>
    <cellStyle name="Normal 232 2 4 3" xfId="19849"/>
    <cellStyle name="Normal 232 2 5" xfId="19850"/>
    <cellStyle name="Normal 232 2 5 2" xfId="19851"/>
    <cellStyle name="Normal 232 2 5 2 2" xfId="19852"/>
    <cellStyle name="Normal 232 2 5 3" xfId="19853"/>
    <cellStyle name="Normal 232 2 6" xfId="19854"/>
    <cellStyle name="Normal 232 2 6 2" xfId="19855"/>
    <cellStyle name="Normal 232 2 6 2 2" xfId="19856"/>
    <cellStyle name="Normal 232 2 6 3" xfId="19857"/>
    <cellStyle name="Normal 232 2 7" xfId="19858"/>
    <cellStyle name="Normal 232 3" xfId="19859"/>
    <cellStyle name="Normal 232 3 2" xfId="19860"/>
    <cellStyle name="Normal 232 3 2 2" xfId="19861"/>
    <cellStyle name="Normal 232 3 3" xfId="19862"/>
    <cellStyle name="Normal 232 3 3 2" xfId="19863"/>
    <cellStyle name="Normal 232 3 3 2 2" xfId="19864"/>
    <cellStyle name="Normal 232 3 3 3" xfId="19865"/>
    <cellStyle name="Normal 232 3 4" xfId="19866"/>
    <cellStyle name="Normal 232 3 4 2" xfId="19867"/>
    <cellStyle name="Normal 232 3 4 2 2" xfId="19868"/>
    <cellStyle name="Normal 232 3 4 3" xfId="19869"/>
    <cellStyle name="Normal 232 3 5" xfId="19870"/>
    <cellStyle name="Normal 232 4" xfId="19871"/>
    <cellStyle name="Normal 232 4 2" xfId="19872"/>
    <cellStyle name="Normal 232 4 2 2" xfId="19873"/>
    <cellStyle name="Normal 232 4 2 2 2" xfId="19874"/>
    <cellStyle name="Normal 232 4 2 3" xfId="19875"/>
    <cellStyle name="Normal 232 4 2 3 2" xfId="19876"/>
    <cellStyle name="Normal 232 4 2 3 2 2" xfId="19877"/>
    <cellStyle name="Normal 232 4 2 3 3" xfId="19878"/>
    <cellStyle name="Normal 232 4 2 4" xfId="19879"/>
    <cellStyle name="Normal 232 4 3" xfId="19880"/>
    <cellStyle name="Normal 232 4 3 2" xfId="19881"/>
    <cellStyle name="Normal 232 4 3 2 2" xfId="19882"/>
    <cellStyle name="Normal 232 4 3 3" xfId="19883"/>
    <cellStyle name="Normal 232 4 4" xfId="19884"/>
    <cellStyle name="Normal 232 4 4 2" xfId="19885"/>
    <cellStyle name="Normal 232 4 4 2 2" xfId="19886"/>
    <cellStyle name="Normal 232 4 4 3" xfId="19887"/>
    <cellStyle name="Normal 232 4 5" xfId="19888"/>
    <cellStyle name="Normal 232 4 5 2" xfId="19889"/>
    <cellStyle name="Normal 232 4 5 2 2" xfId="19890"/>
    <cellStyle name="Normal 232 4 5 3" xfId="19891"/>
    <cellStyle name="Normal 232 4 6" xfId="19892"/>
    <cellStyle name="Normal 232 5" xfId="19893"/>
    <cellStyle name="Normal 232 5 2" xfId="19894"/>
    <cellStyle name="Normal 232 5 2 2" xfId="19895"/>
    <cellStyle name="Normal 232 5 3" xfId="19896"/>
    <cellStyle name="Normal 232 6" xfId="19897"/>
    <cellStyle name="Normal 232 6 2" xfId="19898"/>
    <cellStyle name="Normal 232 6 2 2" xfId="19899"/>
    <cellStyle name="Normal 232 6 3" xfId="19900"/>
    <cellStyle name="Normal 232 7" xfId="19901"/>
    <cellStyle name="Normal 232 7 2" xfId="19902"/>
    <cellStyle name="Normal 232 7 2 2" xfId="19903"/>
    <cellStyle name="Normal 232 7 3" xfId="19904"/>
    <cellStyle name="Normal 232 8" xfId="19905"/>
    <cellStyle name="Normal 233" xfId="19906"/>
    <cellStyle name="Normal 233 2" xfId="19907"/>
    <cellStyle name="Normal 233 2 2" xfId="19908"/>
    <cellStyle name="Normal 233 2 2 2" xfId="19909"/>
    <cellStyle name="Normal 233 2 2 2 2" xfId="19910"/>
    <cellStyle name="Normal 233 2 2 3" xfId="19911"/>
    <cellStyle name="Normal 233 2 2 3 2" xfId="19912"/>
    <cellStyle name="Normal 233 2 2 3 2 2" xfId="19913"/>
    <cellStyle name="Normal 233 2 2 3 3" xfId="19914"/>
    <cellStyle name="Normal 233 2 2 4" xfId="19915"/>
    <cellStyle name="Normal 233 2 2 4 2" xfId="19916"/>
    <cellStyle name="Normal 233 2 2 4 2 2" xfId="19917"/>
    <cellStyle name="Normal 233 2 2 4 3" xfId="19918"/>
    <cellStyle name="Normal 233 2 2 5" xfId="19919"/>
    <cellStyle name="Normal 233 2 3" xfId="19920"/>
    <cellStyle name="Normal 233 2 3 2" xfId="19921"/>
    <cellStyle name="Normal 233 2 3 2 2" xfId="19922"/>
    <cellStyle name="Normal 233 2 3 2 2 2" xfId="19923"/>
    <cellStyle name="Normal 233 2 3 2 3" xfId="19924"/>
    <cellStyle name="Normal 233 2 3 2 3 2" xfId="19925"/>
    <cellStyle name="Normal 233 2 3 2 3 2 2" xfId="19926"/>
    <cellStyle name="Normal 233 2 3 2 3 3" xfId="19927"/>
    <cellStyle name="Normal 233 2 3 2 4" xfId="19928"/>
    <cellStyle name="Normal 233 2 3 3" xfId="19929"/>
    <cellStyle name="Normal 233 2 3 3 2" xfId="19930"/>
    <cellStyle name="Normal 233 2 3 3 2 2" xfId="19931"/>
    <cellStyle name="Normal 233 2 3 3 3" xfId="19932"/>
    <cellStyle name="Normal 233 2 3 4" xfId="19933"/>
    <cellStyle name="Normal 233 2 3 4 2" xfId="19934"/>
    <cellStyle name="Normal 233 2 3 4 2 2" xfId="19935"/>
    <cellStyle name="Normal 233 2 3 4 3" xfId="19936"/>
    <cellStyle name="Normal 233 2 3 5" xfId="19937"/>
    <cellStyle name="Normal 233 2 3 5 2" xfId="19938"/>
    <cellStyle name="Normal 233 2 3 5 2 2" xfId="19939"/>
    <cellStyle name="Normal 233 2 3 5 3" xfId="19940"/>
    <cellStyle name="Normal 233 2 3 6" xfId="19941"/>
    <cellStyle name="Normal 233 2 4" xfId="19942"/>
    <cellStyle name="Normal 233 2 4 2" xfId="19943"/>
    <cellStyle name="Normal 233 2 4 2 2" xfId="19944"/>
    <cellStyle name="Normal 233 2 4 3" xfId="19945"/>
    <cellStyle name="Normal 233 2 5" xfId="19946"/>
    <cellStyle name="Normal 233 2 5 2" xfId="19947"/>
    <cellStyle name="Normal 233 2 5 2 2" xfId="19948"/>
    <cellStyle name="Normal 233 2 5 3" xfId="19949"/>
    <cellStyle name="Normal 233 2 6" xfId="19950"/>
    <cellStyle name="Normal 233 2 6 2" xfId="19951"/>
    <cellStyle name="Normal 233 2 6 2 2" xfId="19952"/>
    <cellStyle name="Normal 233 2 6 3" xfId="19953"/>
    <cellStyle name="Normal 233 2 7" xfId="19954"/>
    <cellStyle name="Normal 233 3" xfId="19955"/>
    <cellStyle name="Normal 233 3 2" xfId="19956"/>
    <cellStyle name="Normal 233 3 2 2" xfId="19957"/>
    <cellStyle name="Normal 233 3 3" xfId="19958"/>
    <cellStyle name="Normal 233 3 3 2" xfId="19959"/>
    <cellStyle name="Normal 233 3 3 2 2" xfId="19960"/>
    <cellStyle name="Normal 233 3 3 3" xfId="19961"/>
    <cellStyle name="Normal 233 3 4" xfId="19962"/>
    <cellStyle name="Normal 233 3 4 2" xfId="19963"/>
    <cellStyle name="Normal 233 3 4 2 2" xfId="19964"/>
    <cellStyle name="Normal 233 3 4 3" xfId="19965"/>
    <cellStyle name="Normal 233 3 5" xfId="19966"/>
    <cellStyle name="Normal 233 4" xfId="19967"/>
    <cellStyle name="Normal 233 4 2" xfId="19968"/>
    <cellStyle name="Normal 233 4 2 2" xfId="19969"/>
    <cellStyle name="Normal 233 4 2 2 2" xfId="19970"/>
    <cellStyle name="Normal 233 4 2 3" xfId="19971"/>
    <cellStyle name="Normal 233 4 2 3 2" xfId="19972"/>
    <cellStyle name="Normal 233 4 2 3 2 2" xfId="19973"/>
    <cellStyle name="Normal 233 4 2 3 3" xfId="19974"/>
    <cellStyle name="Normal 233 4 2 4" xfId="19975"/>
    <cellStyle name="Normal 233 4 3" xfId="19976"/>
    <cellStyle name="Normal 233 4 3 2" xfId="19977"/>
    <cellStyle name="Normal 233 4 3 2 2" xfId="19978"/>
    <cellStyle name="Normal 233 4 3 3" xfId="19979"/>
    <cellStyle name="Normal 233 4 4" xfId="19980"/>
    <cellStyle name="Normal 233 4 4 2" xfId="19981"/>
    <cellStyle name="Normal 233 4 4 2 2" xfId="19982"/>
    <cellStyle name="Normal 233 4 4 3" xfId="19983"/>
    <cellStyle name="Normal 233 4 5" xfId="19984"/>
    <cellStyle name="Normal 233 4 5 2" xfId="19985"/>
    <cellStyle name="Normal 233 4 5 2 2" xfId="19986"/>
    <cellStyle name="Normal 233 4 5 3" xfId="19987"/>
    <cellStyle name="Normal 233 4 6" xfId="19988"/>
    <cellStyle name="Normal 233 5" xfId="19989"/>
    <cellStyle name="Normal 233 5 2" xfId="19990"/>
    <cellStyle name="Normal 233 5 2 2" xfId="19991"/>
    <cellStyle name="Normal 233 5 3" xfId="19992"/>
    <cellStyle name="Normal 233 6" xfId="19993"/>
    <cellStyle name="Normal 233 6 2" xfId="19994"/>
    <cellStyle name="Normal 233 6 2 2" xfId="19995"/>
    <cellStyle name="Normal 233 6 3" xfId="19996"/>
    <cellStyle name="Normal 233 7" xfId="19997"/>
    <cellStyle name="Normal 233 7 2" xfId="19998"/>
    <cellStyle name="Normal 233 7 2 2" xfId="19999"/>
    <cellStyle name="Normal 233 7 3" xfId="20000"/>
    <cellStyle name="Normal 233 8" xfId="20001"/>
    <cellStyle name="Normal 234" xfId="20002"/>
    <cellStyle name="Normal 234 2" xfId="20003"/>
    <cellStyle name="Normal 234 2 2" xfId="20004"/>
    <cellStyle name="Normal 234 2 2 2" xfId="20005"/>
    <cellStyle name="Normal 234 2 2 2 2" xfId="20006"/>
    <cellStyle name="Normal 234 2 2 3" xfId="20007"/>
    <cellStyle name="Normal 234 2 2 3 2" xfId="20008"/>
    <cellStyle name="Normal 234 2 2 3 2 2" xfId="20009"/>
    <cellStyle name="Normal 234 2 2 3 3" xfId="20010"/>
    <cellStyle name="Normal 234 2 2 4" xfId="20011"/>
    <cellStyle name="Normal 234 2 2 4 2" xfId="20012"/>
    <cellStyle name="Normal 234 2 2 4 2 2" xfId="20013"/>
    <cellStyle name="Normal 234 2 2 4 3" xfId="20014"/>
    <cellStyle name="Normal 234 2 2 5" xfId="20015"/>
    <cellStyle name="Normal 234 2 3" xfId="20016"/>
    <cellStyle name="Normal 234 2 3 2" xfId="20017"/>
    <cellStyle name="Normal 234 2 3 2 2" xfId="20018"/>
    <cellStyle name="Normal 234 2 3 2 2 2" xfId="20019"/>
    <cellStyle name="Normal 234 2 3 2 3" xfId="20020"/>
    <cellStyle name="Normal 234 2 3 2 3 2" xfId="20021"/>
    <cellStyle name="Normal 234 2 3 2 3 2 2" xfId="20022"/>
    <cellStyle name="Normal 234 2 3 2 3 3" xfId="20023"/>
    <cellStyle name="Normal 234 2 3 2 4" xfId="20024"/>
    <cellStyle name="Normal 234 2 3 3" xfId="20025"/>
    <cellStyle name="Normal 234 2 3 3 2" xfId="20026"/>
    <cellStyle name="Normal 234 2 3 3 2 2" xfId="20027"/>
    <cellStyle name="Normal 234 2 3 3 3" xfId="20028"/>
    <cellStyle name="Normal 234 2 3 4" xfId="20029"/>
    <cellStyle name="Normal 234 2 3 4 2" xfId="20030"/>
    <cellStyle name="Normal 234 2 3 4 2 2" xfId="20031"/>
    <cellStyle name="Normal 234 2 3 4 3" xfId="20032"/>
    <cellStyle name="Normal 234 2 3 5" xfId="20033"/>
    <cellStyle name="Normal 234 2 3 5 2" xfId="20034"/>
    <cellStyle name="Normal 234 2 3 5 2 2" xfId="20035"/>
    <cellStyle name="Normal 234 2 3 5 3" xfId="20036"/>
    <cellStyle name="Normal 234 2 3 6" xfId="20037"/>
    <cellStyle name="Normal 234 2 4" xfId="20038"/>
    <cellStyle name="Normal 234 2 4 2" xfId="20039"/>
    <cellStyle name="Normal 234 2 4 2 2" xfId="20040"/>
    <cellStyle name="Normal 234 2 4 3" xfId="20041"/>
    <cellStyle name="Normal 234 2 5" xfId="20042"/>
    <cellStyle name="Normal 234 2 5 2" xfId="20043"/>
    <cellStyle name="Normal 234 2 5 2 2" xfId="20044"/>
    <cellStyle name="Normal 234 2 5 3" xfId="20045"/>
    <cellStyle name="Normal 234 2 6" xfId="20046"/>
    <cellStyle name="Normal 234 2 6 2" xfId="20047"/>
    <cellStyle name="Normal 234 2 6 2 2" xfId="20048"/>
    <cellStyle name="Normal 234 2 6 3" xfId="20049"/>
    <cellStyle name="Normal 234 2 7" xfId="20050"/>
    <cellStyle name="Normal 234 3" xfId="20051"/>
    <cellStyle name="Normal 234 3 2" xfId="20052"/>
    <cellStyle name="Normal 234 3 2 2" xfId="20053"/>
    <cellStyle name="Normal 234 3 3" xfId="20054"/>
    <cellStyle name="Normal 234 3 3 2" xfId="20055"/>
    <cellStyle name="Normal 234 3 3 2 2" xfId="20056"/>
    <cellStyle name="Normal 234 3 3 3" xfId="20057"/>
    <cellStyle name="Normal 234 3 4" xfId="20058"/>
    <cellStyle name="Normal 234 3 4 2" xfId="20059"/>
    <cellStyle name="Normal 234 3 4 2 2" xfId="20060"/>
    <cellStyle name="Normal 234 3 4 3" xfId="20061"/>
    <cellStyle name="Normal 234 3 5" xfId="20062"/>
    <cellStyle name="Normal 234 4" xfId="20063"/>
    <cellStyle name="Normal 234 4 2" xfId="20064"/>
    <cellStyle name="Normal 234 4 2 2" xfId="20065"/>
    <cellStyle name="Normal 234 4 2 2 2" xfId="20066"/>
    <cellStyle name="Normal 234 4 2 3" xfId="20067"/>
    <cellStyle name="Normal 234 4 2 3 2" xfId="20068"/>
    <cellStyle name="Normal 234 4 2 3 2 2" xfId="20069"/>
    <cellStyle name="Normal 234 4 2 3 3" xfId="20070"/>
    <cellStyle name="Normal 234 4 2 4" xfId="20071"/>
    <cellStyle name="Normal 234 4 3" xfId="20072"/>
    <cellStyle name="Normal 234 4 3 2" xfId="20073"/>
    <cellStyle name="Normal 234 4 3 2 2" xfId="20074"/>
    <cellStyle name="Normal 234 4 3 3" xfId="20075"/>
    <cellStyle name="Normal 234 4 4" xfId="20076"/>
    <cellStyle name="Normal 234 4 4 2" xfId="20077"/>
    <cellStyle name="Normal 234 4 4 2 2" xfId="20078"/>
    <cellStyle name="Normal 234 4 4 3" xfId="20079"/>
    <cellStyle name="Normal 234 4 5" xfId="20080"/>
    <cellStyle name="Normal 234 4 5 2" xfId="20081"/>
    <cellStyle name="Normal 234 4 5 2 2" xfId="20082"/>
    <cellStyle name="Normal 234 4 5 3" xfId="20083"/>
    <cellStyle name="Normal 234 4 6" xfId="20084"/>
    <cellStyle name="Normal 234 5" xfId="20085"/>
    <cellStyle name="Normal 234 5 2" xfId="20086"/>
    <cellStyle name="Normal 234 5 2 2" xfId="20087"/>
    <cellStyle name="Normal 234 5 3" xfId="20088"/>
    <cellStyle name="Normal 234 6" xfId="20089"/>
    <cellStyle name="Normal 234 6 2" xfId="20090"/>
    <cellStyle name="Normal 234 6 2 2" xfId="20091"/>
    <cellStyle name="Normal 234 6 3" xfId="20092"/>
    <cellStyle name="Normal 234 7" xfId="20093"/>
    <cellStyle name="Normal 234 7 2" xfId="20094"/>
    <cellStyle name="Normal 234 7 2 2" xfId="20095"/>
    <cellStyle name="Normal 234 7 3" xfId="20096"/>
    <cellStyle name="Normal 234 8" xfId="20097"/>
    <cellStyle name="Normal 235" xfId="20098"/>
    <cellStyle name="Normal 235 2" xfId="20099"/>
    <cellStyle name="Normal 235 2 2" xfId="20100"/>
    <cellStyle name="Normal 235 2 2 2" xfId="20101"/>
    <cellStyle name="Normal 235 2 2 2 2" xfId="20102"/>
    <cellStyle name="Normal 235 2 2 3" xfId="20103"/>
    <cellStyle name="Normal 235 2 2 3 2" xfId="20104"/>
    <cellStyle name="Normal 235 2 2 3 2 2" xfId="20105"/>
    <cellStyle name="Normal 235 2 2 3 3" xfId="20106"/>
    <cellStyle name="Normal 235 2 2 4" xfId="20107"/>
    <cellStyle name="Normal 235 2 2 4 2" xfId="20108"/>
    <cellStyle name="Normal 235 2 2 4 2 2" xfId="20109"/>
    <cellStyle name="Normal 235 2 2 4 3" xfId="20110"/>
    <cellStyle name="Normal 235 2 2 5" xfId="20111"/>
    <cellStyle name="Normal 235 2 3" xfId="20112"/>
    <cellStyle name="Normal 235 2 3 2" xfId="20113"/>
    <cellStyle name="Normal 235 2 3 2 2" xfId="20114"/>
    <cellStyle name="Normal 235 2 3 2 2 2" xfId="20115"/>
    <cellStyle name="Normal 235 2 3 2 3" xfId="20116"/>
    <cellStyle name="Normal 235 2 3 2 3 2" xfId="20117"/>
    <cellStyle name="Normal 235 2 3 2 3 2 2" xfId="20118"/>
    <cellStyle name="Normal 235 2 3 2 3 3" xfId="20119"/>
    <cellStyle name="Normal 235 2 3 2 4" xfId="20120"/>
    <cellStyle name="Normal 235 2 3 3" xfId="20121"/>
    <cellStyle name="Normal 235 2 3 3 2" xfId="20122"/>
    <cellStyle name="Normal 235 2 3 3 2 2" xfId="20123"/>
    <cellStyle name="Normal 235 2 3 3 3" xfId="20124"/>
    <cellStyle name="Normal 235 2 3 4" xfId="20125"/>
    <cellStyle name="Normal 235 2 3 4 2" xfId="20126"/>
    <cellStyle name="Normal 235 2 3 4 2 2" xfId="20127"/>
    <cellStyle name="Normal 235 2 3 4 3" xfId="20128"/>
    <cellStyle name="Normal 235 2 3 5" xfId="20129"/>
    <cellStyle name="Normal 235 2 3 5 2" xfId="20130"/>
    <cellStyle name="Normal 235 2 3 5 2 2" xfId="20131"/>
    <cellStyle name="Normal 235 2 3 5 3" xfId="20132"/>
    <cellStyle name="Normal 235 2 3 6" xfId="20133"/>
    <cellStyle name="Normal 235 2 4" xfId="20134"/>
    <cellStyle name="Normal 235 2 4 2" xfId="20135"/>
    <cellStyle name="Normal 235 2 4 2 2" xfId="20136"/>
    <cellStyle name="Normal 235 2 4 3" xfId="20137"/>
    <cellStyle name="Normal 235 2 5" xfId="20138"/>
    <cellStyle name="Normal 235 2 5 2" xfId="20139"/>
    <cellStyle name="Normal 235 2 5 2 2" xfId="20140"/>
    <cellStyle name="Normal 235 2 5 3" xfId="20141"/>
    <cellStyle name="Normal 235 2 6" xfId="20142"/>
    <cellStyle name="Normal 235 2 6 2" xfId="20143"/>
    <cellStyle name="Normal 235 2 6 2 2" xfId="20144"/>
    <cellStyle name="Normal 235 2 6 3" xfId="20145"/>
    <cellStyle name="Normal 235 2 7" xfId="20146"/>
    <cellStyle name="Normal 235 3" xfId="20147"/>
    <cellStyle name="Normal 235 3 2" xfId="20148"/>
    <cellStyle name="Normal 235 3 2 2" xfId="20149"/>
    <cellStyle name="Normal 235 3 3" xfId="20150"/>
    <cellStyle name="Normal 235 3 3 2" xfId="20151"/>
    <cellStyle name="Normal 235 3 3 2 2" xfId="20152"/>
    <cellStyle name="Normal 235 3 3 3" xfId="20153"/>
    <cellStyle name="Normal 235 3 4" xfId="20154"/>
    <cellStyle name="Normal 235 3 4 2" xfId="20155"/>
    <cellStyle name="Normal 235 3 4 2 2" xfId="20156"/>
    <cellStyle name="Normal 235 3 4 3" xfId="20157"/>
    <cellStyle name="Normal 235 3 5" xfId="20158"/>
    <cellStyle name="Normal 235 4" xfId="20159"/>
    <cellStyle name="Normal 235 4 2" xfId="20160"/>
    <cellStyle name="Normal 235 4 2 2" xfId="20161"/>
    <cellStyle name="Normal 235 4 2 2 2" xfId="20162"/>
    <cellStyle name="Normal 235 4 2 3" xfId="20163"/>
    <cellStyle name="Normal 235 4 2 3 2" xfId="20164"/>
    <cellStyle name="Normal 235 4 2 3 2 2" xfId="20165"/>
    <cellStyle name="Normal 235 4 2 3 3" xfId="20166"/>
    <cellStyle name="Normal 235 4 2 4" xfId="20167"/>
    <cellStyle name="Normal 235 4 3" xfId="20168"/>
    <cellStyle name="Normal 235 4 3 2" xfId="20169"/>
    <cellStyle name="Normal 235 4 3 2 2" xfId="20170"/>
    <cellStyle name="Normal 235 4 3 3" xfId="20171"/>
    <cellStyle name="Normal 235 4 4" xfId="20172"/>
    <cellStyle name="Normal 235 4 4 2" xfId="20173"/>
    <cellStyle name="Normal 235 4 4 2 2" xfId="20174"/>
    <cellStyle name="Normal 235 4 4 3" xfId="20175"/>
    <cellStyle name="Normal 235 4 5" xfId="20176"/>
    <cellStyle name="Normal 235 4 5 2" xfId="20177"/>
    <cellStyle name="Normal 235 4 5 2 2" xfId="20178"/>
    <cellStyle name="Normal 235 4 5 3" xfId="20179"/>
    <cellStyle name="Normal 235 4 6" xfId="20180"/>
    <cellStyle name="Normal 235 5" xfId="20181"/>
    <cellStyle name="Normal 235 5 2" xfId="20182"/>
    <cellStyle name="Normal 235 5 2 2" xfId="20183"/>
    <cellStyle name="Normal 235 5 3" xfId="20184"/>
    <cellStyle name="Normal 235 6" xfId="20185"/>
    <cellStyle name="Normal 235 6 2" xfId="20186"/>
    <cellStyle name="Normal 235 6 2 2" xfId="20187"/>
    <cellStyle name="Normal 235 6 3" xfId="20188"/>
    <cellStyle name="Normal 235 7" xfId="20189"/>
    <cellStyle name="Normal 235 7 2" xfId="20190"/>
    <cellStyle name="Normal 235 7 2 2" xfId="20191"/>
    <cellStyle name="Normal 235 7 3" xfId="20192"/>
    <cellStyle name="Normal 235 8" xfId="20193"/>
    <cellStyle name="Normal 236" xfId="20194"/>
    <cellStyle name="Normal 236 2" xfId="20195"/>
    <cellStyle name="Normal 236 2 2" xfId="20196"/>
    <cellStyle name="Normal 236 2 2 2" xfId="20197"/>
    <cellStyle name="Normal 236 2 2 2 2" xfId="20198"/>
    <cellStyle name="Normal 236 2 2 3" xfId="20199"/>
    <cellStyle name="Normal 236 2 2 3 2" xfId="20200"/>
    <cellStyle name="Normal 236 2 2 3 2 2" xfId="20201"/>
    <cellStyle name="Normal 236 2 2 3 3" xfId="20202"/>
    <cellStyle name="Normal 236 2 2 4" xfId="20203"/>
    <cellStyle name="Normal 236 2 2 4 2" xfId="20204"/>
    <cellStyle name="Normal 236 2 2 4 2 2" xfId="20205"/>
    <cellStyle name="Normal 236 2 2 4 3" xfId="20206"/>
    <cellStyle name="Normal 236 2 2 5" xfId="20207"/>
    <cellStyle name="Normal 236 2 3" xfId="20208"/>
    <cellStyle name="Normal 236 2 3 2" xfId="20209"/>
    <cellStyle name="Normal 236 2 3 2 2" xfId="20210"/>
    <cellStyle name="Normal 236 2 3 2 2 2" xfId="20211"/>
    <cellStyle name="Normal 236 2 3 2 3" xfId="20212"/>
    <cellStyle name="Normal 236 2 3 2 3 2" xfId="20213"/>
    <cellStyle name="Normal 236 2 3 2 3 2 2" xfId="20214"/>
    <cellStyle name="Normal 236 2 3 2 3 3" xfId="20215"/>
    <cellStyle name="Normal 236 2 3 2 4" xfId="20216"/>
    <cellStyle name="Normal 236 2 3 3" xfId="20217"/>
    <cellStyle name="Normal 236 2 3 3 2" xfId="20218"/>
    <cellStyle name="Normal 236 2 3 3 2 2" xfId="20219"/>
    <cellStyle name="Normal 236 2 3 3 3" xfId="20220"/>
    <cellStyle name="Normal 236 2 3 4" xfId="20221"/>
    <cellStyle name="Normal 236 2 3 4 2" xfId="20222"/>
    <cellStyle name="Normal 236 2 3 4 2 2" xfId="20223"/>
    <cellStyle name="Normal 236 2 3 4 3" xfId="20224"/>
    <cellStyle name="Normal 236 2 3 5" xfId="20225"/>
    <cellStyle name="Normal 236 2 3 5 2" xfId="20226"/>
    <cellStyle name="Normal 236 2 3 5 2 2" xfId="20227"/>
    <cellStyle name="Normal 236 2 3 5 3" xfId="20228"/>
    <cellStyle name="Normal 236 2 3 6" xfId="20229"/>
    <cellStyle name="Normal 236 2 4" xfId="20230"/>
    <cellStyle name="Normal 236 2 4 2" xfId="20231"/>
    <cellStyle name="Normal 236 2 4 2 2" xfId="20232"/>
    <cellStyle name="Normal 236 2 4 3" xfId="20233"/>
    <cellStyle name="Normal 236 2 5" xfId="20234"/>
    <cellStyle name="Normal 236 2 5 2" xfId="20235"/>
    <cellStyle name="Normal 236 2 5 2 2" xfId="20236"/>
    <cellStyle name="Normal 236 2 5 3" xfId="20237"/>
    <cellStyle name="Normal 236 2 6" xfId="20238"/>
    <cellStyle name="Normal 236 2 6 2" xfId="20239"/>
    <cellStyle name="Normal 236 2 6 2 2" xfId="20240"/>
    <cellStyle name="Normal 236 2 6 3" xfId="20241"/>
    <cellStyle name="Normal 236 2 7" xfId="20242"/>
    <cellStyle name="Normal 236 3" xfId="20243"/>
    <cellStyle name="Normal 236 3 2" xfId="20244"/>
    <cellStyle name="Normal 236 3 2 2" xfId="20245"/>
    <cellStyle name="Normal 236 3 3" xfId="20246"/>
    <cellStyle name="Normal 236 3 3 2" xfId="20247"/>
    <cellStyle name="Normal 236 3 3 2 2" xfId="20248"/>
    <cellStyle name="Normal 236 3 3 3" xfId="20249"/>
    <cellStyle name="Normal 236 3 4" xfId="20250"/>
    <cellStyle name="Normal 236 3 4 2" xfId="20251"/>
    <cellStyle name="Normal 236 3 4 2 2" xfId="20252"/>
    <cellStyle name="Normal 236 3 4 3" xfId="20253"/>
    <cellStyle name="Normal 236 3 5" xfId="20254"/>
    <cellStyle name="Normal 236 4" xfId="20255"/>
    <cellStyle name="Normal 236 4 2" xfId="20256"/>
    <cellStyle name="Normal 236 4 2 2" xfId="20257"/>
    <cellStyle name="Normal 236 4 2 2 2" xfId="20258"/>
    <cellStyle name="Normal 236 4 2 3" xfId="20259"/>
    <cellStyle name="Normal 236 4 2 3 2" xfId="20260"/>
    <cellStyle name="Normal 236 4 2 3 2 2" xfId="20261"/>
    <cellStyle name="Normal 236 4 2 3 3" xfId="20262"/>
    <cellStyle name="Normal 236 4 2 4" xfId="20263"/>
    <cellStyle name="Normal 236 4 3" xfId="20264"/>
    <cellStyle name="Normal 236 4 3 2" xfId="20265"/>
    <cellStyle name="Normal 236 4 3 2 2" xfId="20266"/>
    <cellStyle name="Normal 236 4 3 3" xfId="20267"/>
    <cellStyle name="Normal 236 4 4" xfId="20268"/>
    <cellStyle name="Normal 236 4 4 2" xfId="20269"/>
    <cellStyle name="Normal 236 4 4 2 2" xfId="20270"/>
    <cellStyle name="Normal 236 4 4 3" xfId="20271"/>
    <cellStyle name="Normal 236 4 5" xfId="20272"/>
    <cellStyle name="Normal 236 4 5 2" xfId="20273"/>
    <cellStyle name="Normal 236 4 5 2 2" xfId="20274"/>
    <cellStyle name="Normal 236 4 5 3" xfId="20275"/>
    <cellStyle name="Normal 236 4 6" xfId="20276"/>
    <cellStyle name="Normal 236 5" xfId="20277"/>
    <cellStyle name="Normal 236 5 2" xfId="20278"/>
    <cellStyle name="Normal 236 5 2 2" xfId="20279"/>
    <cellStyle name="Normal 236 5 3" xfId="20280"/>
    <cellStyle name="Normal 236 6" xfId="20281"/>
    <cellStyle name="Normal 236 6 2" xfId="20282"/>
    <cellStyle name="Normal 236 6 2 2" xfId="20283"/>
    <cellStyle name="Normal 236 6 3" xfId="20284"/>
    <cellStyle name="Normal 236 7" xfId="20285"/>
    <cellStyle name="Normal 236 7 2" xfId="20286"/>
    <cellStyle name="Normal 236 7 2 2" xfId="20287"/>
    <cellStyle name="Normal 236 7 3" xfId="20288"/>
    <cellStyle name="Normal 236 8" xfId="20289"/>
    <cellStyle name="Normal 237" xfId="20290"/>
    <cellStyle name="Normal 237 2" xfId="20291"/>
    <cellStyle name="Normal 237 2 2" xfId="20292"/>
    <cellStyle name="Normal 237 2 2 2" xfId="20293"/>
    <cellStyle name="Normal 237 2 2 2 2" xfId="20294"/>
    <cellStyle name="Normal 237 2 2 3" xfId="20295"/>
    <cellStyle name="Normal 237 2 2 3 2" xfId="20296"/>
    <cellStyle name="Normal 237 2 2 3 2 2" xfId="20297"/>
    <cellStyle name="Normal 237 2 2 3 3" xfId="20298"/>
    <cellStyle name="Normal 237 2 2 4" xfId="20299"/>
    <cellStyle name="Normal 237 2 2 4 2" xfId="20300"/>
    <cellStyle name="Normal 237 2 2 4 2 2" xfId="20301"/>
    <cellStyle name="Normal 237 2 2 4 3" xfId="20302"/>
    <cellStyle name="Normal 237 2 2 5" xfId="20303"/>
    <cellStyle name="Normal 237 2 3" xfId="20304"/>
    <cellStyle name="Normal 237 2 3 2" xfId="20305"/>
    <cellStyle name="Normal 237 2 3 2 2" xfId="20306"/>
    <cellStyle name="Normal 237 2 3 2 2 2" xfId="20307"/>
    <cellStyle name="Normal 237 2 3 2 3" xfId="20308"/>
    <cellStyle name="Normal 237 2 3 2 3 2" xfId="20309"/>
    <cellStyle name="Normal 237 2 3 2 3 2 2" xfId="20310"/>
    <cellStyle name="Normal 237 2 3 2 3 3" xfId="20311"/>
    <cellStyle name="Normal 237 2 3 2 4" xfId="20312"/>
    <cellStyle name="Normal 237 2 3 3" xfId="20313"/>
    <cellStyle name="Normal 237 2 3 3 2" xfId="20314"/>
    <cellStyle name="Normal 237 2 3 3 2 2" xfId="20315"/>
    <cellStyle name="Normal 237 2 3 3 3" xfId="20316"/>
    <cellStyle name="Normal 237 2 3 4" xfId="20317"/>
    <cellStyle name="Normal 237 2 3 4 2" xfId="20318"/>
    <cellStyle name="Normal 237 2 3 4 2 2" xfId="20319"/>
    <cellStyle name="Normal 237 2 3 4 3" xfId="20320"/>
    <cellStyle name="Normal 237 2 3 5" xfId="20321"/>
    <cellStyle name="Normal 237 2 3 5 2" xfId="20322"/>
    <cellStyle name="Normal 237 2 3 5 2 2" xfId="20323"/>
    <cellStyle name="Normal 237 2 3 5 3" xfId="20324"/>
    <cellStyle name="Normal 237 2 3 6" xfId="20325"/>
    <cellStyle name="Normal 237 2 4" xfId="20326"/>
    <cellStyle name="Normal 237 2 4 2" xfId="20327"/>
    <cellStyle name="Normal 237 2 4 2 2" xfId="20328"/>
    <cellStyle name="Normal 237 2 4 3" xfId="20329"/>
    <cellStyle name="Normal 237 2 5" xfId="20330"/>
    <cellStyle name="Normal 237 2 5 2" xfId="20331"/>
    <cellStyle name="Normal 237 2 5 2 2" xfId="20332"/>
    <cellStyle name="Normal 237 2 5 3" xfId="20333"/>
    <cellStyle name="Normal 237 2 6" xfId="20334"/>
    <cellStyle name="Normal 237 2 6 2" xfId="20335"/>
    <cellStyle name="Normal 237 2 6 2 2" xfId="20336"/>
    <cellStyle name="Normal 237 2 6 3" xfId="20337"/>
    <cellStyle name="Normal 237 2 7" xfId="20338"/>
    <cellStyle name="Normal 237 3" xfId="20339"/>
    <cellStyle name="Normal 237 3 2" xfId="20340"/>
    <cellStyle name="Normal 237 3 2 2" xfId="20341"/>
    <cellStyle name="Normal 237 3 3" xfId="20342"/>
    <cellStyle name="Normal 237 3 3 2" xfId="20343"/>
    <cellStyle name="Normal 237 3 3 2 2" xfId="20344"/>
    <cellStyle name="Normal 237 3 3 3" xfId="20345"/>
    <cellStyle name="Normal 237 3 4" xfId="20346"/>
    <cellStyle name="Normal 237 3 4 2" xfId="20347"/>
    <cellStyle name="Normal 237 3 4 2 2" xfId="20348"/>
    <cellStyle name="Normal 237 3 4 3" xfId="20349"/>
    <cellStyle name="Normal 237 3 5" xfId="20350"/>
    <cellStyle name="Normal 237 4" xfId="20351"/>
    <cellStyle name="Normal 237 4 2" xfId="20352"/>
    <cellStyle name="Normal 237 4 2 2" xfId="20353"/>
    <cellStyle name="Normal 237 4 2 2 2" xfId="20354"/>
    <cellStyle name="Normal 237 4 2 3" xfId="20355"/>
    <cellStyle name="Normal 237 4 2 3 2" xfId="20356"/>
    <cellStyle name="Normal 237 4 2 3 2 2" xfId="20357"/>
    <cellStyle name="Normal 237 4 2 3 3" xfId="20358"/>
    <cellStyle name="Normal 237 4 2 4" xfId="20359"/>
    <cellStyle name="Normal 237 4 3" xfId="20360"/>
    <cellStyle name="Normal 237 4 3 2" xfId="20361"/>
    <cellStyle name="Normal 237 4 3 2 2" xfId="20362"/>
    <cellStyle name="Normal 237 4 3 3" xfId="20363"/>
    <cellStyle name="Normal 237 4 4" xfId="20364"/>
    <cellStyle name="Normal 237 4 4 2" xfId="20365"/>
    <cellStyle name="Normal 237 4 4 2 2" xfId="20366"/>
    <cellStyle name="Normal 237 4 4 3" xfId="20367"/>
    <cellStyle name="Normal 237 4 5" xfId="20368"/>
    <cellStyle name="Normal 237 4 5 2" xfId="20369"/>
    <cellStyle name="Normal 237 4 5 2 2" xfId="20370"/>
    <cellStyle name="Normal 237 4 5 3" xfId="20371"/>
    <cellStyle name="Normal 237 4 6" xfId="20372"/>
    <cellStyle name="Normal 237 5" xfId="20373"/>
    <cellStyle name="Normal 237 5 2" xfId="20374"/>
    <cellStyle name="Normal 237 5 2 2" xfId="20375"/>
    <cellStyle name="Normal 237 5 3" xfId="20376"/>
    <cellStyle name="Normal 237 6" xfId="20377"/>
    <cellStyle name="Normal 237 6 2" xfId="20378"/>
    <cellStyle name="Normal 237 6 2 2" xfId="20379"/>
    <cellStyle name="Normal 237 6 3" xfId="20380"/>
    <cellStyle name="Normal 237 7" xfId="20381"/>
    <cellStyle name="Normal 237 7 2" xfId="20382"/>
    <cellStyle name="Normal 237 7 2 2" xfId="20383"/>
    <cellStyle name="Normal 237 7 3" xfId="20384"/>
    <cellStyle name="Normal 237 8" xfId="20385"/>
    <cellStyle name="Normal 238" xfId="20386"/>
    <cellStyle name="Normal 238 2" xfId="20387"/>
    <cellStyle name="Normal 238 2 2" xfId="20388"/>
    <cellStyle name="Normal 238 2 2 2" xfId="20389"/>
    <cellStyle name="Normal 238 2 2 2 2" xfId="20390"/>
    <cellStyle name="Normal 238 2 2 3" xfId="20391"/>
    <cellStyle name="Normal 238 2 2 3 2" xfId="20392"/>
    <cellStyle name="Normal 238 2 2 3 2 2" xfId="20393"/>
    <cellStyle name="Normal 238 2 2 3 3" xfId="20394"/>
    <cellStyle name="Normal 238 2 2 4" xfId="20395"/>
    <cellStyle name="Normal 238 2 2 4 2" xfId="20396"/>
    <cellStyle name="Normal 238 2 2 4 2 2" xfId="20397"/>
    <cellStyle name="Normal 238 2 2 4 3" xfId="20398"/>
    <cellStyle name="Normal 238 2 2 5" xfId="20399"/>
    <cellStyle name="Normal 238 2 3" xfId="20400"/>
    <cellStyle name="Normal 238 2 3 2" xfId="20401"/>
    <cellStyle name="Normal 238 2 3 2 2" xfId="20402"/>
    <cellStyle name="Normal 238 2 3 2 2 2" xfId="20403"/>
    <cellStyle name="Normal 238 2 3 2 3" xfId="20404"/>
    <cellStyle name="Normal 238 2 3 2 3 2" xfId="20405"/>
    <cellStyle name="Normal 238 2 3 2 3 2 2" xfId="20406"/>
    <cellStyle name="Normal 238 2 3 2 3 3" xfId="20407"/>
    <cellStyle name="Normal 238 2 3 2 4" xfId="20408"/>
    <cellStyle name="Normal 238 2 3 3" xfId="20409"/>
    <cellStyle name="Normal 238 2 3 3 2" xfId="20410"/>
    <cellStyle name="Normal 238 2 3 3 2 2" xfId="20411"/>
    <cellStyle name="Normal 238 2 3 3 3" xfId="20412"/>
    <cellStyle name="Normal 238 2 3 4" xfId="20413"/>
    <cellStyle name="Normal 238 2 3 4 2" xfId="20414"/>
    <cellStyle name="Normal 238 2 3 4 2 2" xfId="20415"/>
    <cellStyle name="Normal 238 2 3 4 3" xfId="20416"/>
    <cellStyle name="Normal 238 2 3 5" xfId="20417"/>
    <cellStyle name="Normal 238 2 3 5 2" xfId="20418"/>
    <cellStyle name="Normal 238 2 3 5 2 2" xfId="20419"/>
    <cellStyle name="Normal 238 2 3 5 3" xfId="20420"/>
    <cellStyle name="Normal 238 2 3 6" xfId="20421"/>
    <cellStyle name="Normal 238 2 4" xfId="20422"/>
    <cellStyle name="Normal 238 2 4 2" xfId="20423"/>
    <cellStyle name="Normal 238 2 4 2 2" xfId="20424"/>
    <cellStyle name="Normal 238 2 4 3" xfId="20425"/>
    <cellStyle name="Normal 238 2 5" xfId="20426"/>
    <cellStyle name="Normal 238 2 5 2" xfId="20427"/>
    <cellStyle name="Normal 238 2 5 2 2" xfId="20428"/>
    <cellStyle name="Normal 238 2 5 3" xfId="20429"/>
    <cellStyle name="Normal 238 2 6" xfId="20430"/>
    <cellStyle name="Normal 238 2 6 2" xfId="20431"/>
    <cellStyle name="Normal 238 2 6 2 2" xfId="20432"/>
    <cellStyle name="Normal 238 2 6 3" xfId="20433"/>
    <cellStyle name="Normal 238 2 7" xfId="20434"/>
    <cellStyle name="Normal 238 3" xfId="20435"/>
    <cellStyle name="Normal 238 3 2" xfId="20436"/>
    <cellStyle name="Normal 238 3 2 2" xfId="20437"/>
    <cellStyle name="Normal 238 3 3" xfId="20438"/>
    <cellStyle name="Normal 238 3 3 2" xfId="20439"/>
    <cellStyle name="Normal 238 3 3 2 2" xfId="20440"/>
    <cellStyle name="Normal 238 3 3 3" xfId="20441"/>
    <cellStyle name="Normal 238 3 4" xfId="20442"/>
    <cellStyle name="Normal 238 3 4 2" xfId="20443"/>
    <cellStyle name="Normal 238 3 4 2 2" xfId="20444"/>
    <cellStyle name="Normal 238 3 4 3" xfId="20445"/>
    <cellStyle name="Normal 238 3 5" xfId="20446"/>
    <cellStyle name="Normal 238 4" xfId="20447"/>
    <cellStyle name="Normal 238 4 2" xfId="20448"/>
    <cellStyle name="Normal 238 4 2 2" xfId="20449"/>
    <cellStyle name="Normal 238 4 2 2 2" xfId="20450"/>
    <cellStyle name="Normal 238 4 2 3" xfId="20451"/>
    <cellStyle name="Normal 238 4 2 3 2" xfId="20452"/>
    <cellStyle name="Normal 238 4 2 3 2 2" xfId="20453"/>
    <cellStyle name="Normal 238 4 2 3 3" xfId="20454"/>
    <cellStyle name="Normal 238 4 2 4" xfId="20455"/>
    <cellStyle name="Normal 238 4 3" xfId="20456"/>
    <cellStyle name="Normal 238 4 3 2" xfId="20457"/>
    <cellStyle name="Normal 238 4 3 2 2" xfId="20458"/>
    <cellStyle name="Normal 238 4 3 3" xfId="20459"/>
    <cellStyle name="Normal 238 4 4" xfId="20460"/>
    <cellStyle name="Normal 238 4 4 2" xfId="20461"/>
    <cellStyle name="Normal 238 4 4 2 2" xfId="20462"/>
    <cellStyle name="Normal 238 4 4 3" xfId="20463"/>
    <cellStyle name="Normal 238 4 5" xfId="20464"/>
    <cellStyle name="Normal 238 4 5 2" xfId="20465"/>
    <cellStyle name="Normal 238 4 5 2 2" xfId="20466"/>
    <cellStyle name="Normal 238 4 5 3" xfId="20467"/>
    <cellStyle name="Normal 238 4 6" xfId="20468"/>
    <cellStyle name="Normal 238 5" xfId="20469"/>
    <cellStyle name="Normal 238 5 2" xfId="20470"/>
    <cellStyle name="Normal 238 5 2 2" xfId="20471"/>
    <cellStyle name="Normal 238 5 3" xfId="20472"/>
    <cellStyle name="Normal 238 6" xfId="20473"/>
    <cellStyle name="Normal 238 6 2" xfId="20474"/>
    <cellStyle name="Normal 238 6 2 2" xfId="20475"/>
    <cellStyle name="Normal 238 6 3" xfId="20476"/>
    <cellStyle name="Normal 238 7" xfId="20477"/>
    <cellStyle name="Normal 238 7 2" xfId="20478"/>
    <cellStyle name="Normal 238 7 2 2" xfId="20479"/>
    <cellStyle name="Normal 238 7 3" xfId="20480"/>
    <cellStyle name="Normal 238 8" xfId="20481"/>
    <cellStyle name="Normal 239" xfId="20482"/>
    <cellStyle name="Normal 239 2" xfId="20483"/>
    <cellStyle name="Normal 239 2 2" xfId="20484"/>
    <cellStyle name="Normal 239 2 2 2" xfId="20485"/>
    <cellStyle name="Normal 239 2 2 2 2" xfId="20486"/>
    <cellStyle name="Normal 239 2 2 3" xfId="20487"/>
    <cellStyle name="Normal 239 2 2 3 2" xfId="20488"/>
    <cellStyle name="Normal 239 2 2 3 2 2" xfId="20489"/>
    <cellStyle name="Normal 239 2 2 3 3" xfId="20490"/>
    <cellStyle name="Normal 239 2 2 4" xfId="20491"/>
    <cellStyle name="Normal 239 2 2 4 2" xfId="20492"/>
    <cellStyle name="Normal 239 2 2 4 2 2" xfId="20493"/>
    <cellStyle name="Normal 239 2 2 4 3" xfId="20494"/>
    <cellStyle name="Normal 239 2 2 5" xfId="20495"/>
    <cellStyle name="Normal 239 2 3" xfId="20496"/>
    <cellStyle name="Normal 239 2 3 2" xfId="20497"/>
    <cellStyle name="Normal 239 2 3 2 2" xfId="20498"/>
    <cellStyle name="Normal 239 2 3 2 2 2" xfId="20499"/>
    <cellStyle name="Normal 239 2 3 2 3" xfId="20500"/>
    <cellStyle name="Normal 239 2 3 2 3 2" xfId="20501"/>
    <cellStyle name="Normal 239 2 3 2 3 2 2" xfId="20502"/>
    <cellStyle name="Normal 239 2 3 2 3 3" xfId="20503"/>
    <cellStyle name="Normal 239 2 3 2 4" xfId="20504"/>
    <cellStyle name="Normal 239 2 3 3" xfId="20505"/>
    <cellStyle name="Normal 239 2 3 3 2" xfId="20506"/>
    <cellStyle name="Normal 239 2 3 3 2 2" xfId="20507"/>
    <cellStyle name="Normal 239 2 3 3 3" xfId="20508"/>
    <cellStyle name="Normal 239 2 3 4" xfId="20509"/>
    <cellStyle name="Normal 239 2 3 4 2" xfId="20510"/>
    <cellStyle name="Normal 239 2 3 4 2 2" xfId="20511"/>
    <cellStyle name="Normal 239 2 3 4 3" xfId="20512"/>
    <cellStyle name="Normal 239 2 3 5" xfId="20513"/>
    <cellStyle name="Normal 239 2 3 5 2" xfId="20514"/>
    <cellStyle name="Normal 239 2 3 5 2 2" xfId="20515"/>
    <cellStyle name="Normal 239 2 3 5 3" xfId="20516"/>
    <cellStyle name="Normal 239 2 3 6" xfId="20517"/>
    <cellStyle name="Normal 239 2 4" xfId="20518"/>
    <cellStyle name="Normal 239 2 4 2" xfId="20519"/>
    <cellStyle name="Normal 239 2 4 2 2" xfId="20520"/>
    <cellStyle name="Normal 239 2 4 3" xfId="20521"/>
    <cellStyle name="Normal 239 2 5" xfId="20522"/>
    <cellStyle name="Normal 239 2 5 2" xfId="20523"/>
    <cellStyle name="Normal 239 2 5 2 2" xfId="20524"/>
    <cellStyle name="Normal 239 2 5 3" xfId="20525"/>
    <cellStyle name="Normal 239 2 6" xfId="20526"/>
    <cellStyle name="Normal 239 2 6 2" xfId="20527"/>
    <cellStyle name="Normal 239 2 6 2 2" xfId="20528"/>
    <cellStyle name="Normal 239 2 6 3" xfId="20529"/>
    <cellStyle name="Normal 239 2 7" xfId="20530"/>
    <cellStyle name="Normal 239 3" xfId="20531"/>
    <cellStyle name="Normal 239 3 2" xfId="20532"/>
    <cellStyle name="Normal 239 3 2 2" xfId="20533"/>
    <cellStyle name="Normal 239 3 3" xfId="20534"/>
    <cellStyle name="Normal 239 3 3 2" xfId="20535"/>
    <cellStyle name="Normal 239 3 3 2 2" xfId="20536"/>
    <cellStyle name="Normal 239 3 3 3" xfId="20537"/>
    <cellStyle name="Normal 239 3 4" xfId="20538"/>
    <cellStyle name="Normal 239 3 4 2" xfId="20539"/>
    <cellStyle name="Normal 239 3 4 2 2" xfId="20540"/>
    <cellStyle name="Normal 239 3 4 3" xfId="20541"/>
    <cellStyle name="Normal 239 3 5" xfId="20542"/>
    <cellStyle name="Normal 239 4" xfId="20543"/>
    <cellStyle name="Normal 239 4 2" xfId="20544"/>
    <cellStyle name="Normal 239 4 2 2" xfId="20545"/>
    <cellStyle name="Normal 239 4 2 2 2" xfId="20546"/>
    <cellStyle name="Normal 239 4 2 3" xfId="20547"/>
    <cellStyle name="Normal 239 4 2 3 2" xfId="20548"/>
    <cellStyle name="Normal 239 4 2 3 2 2" xfId="20549"/>
    <cellStyle name="Normal 239 4 2 3 3" xfId="20550"/>
    <cellStyle name="Normal 239 4 2 4" xfId="20551"/>
    <cellStyle name="Normal 239 4 3" xfId="20552"/>
    <cellStyle name="Normal 239 4 3 2" xfId="20553"/>
    <cellStyle name="Normal 239 4 3 2 2" xfId="20554"/>
    <cellStyle name="Normal 239 4 3 3" xfId="20555"/>
    <cellStyle name="Normal 239 4 4" xfId="20556"/>
    <cellStyle name="Normal 239 4 4 2" xfId="20557"/>
    <cellStyle name="Normal 239 4 4 2 2" xfId="20558"/>
    <cellStyle name="Normal 239 4 4 3" xfId="20559"/>
    <cellStyle name="Normal 239 4 5" xfId="20560"/>
    <cellStyle name="Normal 239 4 5 2" xfId="20561"/>
    <cellStyle name="Normal 239 4 5 2 2" xfId="20562"/>
    <cellStyle name="Normal 239 4 5 3" xfId="20563"/>
    <cellStyle name="Normal 239 4 6" xfId="20564"/>
    <cellStyle name="Normal 239 5" xfId="20565"/>
    <cellStyle name="Normal 239 5 2" xfId="20566"/>
    <cellStyle name="Normal 239 5 2 2" xfId="20567"/>
    <cellStyle name="Normal 239 5 3" xfId="20568"/>
    <cellStyle name="Normal 239 6" xfId="20569"/>
    <cellStyle name="Normal 239 6 2" xfId="20570"/>
    <cellStyle name="Normal 239 6 2 2" xfId="20571"/>
    <cellStyle name="Normal 239 6 3" xfId="20572"/>
    <cellStyle name="Normal 239 7" xfId="20573"/>
    <cellStyle name="Normal 239 7 2" xfId="20574"/>
    <cellStyle name="Normal 239 7 2 2" xfId="20575"/>
    <cellStyle name="Normal 239 7 3" xfId="20576"/>
    <cellStyle name="Normal 239 8" xfId="20577"/>
    <cellStyle name="Normal 24" xfId="20578"/>
    <cellStyle name="Normal 24 2" xfId="20579"/>
    <cellStyle name="Normal 24 2 2" xfId="20580"/>
    <cellStyle name="Normal 24 2 2 2" xfId="20581"/>
    <cellStyle name="Normal 24 2 2 2 2" xfId="20582"/>
    <cellStyle name="Normal 24 2 2 3" xfId="20583"/>
    <cellStyle name="Normal 24 2 2 3 2" xfId="20584"/>
    <cellStyle name="Normal 24 2 2 3 2 2" xfId="20585"/>
    <cellStyle name="Normal 24 2 2 3 3" xfId="20586"/>
    <cellStyle name="Normal 24 2 2 4" xfId="20587"/>
    <cellStyle name="Normal 24 2 2 4 2" xfId="20588"/>
    <cellStyle name="Normal 24 2 2 4 2 2" xfId="20589"/>
    <cellStyle name="Normal 24 2 2 4 3" xfId="20590"/>
    <cellStyle name="Normal 24 2 2 5" xfId="20591"/>
    <cellStyle name="Normal 24 2 3" xfId="20592"/>
    <cellStyle name="Normal 24 2 3 2" xfId="20593"/>
    <cellStyle name="Normal 24 2 3 2 2" xfId="20594"/>
    <cellStyle name="Normal 24 2 3 3" xfId="20595"/>
    <cellStyle name="Normal 24 2 4" xfId="20596"/>
    <cellStyle name="Normal 24 2 4 2" xfId="20597"/>
    <cellStyle name="Normal 24 2 4 2 2" xfId="20598"/>
    <cellStyle name="Normal 24 2 4 3" xfId="20599"/>
    <cellStyle name="Normal 24 2 5" xfId="20600"/>
    <cellStyle name="Normal 24 2 5 2" xfId="20601"/>
    <cellStyle name="Normal 24 2 5 2 2" xfId="20602"/>
    <cellStyle name="Normal 24 2 5 3" xfId="20603"/>
    <cellStyle name="Normal 24 2 6" xfId="20604"/>
    <cellStyle name="Normal 24 3" xfId="20605"/>
    <cellStyle name="Normal 24 3 2" xfId="20606"/>
    <cellStyle name="Normal 24 3 2 2" xfId="20607"/>
    <cellStyle name="Normal 24 3 3" xfId="20608"/>
    <cellStyle name="Normal 24 3 3 2" xfId="20609"/>
    <cellStyle name="Normal 24 3 3 2 2" xfId="20610"/>
    <cellStyle name="Normal 24 3 3 3" xfId="20611"/>
    <cellStyle name="Normal 24 3 4" xfId="20612"/>
    <cellStyle name="Normal 24 3 4 2" xfId="20613"/>
    <cellStyle name="Normal 24 3 4 2 2" xfId="20614"/>
    <cellStyle name="Normal 24 3 4 3" xfId="20615"/>
    <cellStyle name="Normal 24 3 5" xfId="20616"/>
    <cellStyle name="Normal 24 4" xfId="20617"/>
    <cellStyle name="Normal 24 4 2" xfId="20618"/>
    <cellStyle name="Normal 24 4 2 2" xfId="20619"/>
    <cellStyle name="Normal 24 4 3" xfId="20620"/>
    <cellStyle name="Normal 24 4 3 2" xfId="20621"/>
    <cellStyle name="Normal 24 4 3 2 2" xfId="20622"/>
    <cellStyle name="Normal 24 4 3 3" xfId="20623"/>
    <cellStyle name="Normal 24 4 4" xfId="20624"/>
    <cellStyle name="Normal 24 4 4 2" xfId="20625"/>
    <cellStyle name="Normal 24 4 4 2 2" xfId="20626"/>
    <cellStyle name="Normal 24 4 4 3" xfId="20627"/>
    <cellStyle name="Normal 24 4 5" xfId="20628"/>
    <cellStyle name="Normal 24 5" xfId="20629"/>
    <cellStyle name="Normal 24 5 2" xfId="20630"/>
    <cellStyle name="Normal 24 5 2 2" xfId="20631"/>
    <cellStyle name="Normal 24 5 3" xfId="20632"/>
    <cellStyle name="Normal 24 6" xfId="20633"/>
    <cellStyle name="Normal 24 6 2" xfId="20634"/>
    <cellStyle name="Normal 24 6 2 2" xfId="20635"/>
    <cellStyle name="Normal 24 6 3" xfId="20636"/>
    <cellStyle name="Normal 24 7" xfId="20637"/>
    <cellStyle name="Normal 24 7 2" xfId="20638"/>
    <cellStyle name="Normal 24 7 2 2" xfId="20639"/>
    <cellStyle name="Normal 24 7 3" xfId="20640"/>
    <cellStyle name="Normal 24 8" xfId="20641"/>
    <cellStyle name="Normal 240" xfId="20642"/>
    <cellStyle name="Normal 240 2" xfId="20643"/>
    <cellStyle name="Normal 240 2 2" xfId="20644"/>
    <cellStyle name="Normal 240 2 2 2" xfId="20645"/>
    <cellStyle name="Normal 240 2 2 2 2" xfId="20646"/>
    <cellStyle name="Normal 240 2 2 3" xfId="20647"/>
    <cellStyle name="Normal 240 2 2 3 2" xfId="20648"/>
    <cellStyle name="Normal 240 2 2 3 2 2" xfId="20649"/>
    <cellStyle name="Normal 240 2 2 3 3" xfId="20650"/>
    <cellStyle name="Normal 240 2 2 4" xfId="20651"/>
    <cellStyle name="Normal 240 2 2 4 2" xfId="20652"/>
    <cellStyle name="Normal 240 2 2 4 2 2" xfId="20653"/>
    <cellStyle name="Normal 240 2 2 4 3" xfId="20654"/>
    <cellStyle name="Normal 240 2 2 5" xfId="20655"/>
    <cellStyle name="Normal 240 2 3" xfId="20656"/>
    <cellStyle name="Normal 240 2 3 2" xfId="20657"/>
    <cellStyle name="Normal 240 2 3 2 2" xfId="20658"/>
    <cellStyle name="Normal 240 2 3 2 2 2" xfId="20659"/>
    <cellStyle name="Normal 240 2 3 2 3" xfId="20660"/>
    <cellStyle name="Normal 240 2 3 2 3 2" xfId="20661"/>
    <cellStyle name="Normal 240 2 3 2 3 2 2" xfId="20662"/>
    <cellStyle name="Normal 240 2 3 2 3 3" xfId="20663"/>
    <cellStyle name="Normal 240 2 3 2 4" xfId="20664"/>
    <cellStyle name="Normal 240 2 3 3" xfId="20665"/>
    <cellStyle name="Normal 240 2 3 3 2" xfId="20666"/>
    <cellStyle name="Normal 240 2 3 3 2 2" xfId="20667"/>
    <cellStyle name="Normal 240 2 3 3 3" xfId="20668"/>
    <cellStyle name="Normal 240 2 3 4" xfId="20669"/>
    <cellStyle name="Normal 240 2 3 4 2" xfId="20670"/>
    <cellStyle name="Normal 240 2 3 4 2 2" xfId="20671"/>
    <cellStyle name="Normal 240 2 3 4 3" xfId="20672"/>
    <cellStyle name="Normal 240 2 3 5" xfId="20673"/>
    <cellStyle name="Normal 240 2 3 5 2" xfId="20674"/>
    <cellStyle name="Normal 240 2 3 5 2 2" xfId="20675"/>
    <cellStyle name="Normal 240 2 3 5 3" xfId="20676"/>
    <cellStyle name="Normal 240 2 3 6" xfId="20677"/>
    <cellStyle name="Normal 240 2 4" xfId="20678"/>
    <cellStyle name="Normal 240 2 4 2" xfId="20679"/>
    <cellStyle name="Normal 240 2 4 2 2" xfId="20680"/>
    <cellStyle name="Normal 240 2 4 3" xfId="20681"/>
    <cellStyle name="Normal 240 2 5" xfId="20682"/>
    <cellStyle name="Normal 240 2 5 2" xfId="20683"/>
    <cellStyle name="Normal 240 2 5 2 2" xfId="20684"/>
    <cellStyle name="Normal 240 2 5 3" xfId="20685"/>
    <cellStyle name="Normal 240 2 6" xfId="20686"/>
    <cellStyle name="Normal 240 2 6 2" xfId="20687"/>
    <cellStyle name="Normal 240 2 6 2 2" xfId="20688"/>
    <cellStyle name="Normal 240 2 6 3" xfId="20689"/>
    <cellStyle name="Normal 240 2 7" xfId="20690"/>
    <cellStyle name="Normal 240 3" xfId="20691"/>
    <cellStyle name="Normal 240 3 2" xfId="20692"/>
    <cellStyle name="Normal 240 3 2 2" xfId="20693"/>
    <cellStyle name="Normal 240 3 3" xfId="20694"/>
    <cellStyle name="Normal 240 3 3 2" xfId="20695"/>
    <cellStyle name="Normal 240 3 3 2 2" xfId="20696"/>
    <cellStyle name="Normal 240 3 3 3" xfId="20697"/>
    <cellStyle name="Normal 240 3 4" xfId="20698"/>
    <cellStyle name="Normal 240 3 4 2" xfId="20699"/>
    <cellStyle name="Normal 240 3 4 2 2" xfId="20700"/>
    <cellStyle name="Normal 240 3 4 3" xfId="20701"/>
    <cellStyle name="Normal 240 3 5" xfId="20702"/>
    <cellStyle name="Normal 240 4" xfId="20703"/>
    <cellStyle name="Normal 240 4 2" xfId="20704"/>
    <cellStyle name="Normal 240 4 2 2" xfId="20705"/>
    <cellStyle name="Normal 240 4 2 2 2" xfId="20706"/>
    <cellStyle name="Normal 240 4 2 3" xfId="20707"/>
    <cellStyle name="Normal 240 4 2 3 2" xfId="20708"/>
    <cellStyle name="Normal 240 4 2 3 2 2" xfId="20709"/>
    <cellStyle name="Normal 240 4 2 3 3" xfId="20710"/>
    <cellStyle name="Normal 240 4 2 4" xfId="20711"/>
    <cellStyle name="Normal 240 4 3" xfId="20712"/>
    <cellStyle name="Normal 240 4 3 2" xfId="20713"/>
    <cellStyle name="Normal 240 4 3 2 2" xfId="20714"/>
    <cellStyle name="Normal 240 4 3 3" xfId="20715"/>
    <cellStyle name="Normal 240 4 4" xfId="20716"/>
    <cellStyle name="Normal 240 4 4 2" xfId="20717"/>
    <cellStyle name="Normal 240 4 4 2 2" xfId="20718"/>
    <cellStyle name="Normal 240 4 4 3" xfId="20719"/>
    <cellStyle name="Normal 240 4 5" xfId="20720"/>
    <cellStyle name="Normal 240 4 5 2" xfId="20721"/>
    <cellStyle name="Normal 240 4 5 2 2" xfId="20722"/>
    <cellStyle name="Normal 240 4 5 3" xfId="20723"/>
    <cellStyle name="Normal 240 4 6" xfId="20724"/>
    <cellStyle name="Normal 240 5" xfId="20725"/>
    <cellStyle name="Normal 240 5 2" xfId="20726"/>
    <cellStyle name="Normal 240 5 2 2" xfId="20727"/>
    <cellStyle name="Normal 240 5 3" xfId="20728"/>
    <cellStyle name="Normal 240 6" xfId="20729"/>
    <cellStyle name="Normal 240 6 2" xfId="20730"/>
    <cellStyle name="Normal 240 6 2 2" xfId="20731"/>
    <cellStyle name="Normal 240 6 3" xfId="20732"/>
    <cellStyle name="Normal 240 7" xfId="20733"/>
    <cellStyle name="Normal 240 7 2" xfId="20734"/>
    <cellStyle name="Normal 240 7 2 2" xfId="20735"/>
    <cellStyle name="Normal 240 7 3" xfId="20736"/>
    <cellStyle name="Normal 240 8" xfId="20737"/>
    <cellStyle name="Normal 241" xfId="20738"/>
    <cellStyle name="Normal 241 2" xfId="20739"/>
    <cellStyle name="Normal 241 2 2" xfId="20740"/>
    <cellStyle name="Normal 241 2 2 2" xfId="20741"/>
    <cellStyle name="Normal 241 2 2 2 2" xfId="20742"/>
    <cellStyle name="Normal 241 2 2 3" xfId="20743"/>
    <cellStyle name="Normal 241 2 2 3 2" xfId="20744"/>
    <cellStyle name="Normal 241 2 2 3 2 2" xfId="20745"/>
    <cellStyle name="Normal 241 2 2 3 3" xfId="20746"/>
    <cellStyle name="Normal 241 2 2 4" xfId="20747"/>
    <cellStyle name="Normal 241 2 2 4 2" xfId="20748"/>
    <cellStyle name="Normal 241 2 2 4 2 2" xfId="20749"/>
    <cellStyle name="Normal 241 2 2 4 3" xfId="20750"/>
    <cellStyle name="Normal 241 2 2 5" xfId="20751"/>
    <cellStyle name="Normal 241 2 3" xfId="20752"/>
    <cellStyle name="Normal 241 2 3 2" xfId="20753"/>
    <cellStyle name="Normal 241 2 3 2 2" xfId="20754"/>
    <cellStyle name="Normal 241 2 3 2 2 2" xfId="20755"/>
    <cellStyle name="Normal 241 2 3 2 3" xfId="20756"/>
    <cellStyle name="Normal 241 2 3 2 3 2" xfId="20757"/>
    <cellStyle name="Normal 241 2 3 2 3 2 2" xfId="20758"/>
    <cellStyle name="Normal 241 2 3 2 3 3" xfId="20759"/>
    <cellStyle name="Normal 241 2 3 2 4" xfId="20760"/>
    <cellStyle name="Normal 241 2 3 3" xfId="20761"/>
    <cellStyle name="Normal 241 2 3 3 2" xfId="20762"/>
    <cellStyle name="Normal 241 2 3 3 2 2" xfId="20763"/>
    <cellStyle name="Normal 241 2 3 3 3" xfId="20764"/>
    <cellStyle name="Normal 241 2 3 4" xfId="20765"/>
    <cellStyle name="Normal 241 2 3 4 2" xfId="20766"/>
    <cellStyle name="Normal 241 2 3 4 2 2" xfId="20767"/>
    <cellStyle name="Normal 241 2 3 4 3" xfId="20768"/>
    <cellStyle name="Normal 241 2 3 5" xfId="20769"/>
    <cellStyle name="Normal 241 2 3 5 2" xfId="20770"/>
    <cellStyle name="Normal 241 2 3 5 2 2" xfId="20771"/>
    <cellStyle name="Normal 241 2 3 5 3" xfId="20772"/>
    <cellStyle name="Normal 241 2 3 6" xfId="20773"/>
    <cellStyle name="Normal 241 2 4" xfId="20774"/>
    <cellStyle name="Normal 241 2 4 2" xfId="20775"/>
    <cellStyle name="Normal 241 2 4 2 2" xfId="20776"/>
    <cellStyle name="Normal 241 2 4 3" xfId="20777"/>
    <cellStyle name="Normal 241 2 5" xfId="20778"/>
    <cellStyle name="Normal 241 2 5 2" xfId="20779"/>
    <cellStyle name="Normal 241 2 5 2 2" xfId="20780"/>
    <cellStyle name="Normal 241 2 5 3" xfId="20781"/>
    <cellStyle name="Normal 241 2 6" xfId="20782"/>
    <cellStyle name="Normal 241 2 6 2" xfId="20783"/>
    <cellStyle name="Normal 241 2 6 2 2" xfId="20784"/>
    <cellStyle name="Normal 241 2 6 3" xfId="20785"/>
    <cellStyle name="Normal 241 2 7" xfId="20786"/>
    <cellStyle name="Normal 241 3" xfId="20787"/>
    <cellStyle name="Normal 241 3 2" xfId="20788"/>
    <cellStyle name="Normal 241 3 2 2" xfId="20789"/>
    <cellStyle name="Normal 241 3 3" xfId="20790"/>
    <cellStyle name="Normal 241 3 3 2" xfId="20791"/>
    <cellStyle name="Normal 241 3 3 2 2" xfId="20792"/>
    <cellStyle name="Normal 241 3 3 3" xfId="20793"/>
    <cellStyle name="Normal 241 3 4" xfId="20794"/>
    <cellStyle name="Normal 241 3 4 2" xfId="20795"/>
    <cellStyle name="Normal 241 3 4 2 2" xfId="20796"/>
    <cellStyle name="Normal 241 3 4 3" xfId="20797"/>
    <cellStyle name="Normal 241 3 5" xfId="20798"/>
    <cellStyle name="Normal 241 4" xfId="20799"/>
    <cellStyle name="Normal 241 4 2" xfId="20800"/>
    <cellStyle name="Normal 241 4 2 2" xfId="20801"/>
    <cellStyle name="Normal 241 4 2 2 2" xfId="20802"/>
    <cellStyle name="Normal 241 4 2 3" xfId="20803"/>
    <cellStyle name="Normal 241 4 2 3 2" xfId="20804"/>
    <cellStyle name="Normal 241 4 2 3 2 2" xfId="20805"/>
    <cellStyle name="Normal 241 4 2 3 3" xfId="20806"/>
    <cellStyle name="Normal 241 4 2 4" xfId="20807"/>
    <cellStyle name="Normal 241 4 3" xfId="20808"/>
    <cellStyle name="Normal 241 4 3 2" xfId="20809"/>
    <cellStyle name="Normal 241 4 3 2 2" xfId="20810"/>
    <cellStyle name="Normal 241 4 3 3" xfId="20811"/>
    <cellStyle name="Normal 241 4 4" xfId="20812"/>
    <cellStyle name="Normal 241 4 4 2" xfId="20813"/>
    <cellStyle name="Normal 241 4 4 2 2" xfId="20814"/>
    <cellStyle name="Normal 241 4 4 3" xfId="20815"/>
    <cellStyle name="Normal 241 4 5" xfId="20816"/>
    <cellStyle name="Normal 241 4 5 2" xfId="20817"/>
    <cellStyle name="Normal 241 4 5 2 2" xfId="20818"/>
    <cellStyle name="Normal 241 4 5 3" xfId="20819"/>
    <cellStyle name="Normal 241 4 6" xfId="20820"/>
    <cellStyle name="Normal 241 5" xfId="20821"/>
    <cellStyle name="Normal 241 5 2" xfId="20822"/>
    <cellStyle name="Normal 241 5 2 2" xfId="20823"/>
    <cellStyle name="Normal 241 5 3" xfId="20824"/>
    <cellStyle name="Normal 241 6" xfId="20825"/>
    <cellStyle name="Normal 241 6 2" xfId="20826"/>
    <cellStyle name="Normal 241 6 2 2" xfId="20827"/>
    <cellStyle name="Normal 241 6 3" xfId="20828"/>
    <cellStyle name="Normal 241 7" xfId="20829"/>
    <cellStyle name="Normal 241 7 2" xfId="20830"/>
    <cellStyle name="Normal 241 7 2 2" xfId="20831"/>
    <cellStyle name="Normal 241 7 3" xfId="20832"/>
    <cellStyle name="Normal 241 8" xfId="20833"/>
    <cellStyle name="Normal 242" xfId="20834"/>
    <cellStyle name="Normal 242 2" xfId="20835"/>
    <cellStyle name="Normal 242 2 2" xfId="20836"/>
    <cellStyle name="Normal 242 2 2 2" xfId="20837"/>
    <cellStyle name="Normal 242 2 2 2 2" xfId="20838"/>
    <cellStyle name="Normal 242 2 2 3" xfId="20839"/>
    <cellStyle name="Normal 242 2 2 3 2" xfId="20840"/>
    <cellStyle name="Normal 242 2 2 3 2 2" xfId="20841"/>
    <cellStyle name="Normal 242 2 2 3 3" xfId="20842"/>
    <cellStyle name="Normal 242 2 2 4" xfId="20843"/>
    <cellStyle name="Normal 242 2 2 4 2" xfId="20844"/>
    <cellStyle name="Normal 242 2 2 4 2 2" xfId="20845"/>
    <cellStyle name="Normal 242 2 2 4 3" xfId="20846"/>
    <cellStyle name="Normal 242 2 2 5" xfId="20847"/>
    <cellStyle name="Normal 242 2 3" xfId="20848"/>
    <cellStyle name="Normal 242 2 3 2" xfId="20849"/>
    <cellStyle name="Normal 242 2 3 2 2" xfId="20850"/>
    <cellStyle name="Normal 242 2 3 2 2 2" xfId="20851"/>
    <cellStyle name="Normal 242 2 3 2 3" xfId="20852"/>
    <cellStyle name="Normal 242 2 3 2 3 2" xfId="20853"/>
    <cellStyle name="Normal 242 2 3 2 3 2 2" xfId="20854"/>
    <cellStyle name="Normal 242 2 3 2 3 3" xfId="20855"/>
    <cellStyle name="Normal 242 2 3 2 4" xfId="20856"/>
    <cellStyle name="Normal 242 2 3 3" xfId="20857"/>
    <cellStyle name="Normal 242 2 3 3 2" xfId="20858"/>
    <cellStyle name="Normal 242 2 3 3 2 2" xfId="20859"/>
    <cellStyle name="Normal 242 2 3 3 3" xfId="20860"/>
    <cellStyle name="Normal 242 2 3 4" xfId="20861"/>
    <cellStyle name="Normal 242 2 3 4 2" xfId="20862"/>
    <cellStyle name="Normal 242 2 3 4 2 2" xfId="20863"/>
    <cellStyle name="Normal 242 2 3 4 3" xfId="20864"/>
    <cellStyle name="Normal 242 2 3 5" xfId="20865"/>
    <cellStyle name="Normal 242 2 3 5 2" xfId="20866"/>
    <cellStyle name="Normal 242 2 3 5 2 2" xfId="20867"/>
    <cellStyle name="Normal 242 2 3 5 3" xfId="20868"/>
    <cellStyle name="Normal 242 2 3 6" xfId="20869"/>
    <cellStyle name="Normal 242 2 4" xfId="20870"/>
    <cellStyle name="Normal 242 2 4 2" xfId="20871"/>
    <cellStyle name="Normal 242 2 4 2 2" xfId="20872"/>
    <cellStyle name="Normal 242 2 4 3" xfId="20873"/>
    <cellStyle name="Normal 242 2 5" xfId="20874"/>
    <cellStyle name="Normal 242 2 5 2" xfId="20875"/>
    <cellStyle name="Normal 242 2 5 2 2" xfId="20876"/>
    <cellStyle name="Normal 242 2 5 3" xfId="20877"/>
    <cellStyle name="Normal 242 2 6" xfId="20878"/>
    <cellStyle name="Normal 242 2 6 2" xfId="20879"/>
    <cellStyle name="Normal 242 2 6 2 2" xfId="20880"/>
    <cellStyle name="Normal 242 2 6 3" xfId="20881"/>
    <cellStyle name="Normal 242 2 7" xfId="20882"/>
    <cellStyle name="Normal 242 3" xfId="20883"/>
    <cellStyle name="Normal 242 3 2" xfId="20884"/>
    <cellStyle name="Normal 242 3 2 2" xfId="20885"/>
    <cellStyle name="Normal 242 3 3" xfId="20886"/>
    <cellStyle name="Normal 242 3 3 2" xfId="20887"/>
    <cellStyle name="Normal 242 3 3 2 2" xfId="20888"/>
    <cellStyle name="Normal 242 3 3 3" xfId="20889"/>
    <cellStyle name="Normal 242 3 4" xfId="20890"/>
    <cellStyle name="Normal 242 3 4 2" xfId="20891"/>
    <cellStyle name="Normal 242 3 4 2 2" xfId="20892"/>
    <cellStyle name="Normal 242 3 4 3" xfId="20893"/>
    <cellStyle name="Normal 242 3 5" xfId="20894"/>
    <cellStyle name="Normal 242 4" xfId="20895"/>
    <cellStyle name="Normal 242 4 2" xfId="20896"/>
    <cellStyle name="Normal 242 4 2 2" xfId="20897"/>
    <cellStyle name="Normal 242 4 2 2 2" xfId="20898"/>
    <cellStyle name="Normal 242 4 2 3" xfId="20899"/>
    <cellStyle name="Normal 242 4 2 3 2" xfId="20900"/>
    <cellStyle name="Normal 242 4 2 3 2 2" xfId="20901"/>
    <cellStyle name="Normal 242 4 2 3 3" xfId="20902"/>
    <cellStyle name="Normal 242 4 2 4" xfId="20903"/>
    <cellStyle name="Normal 242 4 3" xfId="20904"/>
    <cellStyle name="Normal 242 4 3 2" xfId="20905"/>
    <cellStyle name="Normal 242 4 3 2 2" xfId="20906"/>
    <cellStyle name="Normal 242 4 3 3" xfId="20907"/>
    <cellStyle name="Normal 242 4 4" xfId="20908"/>
    <cellStyle name="Normal 242 4 4 2" xfId="20909"/>
    <cellStyle name="Normal 242 4 4 2 2" xfId="20910"/>
    <cellStyle name="Normal 242 4 4 3" xfId="20911"/>
    <cellStyle name="Normal 242 4 5" xfId="20912"/>
    <cellStyle name="Normal 242 4 5 2" xfId="20913"/>
    <cellStyle name="Normal 242 4 5 2 2" xfId="20914"/>
    <cellStyle name="Normal 242 4 5 3" xfId="20915"/>
    <cellStyle name="Normal 242 4 6" xfId="20916"/>
    <cellStyle name="Normal 242 5" xfId="20917"/>
    <cellStyle name="Normal 242 5 2" xfId="20918"/>
    <cellStyle name="Normal 242 5 2 2" xfId="20919"/>
    <cellStyle name="Normal 242 5 3" xfId="20920"/>
    <cellStyle name="Normal 242 6" xfId="20921"/>
    <cellStyle name="Normal 242 6 2" xfId="20922"/>
    <cellStyle name="Normal 242 6 2 2" xfId="20923"/>
    <cellStyle name="Normal 242 6 3" xfId="20924"/>
    <cellStyle name="Normal 242 7" xfId="20925"/>
    <cellStyle name="Normal 242 7 2" xfId="20926"/>
    <cellStyle name="Normal 242 7 2 2" xfId="20927"/>
    <cellStyle name="Normal 242 7 3" xfId="20928"/>
    <cellStyle name="Normal 242 8" xfId="20929"/>
    <cellStyle name="Normal 243" xfId="20930"/>
    <cellStyle name="Normal 243 2" xfId="20931"/>
    <cellStyle name="Normal 243 2 2" xfId="20932"/>
    <cellStyle name="Normal 243 2 2 2" xfId="20933"/>
    <cellStyle name="Normal 243 2 2 2 2" xfId="20934"/>
    <cellStyle name="Normal 243 2 2 3" xfId="20935"/>
    <cellStyle name="Normal 243 2 2 3 2" xfId="20936"/>
    <cellStyle name="Normal 243 2 2 3 2 2" xfId="20937"/>
    <cellStyle name="Normal 243 2 2 3 3" xfId="20938"/>
    <cellStyle name="Normal 243 2 2 4" xfId="20939"/>
    <cellStyle name="Normal 243 2 2 4 2" xfId="20940"/>
    <cellStyle name="Normal 243 2 2 4 2 2" xfId="20941"/>
    <cellStyle name="Normal 243 2 2 4 3" xfId="20942"/>
    <cellStyle name="Normal 243 2 2 5" xfId="20943"/>
    <cellStyle name="Normal 243 2 3" xfId="20944"/>
    <cellStyle name="Normal 243 2 3 2" xfId="20945"/>
    <cellStyle name="Normal 243 2 3 2 2" xfId="20946"/>
    <cellStyle name="Normal 243 2 3 2 2 2" xfId="20947"/>
    <cellStyle name="Normal 243 2 3 2 3" xfId="20948"/>
    <cellStyle name="Normal 243 2 3 2 3 2" xfId="20949"/>
    <cellStyle name="Normal 243 2 3 2 3 2 2" xfId="20950"/>
    <cellStyle name="Normal 243 2 3 2 3 3" xfId="20951"/>
    <cellStyle name="Normal 243 2 3 2 4" xfId="20952"/>
    <cellStyle name="Normal 243 2 3 3" xfId="20953"/>
    <cellStyle name="Normal 243 2 3 3 2" xfId="20954"/>
    <cellStyle name="Normal 243 2 3 3 2 2" xfId="20955"/>
    <cellStyle name="Normal 243 2 3 3 3" xfId="20956"/>
    <cellStyle name="Normal 243 2 3 4" xfId="20957"/>
    <cellStyle name="Normal 243 2 3 4 2" xfId="20958"/>
    <cellStyle name="Normal 243 2 3 4 2 2" xfId="20959"/>
    <cellStyle name="Normal 243 2 3 4 3" xfId="20960"/>
    <cellStyle name="Normal 243 2 3 5" xfId="20961"/>
    <cellStyle name="Normal 243 2 3 5 2" xfId="20962"/>
    <cellStyle name="Normal 243 2 3 5 2 2" xfId="20963"/>
    <cellStyle name="Normal 243 2 3 5 3" xfId="20964"/>
    <cellStyle name="Normal 243 2 3 6" xfId="20965"/>
    <cellStyle name="Normal 243 2 4" xfId="20966"/>
    <cellStyle name="Normal 243 2 4 2" xfId="20967"/>
    <cellStyle name="Normal 243 2 4 2 2" xfId="20968"/>
    <cellStyle name="Normal 243 2 4 3" xfId="20969"/>
    <cellStyle name="Normal 243 2 5" xfId="20970"/>
    <cellStyle name="Normal 243 2 5 2" xfId="20971"/>
    <cellStyle name="Normal 243 2 5 2 2" xfId="20972"/>
    <cellStyle name="Normal 243 2 5 3" xfId="20973"/>
    <cellStyle name="Normal 243 2 6" xfId="20974"/>
    <cellStyle name="Normal 243 2 6 2" xfId="20975"/>
    <cellStyle name="Normal 243 2 6 2 2" xfId="20976"/>
    <cellStyle name="Normal 243 2 6 3" xfId="20977"/>
    <cellStyle name="Normal 243 2 7" xfId="20978"/>
    <cellStyle name="Normal 243 3" xfId="20979"/>
    <cellStyle name="Normal 243 3 2" xfId="20980"/>
    <cellStyle name="Normal 243 3 2 2" xfId="20981"/>
    <cellStyle name="Normal 243 3 3" xfId="20982"/>
    <cellStyle name="Normal 243 3 3 2" xfId="20983"/>
    <cellStyle name="Normal 243 3 3 2 2" xfId="20984"/>
    <cellStyle name="Normal 243 3 3 3" xfId="20985"/>
    <cellStyle name="Normal 243 3 4" xfId="20986"/>
    <cellStyle name="Normal 243 3 4 2" xfId="20987"/>
    <cellStyle name="Normal 243 3 4 2 2" xfId="20988"/>
    <cellStyle name="Normal 243 3 4 3" xfId="20989"/>
    <cellStyle name="Normal 243 3 5" xfId="20990"/>
    <cellStyle name="Normal 243 4" xfId="20991"/>
    <cellStyle name="Normal 243 4 2" xfId="20992"/>
    <cellStyle name="Normal 243 4 2 2" xfId="20993"/>
    <cellStyle name="Normal 243 4 2 2 2" xfId="20994"/>
    <cellStyle name="Normal 243 4 2 3" xfId="20995"/>
    <cellStyle name="Normal 243 4 2 3 2" xfId="20996"/>
    <cellStyle name="Normal 243 4 2 3 2 2" xfId="20997"/>
    <cellStyle name="Normal 243 4 2 3 3" xfId="20998"/>
    <cellStyle name="Normal 243 4 2 4" xfId="20999"/>
    <cellStyle name="Normal 243 4 3" xfId="21000"/>
    <cellStyle name="Normal 243 4 3 2" xfId="21001"/>
    <cellStyle name="Normal 243 4 3 2 2" xfId="21002"/>
    <cellStyle name="Normal 243 4 3 3" xfId="21003"/>
    <cellStyle name="Normal 243 4 4" xfId="21004"/>
    <cellStyle name="Normal 243 4 4 2" xfId="21005"/>
    <cellStyle name="Normal 243 4 4 2 2" xfId="21006"/>
    <cellStyle name="Normal 243 4 4 3" xfId="21007"/>
    <cellStyle name="Normal 243 4 5" xfId="21008"/>
    <cellStyle name="Normal 243 4 5 2" xfId="21009"/>
    <cellStyle name="Normal 243 4 5 2 2" xfId="21010"/>
    <cellStyle name="Normal 243 4 5 3" xfId="21011"/>
    <cellStyle name="Normal 243 4 6" xfId="21012"/>
    <cellStyle name="Normal 243 5" xfId="21013"/>
    <cellStyle name="Normal 243 5 2" xfId="21014"/>
    <cellStyle name="Normal 243 5 2 2" xfId="21015"/>
    <cellStyle name="Normal 243 5 3" xfId="21016"/>
    <cellStyle name="Normal 243 6" xfId="21017"/>
    <cellStyle name="Normal 243 6 2" xfId="21018"/>
    <cellStyle name="Normal 243 6 2 2" xfId="21019"/>
    <cellStyle name="Normal 243 6 3" xfId="21020"/>
    <cellStyle name="Normal 243 7" xfId="21021"/>
    <cellStyle name="Normal 243 7 2" xfId="21022"/>
    <cellStyle name="Normal 243 7 2 2" xfId="21023"/>
    <cellStyle name="Normal 243 7 3" xfId="21024"/>
    <cellStyle name="Normal 243 8" xfId="21025"/>
    <cellStyle name="Normal 244" xfId="21026"/>
    <cellStyle name="Normal 244 2" xfId="21027"/>
    <cellStyle name="Normal 244 2 2" xfId="21028"/>
    <cellStyle name="Normal 244 2 2 2" xfId="21029"/>
    <cellStyle name="Normal 244 2 2 2 2" xfId="21030"/>
    <cellStyle name="Normal 244 2 2 3" xfId="21031"/>
    <cellStyle name="Normal 244 2 2 3 2" xfId="21032"/>
    <cellStyle name="Normal 244 2 2 3 2 2" xfId="21033"/>
    <cellStyle name="Normal 244 2 2 3 3" xfId="21034"/>
    <cellStyle name="Normal 244 2 2 4" xfId="21035"/>
    <cellStyle name="Normal 244 2 2 4 2" xfId="21036"/>
    <cellStyle name="Normal 244 2 2 4 2 2" xfId="21037"/>
    <cellStyle name="Normal 244 2 2 4 3" xfId="21038"/>
    <cellStyle name="Normal 244 2 2 5" xfId="21039"/>
    <cellStyle name="Normal 244 2 3" xfId="21040"/>
    <cellStyle name="Normal 244 2 3 2" xfId="21041"/>
    <cellStyle name="Normal 244 2 3 2 2" xfId="21042"/>
    <cellStyle name="Normal 244 2 3 2 2 2" xfId="21043"/>
    <cellStyle name="Normal 244 2 3 2 3" xfId="21044"/>
    <cellStyle name="Normal 244 2 3 2 3 2" xfId="21045"/>
    <cellStyle name="Normal 244 2 3 2 3 2 2" xfId="21046"/>
    <cellStyle name="Normal 244 2 3 2 3 3" xfId="21047"/>
    <cellStyle name="Normal 244 2 3 2 4" xfId="21048"/>
    <cellStyle name="Normal 244 2 3 3" xfId="21049"/>
    <cellStyle name="Normal 244 2 3 3 2" xfId="21050"/>
    <cellStyle name="Normal 244 2 3 3 2 2" xfId="21051"/>
    <cellStyle name="Normal 244 2 3 3 3" xfId="21052"/>
    <cellStyle name="Normal 244 2 3 4" xfId="21053"/>
    <cellStyle name="Normal 244 2 3 4 2" xfId="21054"/>
    <cellStyle name="Normal 244 2 3 4 2 2" xfId="21055"/>
    <cellStyle name="Normal 244 2 3 4 3" xfId="21056"/>
    <cellStyle name="Normal 244 2 3 5" xfId="21057"/>
    <cellStyle name="Normal 244 2 3 5 2" xfId="21058"/>
    <cellStyle name="Normal 244 2 3 5 2 2" xfId="21059"/>
    <cellStyle name="Normal 244 2 3 5 3" xfId="21060"/>
    <cellStyle name="Normal 244 2 3 6" xfId="21061"/>
    <cellStyle name="Normal 244 2 4" xfId="21062"/>
    <cellStyle name="Normal 244 2 4 2" xfId="21063"/>
    <cellStyle name="Normal 244 2 4 2 2" xfId="21064"/>
    <cellStyle name="Normal 244 2 4 3" xfId="21065"/>
    <cellStyle name="Normal 244 2 5" xfId="21066"/>
    <cellStyle name="Normal 244 2 5 2" xfId="21067"/>
    <cellStyle name="Normal 244 2 5 2 2" xfId="21068"/>
    <cellStyle name="Normal 244 2 5 3" xfId="21069"/>
    <cellStyle name="Normal 244 2 6" xfId="21070"/>
    <cellStyle name="Normal 244 2 6 2" xfId="21071"/>
    <cellStyle name="Normal 244 2 6 2 2" xfId="21072"/>
    <cellStyle name="Normal 244 2 6 3" xfId="21073"/>
    <cellStyle name="Normal 244 2 7" xfId="21074"/>
    <cellStyle name="Normal 244 3" xfId="21075"/>
    <cellStyle name="Normal 244 3 2" xfId="21076"/>
    <cellStyle name="Normal 244 3 2 2" xfId="21077"/>
    <cellStyle name="Normal 244 3 3" xfId="21078"/>
    <cellStyle name="Normal 244 3 3 2" xfId="21079"/>
    <cellStyle name="Normal 244 3 3 2 2" xfId="21080"/>
    <cellStyle name="Normal 244 3 3 3" xfId="21081"/>
    <cellStyle name="Normal 244 3 4" xfId="21082"/>
    <cellStyle name="Normal 244 3 4 2" xfId="21083"/>
    <cellStyle name="Normal 244 3 4 2 2" xfId="21084"/>
    <cellStyle name="Normal 244 3 4 3" xfId="21085"/>
    <cellStyle name="Normal 244 3 5" xfId="21086"/>
    <cellStyle name="Normal 244 4" xfId="21087"/>
    <cellStyle name="Normal 244 4 2" xfId="21088"/>
    <cellStyle name="Normal 244 4 2 2" xfId="21089"/>
    <cellStyle name="Normal 244 4 2 2 2" xfId="21090"/>
    <cellStyle name="Normal 244 4 2 3" xfId="21091"/>
    <cellStyle name="Normal 244 4 2 3 2" xfId="21092"/>
    <cellStyle name="Normal 244 4 2 3 2 2" xfId="21093"/>
    <cellStyle name="Normal 244 4 2 3 3" xfId="21094"/>
    <cellStyle name="Normal 244 4 2 4" xfId="21095"/>
    <cellStyle name="Normal 244 4 3" xfId="21096"/>
    <cellStyle name="Normal 244 4 3 2" xfId="21097"/>
    <cellStyle name="Normal 244 4 3 2 2" xfId="21098"/>
    <cellStyle name="Normal 244 4 3 3" xfId="21099"/>
    <cellStyle name="Normal 244 4 4" xfId="21100"/>
    <cellStyle name="Normal 244 4 4 2" xfId="21101"/>
    <cellStyle name="Normal 244 4 4 2 2" xfId="21102"/>
    <cellStyle name="Normal 244 4 4 3" xfId="21103"/>
    <cellStyle name="Normal 244 4 5" xfId="21104"/>
    <cellStyle name="Normal 244 4 5 2" xfId="21105"/>
    <cellStyle name="Normal 244 4 5 2 2" xfId="21106"/>
    <cellStyle name="Normal 244 4 5 3" xfId="21107"/>
    <cellStyle name="Normal 244 4 6" xfId="21108"/>
    <cellStyle name="Normal 244 5" xfId="21109"/>
    <cellStyle name="Normal 244 5 2" xfId="21110"/>
    <cellStyle name="Normal 244 5 2 2" xfId="21111"/>
    <cellStyle name="Normal 244 5 3" xfId="21112"/>
    <cellStyle name="Normal 244 6" xfId="21113"/>
    <cellStyle name="Normal 244 6 2" xfId="21114"/>
    <cellStyle name="Normal 244 6 2 2" xfId="21115"/>
    <cellStyle name="Normal 244 6 3" xfId="21116"/>
    <cellStyle name="Normal 244 7" xfId="21117"/>
    <cellStyle name="Normal 244 7 2" xfId="21118"/>
    <cellStyle name="Normal 244 7 2 2" xfId="21119"/>
    <cellStyle name="Normal 244 7 3" xfId="21120"/>
    <cellStyle name="Normal 244 8" xfId="21121"/>
    <cellStyle name="Normal 245" xfId="21122"/>
    <cellStyle name="Normal 245 2" xfId="21123"/>
    <cellStyle name="Normal 245 2 2" xfId="21124"/>
    <cellStyle name="Normal 245 2 2 2" xfId="21125"/>
    <cellStyle name="Normal 245 2 2 2 2" xfId="21126"/>
    <cellStyle name="Normal 245 2 2 3" xfId="21127"/>
    <cellStyle name="Normal 245 2 2 3 2" xfId="21128"/>
    <cellStyle name="Normal 245 2 2 3 2 2" xfId="21129"/>
    <cellStyle name="Normal 245 2 2 3 3" xfId="21130"/>
    <cellStyle name="Normal 245 2 2 4" xfId="21131"/>
    <cellStyle name="Normal 245 2 2 4 2" xfId="21132"/>
    <cellStyle name="Normal 245 2 2 4 2 2" xfId="21133"/>
    <cellStyle name="Normal 245 2 2 4 3" xfId="21134"/>
    <cellStyle name="Normal 245 2 2 5" xfId="21135"/>
    <cellStyle name="Normal 245 2 3" xfId="21136"/>
    <cellStyle name="Normal 245 2 3 2" xfId="21137"/>
    <cellStyle name="Normal 245 2 3 2 2" xfId="21138"/>
    <cellStyle name="Normal 245 2 3 2 2 2" xfId="21139"/>
    <cellStyle name="Normal 245 2 3 2 3" xfId="21140"/>
    <cellStyle name="Normal 245 2 3 2 3 2" xfId="21141"/>
    <cellStyle name="Normal 245 2 3 2 3 2 2" xfId="21142"/>
    <cellStyle name="Normal 245 2 3 2 3 3" xfId="21143"/>
    <cellStyle name="Normal 245 2 3 2 4" xfId="21144"/>
    <cellStyle name="Normal 245 2 3 3" xfId="21145"/>
    <cellStyle name="Normal 245 2 3 3 2" xfId="21146"/>
    <cellStyle name="Normal 245 2 3 3 2 2" xfId="21147"/>
    <cellStyle name="Normal 245 2 3 3 3" xfId="21148"/>
    <cellStyle name="Normal 245 2 3 4" xfId="21149"/>
    <cellStyle name="Normal 245 2 3 4 2" xfId="21150"/>
    <cellStyle name="Normal 245 2 3 4 2 2" xfId="21151"/>
    <cellStyle name="Normal 245 2 3 4 3" xfId="21152"/>
    <cellStyle name="Normal 245 2 3 5" xfId="21153"/>
    <cellStyle name="Normal 245 2 3 5 2" xfId="21154"/>
    <cellStyle name="Normal 245 2 3 5 2 2" xfId="21155"/>
    <cellStyle name="Normal 245 2 3 5 3" xfId="21156"/>
    <cellStyle name="Normal 245 2 3 6" xfId="21157"/>
    <cellStyle name="Normal 245 2 4" xfId="21158"/>
    <cellStyle name="Normal 245 2 4 2" xfId="21159"/>
    <cellStyle name="Normal 245 2 4 2 2" xfId="21160"/>
    <cellStyle name="Normal 245 2 4 3" xfId="21161"/>
    <cellStyle name="Normal 245 2 5" xfId="21162"/>
    <cellStyle name="Normal 245 2 5 2" xfId="21163"/>
    <cellStyle name="Normal 245 2 5 2 2" xfId="21164"/>
    <cellStyle name="Normal 245 2 5 3" xfId="21165"/>
    <cellStyle name="Normal 245 2 6" xfId="21166"/>
    <cellStyle name="Normal 245 2 6 2" xfId="21167"/>
    <cellStyle name="Normal 245 2 6 2 2" xfId="21168"/>
    <cellStyle name="Normal 245 2 6 3" xfId="21169"/>
    <cellStyle name="Normal 245 2 7" xfId="21170"/>
    <cellStyle name="Normal 245 3" xfId="21171"/>
    <cellStyle name="Normal 245 3 2" xfId="21172"/>
    <cellStyle name="Normal 245 3 2 2" xfId="21173"/>
    <cellStyle name="Normal 245 3 3" xfId="21174"/>
    <cellStyle name="Normal 245 3 3 2" xfId="21175"/>
    <cellStyle name="Normal 245 3 3 2 2" xfId="21176"/>
    <cellStyle name="Normal 245 3 3 3" xfId="21177"/>
    <cellStyle name="Normal 245 3 4" xfId="21178"/>
    <cellStyle name="Normal 245 3 4 2" xfId="21179"/>
    <cellStyle name="Normal 245 3 4 2 2" xfId="21180"/>
    <cellStyle name="Normal 245 3 4 3" xfId="21181"/>
    <cellStyle name="Normal 245 3 5" xfId="21182"/>
    <cellStyle name="Normal 245 4" xfId="21183"/>
    <cellStyle name="Normal 245 4 2" xfId="21184"/>
    <cellStyle name="Normal 245 4 2 2" xfId="21185"/>
    <cellStyle name="Normal 245 4 2 2 2" xfId="21186"/>
    <cellStyle name="Normal 245 4 2 3" xfId="21187"/>
    <cellStyle name="Normal 245 4 2 3 2" xfId="21188"/>
    <cellStyle name="Normal 245 4 2 3 2 2" xfId="21189"/>
    <cellStyle name="Normal 245 4 2 3 3" xfId="21190"/>
    <cellStyle name="Normal 245 4 2 4" xfId="21191"/>
    <cellStyle name="Normal 245 4 3" xfId="21192"/>
    <cellStyle name="Normal 245 4 3 2" xfId="21193"/>
    <cellStyle name="Normal 245 4 3 2 2" xfId="21194"/>
    <cellStyle name="Normal 245 4 3 3" xfId="21195"/>
    <cellStyle name="Normal 245 4 4" xfId="21196"/>
    <cellStyle name="Normal 245 4 4 2" xfId="21197"/>
    <cellStyle name="Normal 245 4 4 2 2" xfId="21198"/>
    <cellStyle name="Normal 245 4 4 3" xfId="21199"/>
    <cellStyle name="Normal 245 4 5" xfId="21200"/>
    <cellStyle name="Normal 245 4 5 2" xfId="21201"/>
    <cellStyle name="Normal 245 4 5 2 2" xfId="21202"/>
    <cellStyle name="Normal 245 4 5 3" xfId="21203"/>
    <cellStyle name="Normal 245 4 6" xfId="21204"/>
    <cellStyle name="Normal 245 5" xfId="21205"/>
    <cellStyle name="Normal 245 5 2" xfId="21206"/>
    <cellStyle name="Normal 245 5 2 2" xfId="21207"/>
    <cellStyle name="Normal 245 5 3" xfId="21208"/>
    <cellStyle name="Normal 245 6" xfId="21209"/>
    <cellStyle name="Normal 245 6 2" xfId="21210"/>
    <cellStyle name="Normal 245 6 2 2" xfId="21211"/>
    <cellStyle name="Normal 245 6 3" xfId="21212"/>
    <cellStyle name="Normal 245 7" xfId="21213"/>
    <cellStyle name="Normal 245 7 2" xfId="21214"/>
    <cellStyle name="Normal 245 7 2 2" xfId="21215"/>
    <cellStyle name="Normal 245 7 3" xfId="21216"/>
    <cellStyle name="Normal 245 8" xfId="21217"/>
    <cellStyle name="Normal 246" xfId="21218"/>
    <cellStyle name="Normal 246 2" xfId="21219"/>
    <cellStyle name="Normal 246 2 2" xfId="21220"/>
    <cellStyle name="Normal 246 2 2 2" xfId="21221"/>
    <cellStyle name="Normal 246 2 2 2 2" xfId="21222"/>
    <cellStyle name="Normal 246 2 2 3" xfId="21223"/>
    <cellStyle name="Normal 246 2 2 3 2" xfId="21224"/>
    <cellStyle name="Normal 246 2 2 3 2 2" xfId="21225"/>
    <cellStyle name="Normal 246 2 2 3 3" xfId="21226"/>
    <cellStyle name="Normal 246 2 2 4" xfId="21227"/>
    <cellStyle name="Normal 246 2 2 4 2" xfId="21228"/>
    <cellStyle name="Normal 246 2 2 4 2 2" xfId="21229"/>
    <cellStyle name="Normal 246 2 2 4 3" xfId="21230"/>
    <cellStyle name="Normal 246 2 2 5" xfId="21231"/>
    <cellStyle name="Normal 246 2 3" xfId="21232"/>
    <cellStyle name="Normal 246 2 3 2" xfId="21233"/>
    <cellStyle name="Normal 246 2 3 2 2" xfId="21234"/>
    <cellStyle name="Normal 246 2 3 2 2 2" xfId="21235"/>
    <cellStyle name="Normal 246 2 3 2 3" xfId="21236"/>
    <cellStyle name="Normal 246 2 3 2 3 2" xfId="21237"/>
    <cellStyle name="Normal 246 2 3 2 3 2 2" xfId="21238"/>
    <cellStyle name="Normal 246 2 3 2 3 3" xfId="21239"/>
    <cellStyle name="Normal 246 2 3 2 4" xfId="21240"/>
    <cellStyle name="Normal 246 2 3 3" xfId="21241"/>
    <cellStyle name="Normal 246 2 3 3 2" xfId="21242"/>
    <cellStyle name="Normal 246 2 3 3 2 2" xfId="21243"/>
    <cellStyle name="Normal 246 2 3 3 3" xfId="21244"/>
    <cellStyle name="Normal 246 2 3 4" xfId="21245"/>
    <cellStyle name="Normal 246 2 3 4 2" xfId="21246"/>
    <cellStyle name="Normal 246 2 3 4 2 2" xfId="21247"/>
    <cellStyle name="Normal 246 2 3 4 3" xfId="21248"/>
    <cellStyle name="Normal 246 2 3 5" xfId="21249"/>
    <cellStyle name="Normal 246 2 3 5 2" xfId="21250"/>
    <cellStyle name="Normal 246 2 3 5 2 2" xfId="21251"/>
    <cellStyle name="Normal 246 2 3 5 3" xfId="21252"/>
    <cellStyle name="Normal 246 2 3 6" xfId="21253"/>
    <cellStyle name="Normal 246 2 4" xfId="21254"/>
    <cellStyle name="Normal 246 2 4 2" xfId="21255"/>
    <cellStyle name="Normal 246 2 4 2 2" xfId="21256"/>
    <cellStyle name="Normal 246 2 4 3" xfId="21257"/>
    <cellStyle name="Normal 246 2 5" xfId="21258"/>
    <cellStyle name="Normal 246 2 5 2" xfId="21259"/>
    <cellStyle name="Normal 246 2 5 2 2" xfId="21260"/>
    <cellStyle name="Normal 246 2 5 3" xfId="21261"/>
    <cellStyle name="Normal 246 2 6" xfId="21262"/>
    <cellStyle name="Normal 246 2 6 2" xfId="21263"/>
    <cellStyle name="Normal 246 2 6 2 2" xfId="21264"/>
    <cellStyle name="Normal 246 2 6 3" xfId="21265"/>
    <cellStyle name="Normal 246 2 7" xfId="21266"/>
    <cellStyle name="Normal 246 3" xfId="21267"/>
    <cellStyle name="Normal 246 3 2" xfId="21268"/>
    <cellStyle name="Normal 246 3 2 2" xfId="21269"/>
    <cellStyle name="Normal 246 3 3" xfId="21270"/>
    <cellStyle name="Normal 246 3 3 2" xfId="21271"/>
    <cellStyle name="Normal 246 3 3 2 2" xfId="21272"/>
    <cellStyle name="Normal 246 3 3 3" xfId="21273"/>
    <cellStyle name="Normal 246 3 4" xfId="21274"/>
    <cellStyle name="Normal 246 3 4 2" xfId="21275"/>
    <cellStyle name="Normal 246 3 4 2 2" xfId="21276"/>
    <cellStyle name="Normal 246 3 4 3" xfId="21277"/>
    <cellStyle name="Normal 246 3 5" xfId="21278"/>
    <cellStyle name="Normal 246 4" xfId="21279"/>
    <cellStyle name="Normal 246 4 2" xfId="21280"/>
    <cellStyle name="Normal 246 4 2 2" xfId="21281"/>
    <cellStyle name="Normal 246 4 2 2 2" xfId="21282"/>
    <cellStyle name="Normal 246 4 2 3" xfId="21283"/>
    <cellStyle name="Normal 246 4 2 3 2" xfId="21284"/>
    <cellStyle name="Normal 246 4 2 3 2 2" xfId="21285"/>
    <cellStyle name="Normal 246 4 2 3 3" xfId="21286"/>
    <cellStyle name="Normal 246 4 2 4" xfId="21287"/>
    <cellStyle name="Normal 246 4 3" xfId="21288"/>
    <cellStyle name="Normal 246 4 3 2" xfId="21289"/>
    <cellStyle name="Normal 246 4 3 2 2" xfId="21290"/>
    <cellStyle name="Normal 246 4 3 3" xfId="21291"/>
    <cellStyle name="Normal 246 4 4" xfId="21292"/>
    <cellStyle name="Normal 246 4 4 2" xfId="21293"/>
    <cellStyle name="Normal 246 4 4 2 2" xfId="21294"/>
    <cellStyle name="Normal 246 4 4 3" xfId="21295"/>
    <cellStyle name="Normal 246 4 5" xfId="21296"/>
    <cellStyle name="Normal 246 4 5 2" xfId="21297"/>
    <cellStyle name="Normal 246 4 5 2 2" xfId="21298"/>
    <cellStyle name="Normal 246 4 5 3" xfId="21299"/>
    <cellStyle name="Normal 246 4 6" xfId="21300"/>
    <cellStyle name="Normal 246 5" xfId="21301"/>
    <cellStyle name="Normal 246 5 2" xfId="21302"/>
    <cellStyle name="Normal 246 5 2 2" xfId="21303"/>
    <cellStyle name="Normal 246 5 3" xfId="21304"/>
    <cellStyle name="Normal 246 6" xfId="21305"/>
    <cellStyle name="Normal 246 6 2" xfId="21306"/>
    <cellStyle name="Normal 246 6 2 2" xfId="21307"/>
    <cellStyle name="Normal 246 6 3" xfId="21308"/>
    <cellStyle name="Normal 246 7" xfId="21309"/>
    <cellStyle name="Normal 246 7 2" xfId="21310"/>
    <cellStyle name="Normal 246 7 2 2" xfId="21311"/>
    <cellStyle name="Normal 246 7 3" xfId="21312"/>
    <cellStyle name="Normal 246 8" xfId="21313"/>
    <cellStyle name="Normal 247" xfId="21314"/>
    <cellStyle name="Normal 247 2" xfId="21315"/>
    <cellStyle name="Normal 247 2 2" xfId="21316"/>
    <cellStyle name="Normal 247 2 2 2" xfId="21317"/>
    <cellStyle name="Normal 247 2 2 2 2" xfId="21318"/>
    <cellStyle name="Normal 247 2 2 3" xfId="21319"/>
    <cellStyle name="Normal 247 2 2 3 2" xfId="21320"/>
    <cellStyle name="Normal 247 2 2 3 2 2" xfId="21321"/>
    <cellStyle name="Normal 247 2 2 3 3" xfId="21322"/>
    <cellStyle name="Normal 247 2 2 4" xfId="21323"/>
    <cellStyle name="Normal 247 2 2 4 2" xfId="21324"/>
    <cellStyle name="Normal 247 2 2 4 2 2" xfId="21325"/>
    <cellStyle name="Normal 247 2 2 4 3" xfId="21326"/>
    <cellStyle name="Normal 247 2 2 5" xfId="21327"/>
    <cellStyle name="Normal 247 2 3" xfId="21328"/>
    <cellStyle name="Normal 247 2 3 2" xfId="21329"/>
    <cellStyle name="Normal 247 2 3 2 2" xfId="21330"/>
    <cellStyle name="Normal 247 2 3 2 2 2" xfId="21331"/>
    <cellStyle name="Normal 247 2 3 2 3" xfId="21332"/>
    <cellStyle name="Normal 247 2 3 2 3 2" xfId="21333"/>
    <cellStyle name="Normal 247 2 3 2 3 2 2" xfId="21334"/>
    <cellStyle name="Normal 247 2 3 2 3 3" xfId="21335"/>
    <cellStyle name="Normal 247 2 3 2 4" xfId="21336"/>
    <cellStyle name="Normal 247 2 3 3" xfId="21337"/>
    <cellStyle name="Normal 247 2 3 3 2" xfId="21338"/>
    <cellStyle name="Normal 247 2 3 3 2 2" xfId="21339"/>
    <cellStyle name="Normal 247 2 3 3 3" xfId="21340"/>
    <cellStyle name="Normal 247 2 3 4" xfId="21341"/>
    <cellStyle name="Normal 247 2 3 4 2" xfId="21342"/>
    <cellStyle name="Normal 247 2 3 4 2 2" xfId="21343"/>
    <cellStyle name="Normal 247 2 3 4 3" xfId="21344"/>
    <cellStyle name="Normal 247 2 3 5" xfId="21345"/>
    <cellStyle name="Normal 247 2 3 5 2" xfId="21346"/>
    <cellStyle name="Normal 247 2 3 5 2 2" xfId="21347"/>
    <cellStyle name="Normal 247 2 3 5 3" xfId="21348"/>
    <cellStyle name="Normal 247 2 3 6" xfId="21349"/>
    <cellStyle name="Normal 247 2 4" xfId="21350"/>
    <cellStyle name="Normal 247 2 4 2" xfId="21351"/>
    <cellStyle name="Normal 247 2 4 2 2" xfId="21352"/>
    <cellStyle name="Normal 247 2 4 3" xfId="21353"/>
    <cellStyle name="Normal 247 2 5" xfId="21354"/>
    <cellStyle name="Normal 247 2 5 2" xfId="21355"/>
    <cellStyle name="Normal 247 2 5 2 2" xfId="21356"/>
    <cellStyle name="Normal 247 2 5 3" xfId="21357"/>
    <cellStyle name="Normal 247 2 6" xfId="21358"/>
    <cellStyle name="Normal 247 2 6 2" xfId="21359"/>
    <cellStyle name="Normal 247 2 6 2 2" xfId="21360"/>
    <cellStyle name="Normal 247 2 6 3" xfId="21361"/>
    <cellStyle name="Normal 247 2 7" xfId="21362"/>
    <cellStyle name="Normal 247 3" xfId="21363"/>
    <cellStyle name="Normal 247 3 2" xfId="21364"/>
    <cellStyle name="Normal 247 3 2 2" xfId="21365"/>
    <cellStyle name="Normal 247 3 3" xfId="21366"/>
    <cellStyle name="Normal 247 3 3 2" xfId="21367"/>
    <cellStyle name="Normal 247 3 3 2 2" xfId="21368"/>
    <cellStyle name="Normal 247 3 3 3" xfId="21369"/>
    <cellStyle name="Normal 247 3 4" xfId="21370"/>
    <cellStyle name="Normal 247 3 4 2" xfId="21371"/>
    <cellStyle name="Normal 247 3 4 2 2" xfId="21372"/>
    <cellStyle name="Normal 247 3 4 3" xfId="21373"/>
    <cellStyle name="Normal 247 3 5" xfId="21374"/>
    <cellStyle name="Normal 247 4" xfId="21375"/>
    <cellStyle name="Normal 247 4 2" xfId="21376"/>
    <cellStyle name="Normal 247 4 2 2" xfId="21377"/>
    <cellStyle name="Normal 247 4 2 2 2" xfId="21378"/>
    <cellStyle name="Normal 247 4 2 3" xfId="21379"/>
    <cellStyle name="Normal 247 4 2 3 2" xfId="21380"/>
    <cellStyle name="Normal 247 4 2 3 2 2" xfId="21381"/>
    <cellStyle name="Normal 247 4 2 3 3" xfId="21382"/>
    <cellStyle name="Normal 247 4 2 4" xfId="21383"/>
    <cellStyle name="Normal 247 4 3" xfId="21384"/>
    <cellStyle name="Normal 247 4 3 2" xfId="21385"/>
    <cellStyle name="Normal 247 4 3 2 2" xfId="21386"/>
    <cellStyle name="Normal 247 4 3 3" xfId="21387"/>
    <cellStyle name="Normal 247 4 4" xfId="21388"/>
    <cellStyle name="Normal 247 4 4 2" xfId="21389"/>
    <cellStyle name="Normal 247 4 4 2 2" xfId="21390"/>
    <cellStyle name="Normal 247 4 4 3" xfId="21391"/>
    <cellStyle name="Normal 247 4 5" xfId="21392"/>
    <cellStyle name="Normal 247 4 5 2" xfId="21393"/>
    <cellStyle name="Normal 247 4 5 2 2" xfId="21394"/>
    <cellStyle name="Normal 247 4 5 3" xfId="21395"/>
    <cellStyle name="Normal 247 4 6" xfId="21396"/>
    <cellStyle name="Normal 247 5" xfId="21397"/>
    <cellStyle name="Normal 247 5 2" xfId="21398"/>
    <cellStyle name="Normal 247 5 2 2" xfId="21399"/>
    <cellStyle name="Normal 247 5 3" xfId="21400"/>
    <cellStyle name="Normal 247 6" xfId="21401"/>
    <cellStyle name="Normal 247 6 2" xfId="21402"/>
    <cellStyle name="Normal 247 6 2 2" xfId="21403"/>
    <cellStyle name="Normal 247 6 3" xfId="21404"/>
    <cellStyle name="Normal 247 7" xfId="21405"/>
    <cellStyle name="Normal 247 7 2" xfId="21406"/>
    <cellStyle name="Normal 247 7 2 2" xfId="21407"/>
    <cellStyle name="Normal 247 7 3" xfId="21408"/>
    <cellStyle name="Normal 247 8" xfId="21409"/>
    <cellStyle name="Normal 248" xfId="21410"/>
    <cellStyle name="Normal 248 2" xfId="21411"/>
    <cellStyle name="Normal 248 2 2" xfId="21412"/>
    <cellStyle name="Normal 248 2 2 2" xfId="21413"/>
    <cellStyle name="Normal 248 2 2 2 2" xfId="21414"/>
    <cellStyle name="Normal 248 2 2 3" xfId="21415"/>
    <cellStyle name="Normal 248 2 2 3 2" xfId="21416"/>
    <cellStyle name="Normal 248 2 2 3 2 2" xfId="21417"/>
    <cellStyle name="Normal 248 2 2 3 3" xfId="21418"/>
    <cellStyle name="Normal 248 2 2 4" xfId="21419"/>
    <cellStyle name="Normal 248 2 2 4 2" xfId="21420"/>
    <cellStyle name="Normal 248 2 2 4 2 2" xfId="21421"/>
    <cellStyle name="Normal 248 2 2 4 3" xfId="21422"/>
    <cellStyle name="Normal 248 2 2 5" xfId="21423"/>
    <cellStyle name="Normal 248 2 3" xfId="21424"/>
    <cellStyle name="Normal 248 2 3 2" xfId="21425"/>
    <cellStyle name="Normal 248 2 3 2 2" xfId="21426"/>
    <cellStyle name="Normal 248 2 3 2 2 2" xfId="21427"/>
    <cellStyle name="Normal 248 2 3 2 3" xfId="21428"/>
    <cellStyle name="Normal 248 2 3 2 3 2" xfId="21429"/>
    <cellStyle name="Normal 248 2 3 2 3 2 2" xfId="21430"/>
    <cellStyle name="Normal 248 2 3 2 3 3" xfId="21431"/>
    <cellStyle name="Normal 248 2 3 2 4" xfId="21432"/>
    <cellStyle name="Normal 248 2 3 3" xfId="21433"/>
    <cellStyle name="Normal 248 2 3 3 2" xfId="21434"/>
    <cellStyle name="Normal 248 2 3 3 2 2" xfId="21435"/>
    <cellStyle name="Normal 248 2 3 3 3" xfId="21436"/>
    <cellStyle name="Normal 248 2 3 4" xfId="21437"/>
    <cellStyle name="Normal 248 2 3 4 2" xfId="21438"/>
    <cellStyle name="Normal 248 2 3 4 2 2" xfId="21439"/>
    <cellStyle name="Normal 248 2 3 4 3" xfId="21440"/>
    <cellStyle name="Normal 248 2 3 5" xfId="21441"/>
    <cellStyle name="Normal 248 2 3 5 2" xfId="21442"/>
    <cellStyle name="Normal 248 2 3 5 2 2" xfId="21443"/>
    <cellStyle name="Normal 248 2 3 5 3" xfId="21444"/>
    <cellStyle name="Normal 248 2 3 6" xfId="21445"/>
    <cellStyle name="Normal 248 2 4" xfId="21446"/>
    <cellStyle name="Normal 248 2 4 2" xfId="21447"/>
    <cellStyle name="Normal 248 2 4 2 2" xfId="21448"/>
    <cellStyle name="Normal 248 2 4 3" xfId="21449"/>
    <cellStyle name="Normal 248 2 5" xfId="21450"/>
    <cellStyle name="Normal 248 2 5 2" xfId="21451"/>
    <cellStyle name="Normal 248 2 5 2 2" xfId="21452"/>
    <cellStyle name="Normal 248 2 5 3" xfId="21453"/>
    <cellStyle name="Normal 248 2 6" xfId="21454"/>
    <cellStyle name="Normal 248 2 6 2" xfId="21455"/>
    <cellStyle name="Normal 248 2 6 2 2" xfId="21456"/>
    <cellStyle name="Normal 248 2 6 3" xfId="21457"/>
    <cellStyle name="Normal 248 2 7" xfId="21458"/>
    <cellStyle name="Normal 248 3" xfId="21459"/>
    <cellStyle name="Normal 248 3 2" xfId="21460"/>
    <cellStyle name="Normal 248 3 2 2" xfId="21461"/>
    <cellStyle name="Normal 248 3 3" xfId="21462"/>
    <cellStyle name="Normal 248 3 3 2" xfId="21463"/>
    <cellStyle name="Normal 248 3 3 2 2" xfId="21464"/>
    <cellStyle name="Normal 248 3 3 3" xfId="21465"/>
    <cellStyle name="Normal 248 3 4" xfId="21466"/>
    <cellStyle name="Normal 248 3 4 2" xfId="21467"/>
    <cellStyle name="Normal 248 3 4 2 2" xfId="21468"/>
    <cellStyle name="Normal 248 3 4 3" xfId="21469"/>
    <cellStyle name="Normal 248 3 5" xfId="21470"/>
    <cellStyle name="Normal 248 4" xfId="21471"/>
    <cellStyle name="Normal 248 4 2" xfId="21472"/>
    <cellStyle name="Normal 248 4 2 2" xfId="21473"/>
    <cellStyle name="Normal 248 4 2 2 2" xfId="21474"/>
    <cellStyle name="Normal 248 4 2 3" xfId="21475"/>
    <cellStyle name="Normal 248 4 2 3 2" xfId="21476"/>
    <cellStyle name="Normal 248 4 2 3 2 2" xfId="21477"/>
    <cellStyle name="Normal 248 4 2 3 3" xfId="21478"/>
    <cellStyle name="Normal 248 4 2 4" xfId="21479"/>
    <cellStyle name="Normal 248 4 3" xfId="21480"/>
    <cellStyle name="Normal 248 4 3 2" xfId="21481"/>
    <cellStyle name="Normal 248 4 3 2 2" xfId="21482"/>
    <cellStyle name="Normal 248 4 3 3" xfId="21483"/>
    <cellStyle name="Normal 248 4 4" xfId="21484"/>
    <cellStyle name="Normal 248 4 4 2" xfId="21485"/>
    <cellStyle name="Normal 248 4 4 2 2" xfId="21486"/>
    <cellStyle name="Normal 248 4 4 3" xfId="21487"/>
    <cellStyle name="Normal 248 4 5" xfId="21488"/>
    <cellStyle name="Normal 248 4 5 2" xfId="21489"/>
    <cellStyle name="Normal 248 4 5 2 2" xfId="21490"/>
    <cellStyle name="Normal 248 4 5 3" xfId="21491"/>
    <cellStyle name="Normal 248 4 6" xfId="21492"/>
    <cellStyle name="Normal 248 5" xfId="21493"/>
    <cellStyle name="Normal 248 5 2" xfId="21494"/>
    <cellStyle name="Normal 248 5 2 2" xfId="21495"/>
    <cellStyle name="Normal 248 5 3" xfId="21496"/>
    <cellStyle name="Normal 248 6" xfId="21497"/>
    <cellStyle name="Normal 248 6 2" xfId="21498"/>
    <cellStyle name="Normal 248 6 2 2" xfId="21499"/>
    <cellStyle name="Normal 248 6 3" xfId="21500"/>
    <cellStyle name="Normal 248 7" xfId="21501"/>
    <cellStyle name="Normal 248 7 2" xfId="21502"/>
    <cellStyle name="Normal 248 7 2 2" xfId="21503"/>
    <cellStyle name="Normal 248 7 3" xfId="21504"/>
    <cellStyle name="Normal 248 8" xfId="21505"/>
    <cellStyle name="Normal 249" xfId="21506"/>
    <cellStyle name="Normal 249 2" xfId="21507"/>
    <cellStyle name="Normal 249 2 2" xfId="21508"/>
    <cellStyle name="Normal 249 2 2 2" xfId="21509"/>
    <cellStyle name="Normal 249 2 2 2 2" xfId="21510"/>
    <cellStyle name="Normal 249 2 2 3" xfId="21511"/>
    <cellStyle name="Normal 249 2 2 3 2" xfId="21512"/>
    <cellStyle name="Normal 249 2 2 3 2 2" xfId="21513"/>
    <cellStyle name="Normal 249 2 2 3 3" xfId="21514"/>
    <cellStyle name="Normal 249 2 2 4" xfId="21515"/>
    <cellStyle name="Normal 249 2 2 4 2" xfId="21516"/>
    <cellStyle name="Normal 249 2 2 4 2 2" xfId="21517"/>
    <cellStyle name="Normal 249 2 2 4 3" xfId="21518"/>
    <cellStyle name="Normal 249 2 2 5" xfId="21519"/>
    <cellStyle name="Normal 249 2 3" xfId="21520"/>
    <cellStyle name="Normal 249 2 3 2" xfId="21521"/>
    <cellStyle name="Normal 249 2 3 2 2" xfId="21522"/>
    <cellStyle name="Normal 249 2 3 2 2 2" xfId="21523"/>
    <cellStyle name="Normal 249 2 3 2 3" xfId="21524"/>
    <cellStyle name="Normal 249 2 3 2 3 2" xfId="21525"/>
    <cellStyle name="Normal 249 2 3 2 3 2 2" xfId="21526"/>
    <cellStyle name="Normal 249 2 3 2 3 3" xfId="21527"/>
    <cellStyle name="Normal 249 2 3 2 4" xfId="21528"/>
    <cellStyle name="Normal 249 2 3 3" xfId="21529"/>
    <cellStyle name="Normal 249 2 3 3 2" xfId="21530"/>
    <cellStyle name="Normal 249 2 3 3 2 2" xfId="21531"/>
    <cellStyle name="Normal 249 2 3 3 3" xfId="21532"/>
    <cellStyle name="Normal 249 2 3 4" xfId="21533"/>
    <cellStyle name="Normal 249 2 3 4 2" xfId="21534"/>
    <cellStyle name="Normal 249 2 3 4 2 2" xfId="21535"/>
    <cellStyle name="Normal 249 2 3 4 3" xfId="21536"/>
    <cellStyle name="Normal 249 2 3 5" xfId="21537"/>
    <cellStyle name="Normal 249 2 3 5 2" xfId="21538"/>
    <cellStyle name="Normal 249 2 3 5 2 2" xfId="21539"/>
    <cellStyle name="Normal 249 2 3 5 3" xfId="21540"/>
    <cellStyle name="Normal 249 2 3 6" xfId="21541"/>
    <cellStyle name="Normal 249 2 4" xfId="21542"/>
    <cellStyle name="Normal 249 2 4 2" xfId="21543"/>
    <cellStyle name="Normal 249 2 4 2 2" xfId="21544"/>
    <cellStyle name="Normal 249 2 4 3" xfId="21545"/>
    <cellStyle name="Normal 249 2 5" xfId="21546"/>
    <cellStyle name="Normal 249 2 5 2" xfId="21547"/>
    <cellStyle name="Normal 249 2 5 2 2" xfId="21548"/>
    <cellStyle name="Normal 249 2 5 3" xfId="21549"/>
    <cellStyle name="Normal 249 2 6" xfId="21550"/>
    <cellStyle name="Normal 249 2 6 2" xfId="21551"/>
    <cellStyle name="Normal 249 2 6 2 2" xfId="21552"/>
    <cellStyle name="Normal 249 2 6 3" xfId="21553"/>
    <cellStyle name="Normal 249 2 7" xfId="21554"/>
    <cellStyle name="Normal 249 3" xfId="21555"/>
    <cellStyle name="Normal 249 3 2" xfId="21556"/>
    <cellStyle name="Normal 249 3 2 2" xfId="21557"/>
    <cellStyle name="Normal 249 3 3" xfId="21558"/>
    <cellStyle name="Normal 249 3 3 2" xfId="21559"/>
    <cellStyle name="Normal 249 3 3 2 2" xfId="21560"/>
    <cellStyle name="Normal 249 3 3 3" xfId="21561"/>
    <cellStyle name="Normal 249 3 4" xfId="21562"/>
    <cellStyle name="Normal 249 3 4 2" xfId="21563"/>
    <cellStyle name="Normal 249 3 4 2 2" xfId="21564"/>
    <cellStyle name="Normal 249 3 4 3" xfId="21565"/>
    <cellStyle name="Normal 249 3 5" xfId="21566"/>
    <cellStyle name="Normal 249 4" xfId="21567"/>
    <cellStyle name="Normal 249 4 2" xfId="21568"/>
    <cellStyle name="Normal 249 4 2 2" xfId="21569"/>
    <cellStyle name="Normal 249 4 2 2 2" xfId="21570"/>
    <cellStyle name="Normal 249 4 2 3" xfId="21571"/>
    <cellStyle name="Normal 249 4 2 3 2" xfId="21572"/>
    <cellStyle name="Normal 249 4 2 3 2 2" xfId="21573"/>
    <cellStyle name="Normal 249 4 2 3 3" xfId="21574"/>
    <cellStyle name="Normal 249 4 2 4" xfId="21575"/>
    <cellStyle name="Normal 249 4 3" xfId="21576"/>
    <cellStyle name="Normal 249 4 3 2" xfId="21577"/>
    <cellStyle name="Normal 249 4 3 2 2" xfId="21578"/>
    <cellStyle name="Normal 249 4 3 3" xfId="21579"/>
    <cellStyle name="Normal 249 4 4" xfId="21580"/>
    <cellStyle name="Normal 249 4 4 2" xfId="21581"/>
    <cellStyle name="Normal 249 4 4 2 2" xfId="21582"/>
    <cellStyle name="Normal 249 4 4 3" xfId="21583"/>
    <cellStyle name="Normal 249 4 5" xfId="21584"/>
    <cellStyle name="Normal 249 4 5 2" xfId="21585"/>
    <cellStyle name="Normal 249 4 5 2 2" xfId="21586"/>
    <cellStyle name="Normal 249 4 5 3" xfId="21587"/>
    <cellStyle name="Normal 249 4 6" xfId="21588"/>
    <cellStyle name="Normal 249 5" xfId="21589"/>
    <cellStyle name="Normal 249 5 2" xfId="21590"/>
    <cellStyle name="Normal 249 5 2 2" xfId="21591"/>
    <cellStyle name="Normal 249 5 3" xfId="21592"/>
    <cellStyle name="Normal 249 6" xfId="21593"/>
    <cellStyle name="Normal 249 6 2" xfId="21594"/>
    <cellStyle name="Normal 249 6 2 2" xfId="21595"/>
    <cellStyle name="Normal 249 6 3" xfId="21596"/>
    <cellStyle name="Normal 249 7" xfId="21597"/>
    <cellStyle name="Normal 249 7 2" xfId="21598"/>
    <cellStyle name="Normal 249 7 2 2" xfId="21599"/>
    <cellStyle name="Normal 249 7 3" xfId="21600"/>
    <cellStyle name="Normal 249 8" xfId="21601"/>
    <cellStyle name="Normal 25" xfId="21602"/>
    <cellStyle name="Normal 25 2" xfId="21603"/>
    <cellStyle name="Normal 25 2 2" xfId="21604"/>
    <cellStyle name="Normal 25 2 2 2" xfId="21605"/>
    <cellStyle name="Normal 25 2 2 2 2" xfId="21606"/>
    <cellStyle name="Normal 25 2 2 3" xfId="21607"/>
    <cellStyle name="Normal 25 2 2 3 2" xfId="21608"/>
    <cellStyle name="Normal 25 2 2 3 2 2" xfId="21609"/>
    <cellStyle name="Normal 25 2 2 3 3" xfId="21610"/>
    <cellStyle name="Normal 25 2 2 4" xfId="21611"/>
    <cellStyle name="Normal 25 2 2 4 2" xfId="21612"/>
    <cellStyle name="Normal 25 2 2 4 2 2" xfId="21613"/>
    <cellStyle name="Normal 25 2 2 4 3" xfId="21614"/>
    <cellStyle name="Normal 25 2 2 5" xfId="21615"/>
    <cellStyle name="Normal 25 2 3" xfId="21616"/>
    <cellStyle name="Normal 25 2 3 2" xfId="21617"/>
    <cellStyle name="Normal 25 2 3 2 2" xfId="21618"/>
    <cellStyle name="Normal 25 2 3 3" xfId="21619"/>
    <cellStyle name="Normal 25 2 4" xfId="21620"/>
    <cellStyle name="Normal 25 2 4 2" xfId="21621"/>
    <cellStyle name="Normal 25 2 4 2 2" xfId="21622"/>
    <cellStyle name="Normal 25 2 4 3" xfId="21623"/>
    <cellStyle name="Normal 25 2 5" xfId="21624"/>
    <cellStyle name="Normal 25 2 5 2" xfId="21625"/>
    <cellStyle name="Normal 25 2 5 2 2" xfId="21626"/>
    <cellStyle name="Normal 25 2 5 3" xfId="21627"/>
    <cellStyle name="Normal 25 2 6" xfId="21628"/>
    <cellStyle name="Normal 25 3" xfId="21629"/>
    <cellStyle name="Normal 25 3 2" xfId="21630"/>
    <cellStyle name="Normal 25 3 2 2" xfId="21631"/>
    <cellStyle name="Normal 25 3 3" xfId="21632"/>
    <cellStyle name="Normal 25 3 3 2" xfId="21633"/>
    <cellStyle name="Normal 25 3 3 2 2" xfId="21634"/>
    <cellStyle name="Normal 25 3 3 3" xfId="21635"/>
    <cellStyle name="Normal 25 3 4" xfId="21636"/>
    <cellStyle name="Normal 25 3 4 2" xfId="21637"/>
    <cellStyle name="Normal 25 3 4 2 2" xfId="21638"/>
    <cellStyle name="Normal 25 3 4 3" xfId="21639"/>
    <cellStyle name="Normal 25 3 5" xfId="21640"/>
    <cellStyle name="Normal 25 4" xfId="21641"/>
    <cellStyle name="Normal 25 4 2" xfId="21642"/>
    <cellStyle name="Normal 25 4 2 2" xfId="21643"/>
    <cellStyle name="Normal 25 4 3" xfId="21644"/>
    <cellStyle name="Normal 25 4 3 2" xfId="21645"/>
    <cellStyle name="Normal 25 4 3 2 2" xfId="21646"/>
    <cellStyle name="Normal 25 4 3 3" xfId="21647"/>
    <cellStyle name="Normal 25 4 4" xfId="21648"/>
    <cellStyle name="Normal 25 4 4 2" xfId="21649"/>
    <cellStyle name="Normal 25 4 4 2 2" xfId="21650"/>
    <cellStyle name="Normal 25 4 4 3" xfId="21651"/>
    <cellStyle name="Normal 25 4 5" xfId="21652"/>
    <cellStyle name="Normal 25 5" xfId="21653"/>
    <cellStyle name="Normal 25 5 2" xfId="21654"/>
    <cellStyle name="Normal 25 5 2 2" xfId="21655"/>
    <cellStyle name="Normal 25 5 3" xfId="21656"/>
    <cellStyle name="Normal 25 6" xfId="21657"/>
    <cellStyle name="Normal 25 6 2" xfId="21658"/>
    <cellStyle name="Normal 25 6 2 2" xfId="21659"/>
    <cellStyle name="Normal 25 6 3" xfId="21660"/>
    <cellStyle name="Normal 25 7" xfId="21661"/>
    <cellStyle name="Normal 25 7 2" xfId="21662"/>
    <cellStyle name="Normal 25 7 2 2" xfId="21663"/>
    <cellStyle name="Normal 25 7 3" xfId="21664"/>
    <cellStyle name="Normal 25 8" xfId="21665"/>
    <cellStyle name="Normal 250" xfId="21666"/>
    <cellStyle name="Normal 250 2" xfId="21667"/>
    <cellStyle name="Normal 250 2 2" xfId="21668"/>
    <cellStyle name="Normal 250 2 2 2" xfId="21669"/>
    <cellStyle name="Normal 250 2 2 2 2" xfId="21670"/>
    <cellStyle name="Normal 250 2 2 3" xfId="21671"/>
    <cellStyle name="Normal 250 2 2 3 2" xfId="21672"/>
    <cellStyle name="Normal 250 2 2 3 2 2" xfId="21673"/>
    <cellStyle name="Normal 250 2 2 3 3" xfId="21674"/>
    <cellStyle name="Normal 250 2 2 4" xfId="21675"/>
    <cellStyle name="Normal 250 2 2 4 2" xfId="21676"/>
    <cellStyle name="Normal 250 2 2 4 2 2" xfId="21677"/>
    <cellStyle name="Normal 250 2 2 4 3" xfId="21678"/>
    <cellStyle name="Normal 250 2 2 5" xfId="21679"/>
    <cellStyle name="Normal 250 2 3" xfId="21680"/>
    <cellStyle name="Normal 250 2 3 2" xfId="21681"/>
    <cellStyle name="Normal 250 2 3 2 2" xfId="21682"/>
    <cellStyle name="Normal 250 2 3 2 2 2" xfId="21683"/>
    <cellStyle name="Normal 250 2 3 2 3" xfId="21684"/>
    <cellStyle name="Normal 250 2 3 2 3 2" xfId="21685"/>
    <cellStyle name="Normal 250 2 3 2 3 2 2" xfId="21686"/>
    <cellStyle name="Normal 250 2 3 2 3 3" xfId="21687"/>
    <cellStyle name="Normal 250 2 3 2 4" xfId="21688"/>
    <cellStyle name="Normal 250 2 3 3" xfId="21689"/>
    <cellStyle name="Normal 250 2 3 3 2" xfId="21690"/>
    <cellStyle name="Normal 250 2 3 3 2 2" xfId="21691"/>
    <cellStyle name="Normal 250 2 3 3 3" xfId="21692"/>
    <cellStyle name="Normal 250 2 3 4" xfId="21693"/>
    <cellStyle name="Normal 250 2 3 4 2" xfId="21694"/>
    <cellStyle name="Normal 250 2 3 4 2 2" xfId="21695"/>
    <cellStyle name="Normal 250 2 3 4 3" xfId="21696"/>
    <cellStyle name="Normal 250 2 3 5" xfId="21697"/>
    <cellStyle name="Normal 250 2 3 5 2" xfId="21698"/>
    <cellStyle name="Normal 250 2 3 5 2 2" xfId="21699"/>
    <cellStyle name="Normal 250 2 3 5 3" xfId="21700"/>
    <cellStyle name="Normal 250 2 3 6" xfId="21701"/>
    <cellStyle name="Normal 250 2 4" xfId="21702"/>
    <cellStyle name="Normal 250 2 4 2" xfId="21703"/>
    <cellStyle name="Normal 250 2 4 2 2" xfId="21704"/>
    <cellStyle name="Normal 250 2 4 3" xfId="21705"/>
    <cellStyle name="Normal 250 2 5" xfId="21706"/>
    <cellStyle name="Normal 250 2 5 2" xfId="21707"/>
    <cellStyle name="Normal 250 2 5 2 2" xfId="21708"/>
    <cellStyle name="Normal 250 2 5 3" xfId="21709"/>
    <cellStyle name="Normal 250 2 6" xfId="21710"/>
    <cellStyle name="Normal 250 2 6 2" xfId="21711"/>
    <cellStyle name="Normal 250 2 6 2 2" xfId="21712"/>
    <cellStyle name="Normal 250 2 6 3" xfId="21713"/>
    <cellStyle name="Normal 250 2 7" xfId="21714"/>
    <cellStyle name="Normal 250 3" xfId="21715"/>
    <cellStyle name="Normal 250 3 2" xfId="21716"/>
    <cellStyle name="Normal 250 3 2 2" xfId="21717"/>
    <cellStyle name="Normal 250 3 3" xfId="21718"/>
    <cellStyle name="Normal 250 3 3 2" xfId="21719"/>
    <cellStyle name="Normal 250 3 3 2 2" xfId="21720"/>
    <cellStyle name="Normal 250 3 3 3" xfId="21721"/>
    <cellStyle name="Normal 250 3 4" xfId="21722"/>
    <cellStyle name="Normal 250 3 4 2" xfId="21723"/>
    <cellStyle name="Normal 250 3 4 2 2" xfId="21724"/>
    <cellStyle name="Normal 250 3 4 3" xfId="21725"/>
    <cellStyle name="Normal 250 3 5" xfId="21726"/>
    <cellStyle name="Normal 250 4" xfId="21727"/>
    <cellStyle name="Normal 250 4 2" xfId="21728"/>
    <cellStyle name="Normal 250 4 2 2" xfId="21729"/>
    <cellStyle name="Normal 250 4 2 2 2" xfId="21730"/>
    <cellStyle name="Normal 250 4 2 3" xfId="21731"/>
    <cellStyle name="Normal 250 4 2 3 2" xfId="21732"/>
    <cellStyle name="Normal 250 4 2 3 2 2" xfId="21733"/>
    <cellStyle name="Normal 250 4 2 3 3" xfId="21734"/>
    <cellStyle name="Normal 250 4 2 4" xfId="21735"/>
    <cellStyle name="Normal 250 4 3" xfId="21736"/>
    <cellStyle name="Normal 250 4 3 2" xfId="21737"/>
    <cellStyle name="Normal 250 4 3 2 2" xfId="21738"/>
    <cellStyle name="Normal 250 4 3 3" xfId="21739"/>
    <cellStyle name="Normal 250 4 4" xfId="21740"/>
    <cellStyle name="Normal 250 4 4 2" xfId="21741"/>
    <cellStyle name="Normal 250 4 4 2 2" xfId="21742"/>
    <cellStyle name="Normal 250 4 4 3" xfId="21743"/>
    <cellStyle name="Normal 250 4 5" xfId="21744"/>
    <cellStyle name="Normal 250 4 5 2" xfId="21745"/>
    <cellStyle name="Normal 250 4 5 2 2" xfId="21746"/>
    <cellStyle name="Normal 250 4 5 3" xfId="21747"/>
    <cellStyle name="Normal 250 4 6" xfId="21748"/>
    <cellStyle name="Normal 250 5" xfId="21749"/>
    <cellStyle name="Normal 250 5 2" xfId="21750"/>
    <cellStyle name="Normal 250 5 2 2" xfId="21751"/>
    <cellStyle name="Normal 250 5 3" xfId="21752"/>
    <cellStyle name="Normal 250 6" xfId="21753"/>
    <cellStyle name="Normal 250 6 2" xfId="21754"/>
    <cellStyle name="Normal 250 6 2 2" xfId="21755"/>
    <cellStyle name="Normal 250 6 3" xfId="21756"/>
    <cellStyle name="Normal 250 7" xfId="21757"/>
    <cellStyle name="Normal 250 7 2" xfId="21758"/>
    <cellStyle name="Normal 250 7 2 2" xfId="21759"/>
    <cellStyle name="Normal 250 7 3" xfId="21760"/>
    <cellStyle name="Normal 250 8" xfId="21761"/>
    <cellStyle name="Normal 251" xfId="21762"/>
    <cellStyle name="Normal 251 2" xfId="21763"/>
    <cellStyle name="Normal 251 2 2" xfId="21764"/>
    <cellStyle name="Normal 251 2 2 2" xfId="21765"/>
    <cellStyle name="Normal 251 2 2 2 2" xfId="21766"/>
    <cellStyle name="Normal 251 2 2 3" xfId="21767"/>
    <cellStyle name="Normal 251 2 2 3 2" xfId="21768"/>
    <cellStyle name="Normal 251 2 2 3 2 2" xfId="21769"/>
    <cellStyle name="Normal 251 2 2 3 3" xfId="21770"/>
    <cellStyle name="Normal 251 2 2 4" xfId="21771"/>
    <cellStyle name="Normal 251 2 2 4 2" xfId="21772"/>
    <cellStyle name="Normal 251 2 2 4 2 2" xfId="21773"/>
    <cellStyle name="Normal 251 2 2 4 3" xfId="21774"/>
    <cellStyle name="Normal 251 2 2 5" xfId="21775"/>
    <cellStyle name="Normal 251 2 3" xfId="21776"/>
    <cellStyle name="Normal 251 2 3 2" xfId="21777"/>
    <cellStyle name="Normal 251 2 3 2 2" xfId="21778"/>
    <cellStyle name="Normal 251 2 3 2 2 2" xfId="21779"/>
    <cellStyle name="Normal 251 2 3 2 3" xfId="21780"/>
    <cellStyle name="Normal 251 2 3 2 3 2" xfId="21781"/>
    <cellStyle name="Normal 251 2 3 2 3 2 2" xfId="21782"/>
    <cellStyle name="Normal 251 2 3 2 3 3" xfId="21783"/>
    <cellStyle name="Normal 251 2 3 2 4" xfId="21784"/>
    <cellStyle name="Normal 251 2 3 3" xfId="21785"/>
    <cellStyle name="Normal 251 2 3 3 2" xfId="21786"/>
    <cellStyle name="Normal 251 2 3 3 2 2" xfId="21787"/>
    <cellStyle name="Normal 251 2 3 3 3" xfId="21788"/>
    <cellStyle name="Normal 251 2 3 4" xfId="21789"/>
    <cellStyle name="Normal 251 2 3 4 2" xfId="21790"/>
    <cellStyle name="Normal 251 2 3 4 2 2" xfId="21791"/>
    <cellStyle name="Normal 251 2 3 4 3" xfId="21792"/>
    <cellStyle name="Normal 251 2 3 5" xfId="21793"/>
    <cellStyle name="Normal 251 2 3 5 2" xfId="21794"/>
    <cellStyle name="Normal 251 2 3 5 2 2" xfId="21795"/>
    <cellStyle name="Normal 251 2 3 5 3" xfId="21796"/>
    <cellStyle name="Normal 251 2 3 6" xfId="21797"/>
    <cellStyle name="Normal 251 2 4" xfId="21798"/>
    <cellStyle name="Normal 251 2 4 2" xfId="21799"/>
    <cellStyle name="Normal 251 2 4 2 2" xfId="21800"/>
    <cellStyle name="Normal 251 2 4 3" xfId="21801"/>
    <cellStyle name="Normal 251 2 5" xfId="21802"/>
    <cellStyle name="Normal 251 2 5 2" xfId="21803"/>
    <cellStyle name="Normal 251 2 5 2 2" xfId="21804"/>
    <cellStyle name="Normal 251 2 5 3" xfId="21805"/>
    <cellStyle name="Normal 251 2 6" xfId="21806"/>
    <cellStyle name="Normal 251 2 6 2" xfId="21807"/>
    <cellStyle name="Normal 251 2 6 2 2" xfId="21808"/>
    <cellStyle name="Normal 251 2 6 3" xfId="21809"/>
    <cellStyle name="Normal 251 2 7" xfId="21810"/>
    <cellStyle name="Normal 251 3" xfId="21811"/>
    <cellStyle name="Normal 251 3 2" xfId="21812"/>
    <cellStyle name="Normal 251 3 2 2" xfId="21813"/>
    <cellStyle name="Normal 251 3 3" xfId="21814"/>
    <cellStyle name="Normal 251 3 3 2" xfId="21815"/>
    <cellStyle name="Normal 251 3 3 2 2" xfId="21816"/>
    <cellStyle name="Normal 251 3 3 3" xfId="21817"/>
    <cellStyle name="Normal 251 3 4" xfId="21818"/>
    <cellStyle name="Normal 251 3 4 2" xfId="21819"/>
    <cellStyle name="Normal 251 3 4 2 2" xfId="21820"/>
    <cellStyle name="Normal 251 3 4 3" xfId="21821"/>
    <cellStyle name="Normal 251 3 5" xfId="21822"/>
    <cellStyle name="Normal 251 4" xfId="21823"/>
    <cellStyle name="Normal 251 4 2" xfId="21824"/>
    <cellStyle name="Normal 251 4 2 2" xfId="21825"/>
    <cellStyle name="Normal 251 4 2 2 2" xfId="21826"/>
    <cellStyle name="Normal 251 4 2 3" xfId="21827"/>
    <cellStyle name="Normal 251 4 2 3 2" xfId="21828"/>
    <cellStyle name="Normal 251 4 2 3 2 2" xfId="21829"/>
    <cellStyle name="Normal 251 4 2 3 3" xfId="21830"/>
    <cellStyle name="Normal 251 4 2 4" xfId="21831"/>
    <cellStyle name="Normal 251 4 3" xfId="21832"/>
    <cellStyle name="Normal 251 4 3 2" xfId="21833"/>
    <cellStyle name="Normal 251 4 3 2 2" xfId="21834"/>
    <cellStyle name="Normal 251 4 3 3" xfId="21835"/>
    <cellStyle name="Normal 251 4 4" xfId="21836"/>
    <cellStyle name="Normal 251 4 4 2" xfId="21837"/>
    <cellStyle name="Normal 251 4 4 2 2" xfId="21838"/>
    <cellStyle name="Normal 251 4 4 3" xfId="21839"/>
    <cellStyle name="Normal 251 4 5" xfId="21840"/>
    <cellStyle name="Normal 251 4 5 2" xfId="21841"/>
    <cellStyle name="Normal 251 4 5 2 2" xfId="21842"/>
    <cellStyle name="Normal 251 4 5 3" xfId="21843"/>
    <cellStyle name="Normal 251 4 6" xfId="21844"/>
    <cellStyle name="Normal 251 5" xfId="21845"/>
    <cellStyle name="Normal 251 5 2" xfId="21846"/>
    <cellStyle name="Normal 251 5 2 2" xfId="21847"/>
    <cellStyle name="Normal 251 5 3" xfId="21848"/>
    <cellStyle name="Normal 251 6" xfId="21849"/>
    <cellStyle name="Normal 251 6 2" xfId="21850"/>
    <cellStyle name="Normal 251 6 2 2" xfId="21851"/>
    <cellStyle name="Normal 251 6 3" xfId="21852"/>
    <cellStyle name="Normal 251 7" xfId="21853"/>
    <cellStyle name="Normal 251 7 2" xfId="21854"/>
    <cellStyle name="Normal 251 7 2 2" xfId="21855"/>
    <cellStyle name="Normal 251 7 3" xfId="21856"/>
    <cellStyle name="Normal 251 8" xfId="21857"/>
    <cellStyle name="Normal 252" xfId="21858"/>
    <cellStyle name="Normal 252 2" xfId="21859"/>
    <cellStyle name="Normal 252 2 2" xfId="21860"/>
    <cellStyle name="Normal 252 2 2 2" xfId="21861"/>
    <cellStyle name="Normal 252 2 2 2 2" xfId="21862"/>
    <cellStyle name="Normal 252 2 2 3" xfId="21863"/>
    <cellStyle name="Normal 252 2 2 3 2" xfId="21864"/>
    <cellStyle name="Normal 252 2 2 3 2 2" xfId="21865"/>
    <cellStyle name="Normal 252 2 2 3 3" xfId="21866"/>
    <cellStyle name="Normal 252 2 2 4" xfId="21867"/>
    <cellStyle name="Normal 252 2 2 4 2" xfId="21868"/>
    <cellStyle name="Normal 252 2 2 4 2 2" xfId="21869"/>
    <cellStyle name="Normal 252 2 2 4 3" xfId="21870"/>
    <cellStyle name="Normal 252 2 2 5" xfId="21871"/>
    <cellStyle name="Normal 252 2 3" xfId="21872"/>
    <cellStyle name="Normal 252 2 3 2" xfId="21873"/>
    <cellStyle name="Normal 252 2 3 2 2" xfId="21874"/>
    <cellStyle name="Normal 252 2 3 2 2 2" xfId="21875"/>
    <cellStyle name="Normal 252 2 3 2 3" xfId="21876"/>
    <cellStyle name="Normal 252 2 3 2 3 2" xfId="21877"/>
    <cellStyle name="Normal 252 2 3 2 3 2 2" xfId="21878"/>
    <cellStyle name="Normal 252 2 3 2 3 3" xfId="21879"/>
    <cellStyle name="Normal 252 2 3 2 4" xfId="21880"/>
    <cellStyle name="Normal 252 2 3 3" xfId="21881"/>
    <cellStyle name="Normal 252 2 3 3 2" xfId="21882"/>
    <cellStyle name="Normal 252 2 3 3 2 2" xfId="21883"/>
    <cellStyle name="Normal 252 2 3 3 3" xfId="21884"/>
    <cellStyle name="Normal 252 2 3 4" xfId="21885"/>
    <cellStyle name="Normal 252 2 3 4 2" xfId="21886"/>
    <cellStyle name="Normal 252 2 3 4 2 2" xfId="21887"/>
    <cellStyle name="Normal 252 2 3 4 3" xfId="21888"/>
    <cellStyle name="Normal 252 2 3 5" xfId="21889"/>
    <cellStyle name="Normal 252 2 3 5 2" xfId="21890"/>
    <cellStyle name="Normal 252 2 3 5 2 2" xfId="21891"/>
    <cellStyle name="Normal 252 2 3 5 3" xfId="21892"/>
    <cellStyle name="Normal 252 2 3 6" xfId="21893"/>
    <cellStyle name="Normal 252 2 4" xfId="21894"/>
    <cellStyle name="Normal 252 2 4 2" xfId="21895"/>
    <cellStyle name="Normal 252 2 4 2 2" xfId="21896"/>
    <cellStyle name="Normal 252 2 4 3" xfId="21897"/>
    <cellStyle name="Normal 252 2 5" xfId="21898"/>
    <cellStyle name="Normal 252 2 5 2" xfId="21899"/>
    <cellStyle name="Normal 252 2 5 2 2" xfId="21900"/>
    <cellStyle name="Normal 252 2 5 3" xfId="21901"/>
    <cellStyle name="Normal 252 2 6" xfId="21902"/>
    <cellStyle name="Normal 252 2 6 2" xfId="21903"/>
    <cellStyle name="Normal 252 2 6 2 2" xfId="21904"/>
    <cellStyle name="Normal 252 2 6 3" xfId="21905"/>
    <cellStyle name="Normal 252 2 7" xfId="21906"/>
    <cellStyle name="Normal 252 3" xfId="21907"/>
    <cellStyle name="Normal 252 3 2" xfId="21908"/>
    <cellStyle name="Normal 252 3 2 2" xfId="21909"/>
    <cellStyle name="Normal 252 3 3" xfId="21910"/>
    <cellStyle name="Normal 252 3 3 2" xfId="21911"/>
    <cellStyle name="Normal 252 3 3 2 2" xfId="21912"/>
    <cellStyle name="Normal 252 3 3 3" xfId="21913"/>
    <cellStyle name="Normal 252 3 4" xfId="21914"/>
    <cellStyle name="Normal 252 3 4 2" xfId="21915"/>
    <cellStyle name="Normal 252 3 4 2 2" xfId="21916"/>
    <cellStyle name="Normal 252 3 4 3" xfId="21917"/>
    <cellStyle name="Normal 252 3 5" xfId="21918"/>
    <cellStyle name="Normal 252 4" xfId="21919"/>
    <cellStyle name="Normal 252 4 2" xfId="21920"/>
    <cellStyle name="Normal 252 4 2 2" xfId="21921"/>
    <cellStyle name="Normal 252 4 2 2 2" xfId="21922"/>
    <cellStyle name="Normal 252 4 2 3" xfId="21923"/>
    <cellStyle name="Normal 252 4 2 3 2" xfId="21924"/>
    <cellStyle name="Normal 252 4 2 3 2 2" xfId="21925"/>
    <cellStyle name="Normal 252 4 2 3 3" xfId="21926"/>
    <cellStyle name="Normal 252 4 2 4" xfId="21927"/>
    <cellStyle name="Normal 252 4 3" xfId="21928"/>
    <cellStyle name="Normal 252 4 3 2" xfId="21929"/>
    <cellStyle name="Normal 252 4 3 2 2" xfId="21930"/>
    <cellStyle name="Normal 252 4 3 3" xfId="21931"/>
    <cellStyle name="Normal 252 4 4" xfId="21932"/>
    <cellStyle name="Normal 252 4 4 2" xfId="21933"/>
    <cellStyle name="Normal 252 4 4 2 2" xfId="21934"/>
    <cellStyle name="Normal 252 4 4 3" xfId="21935"/>
    <cellStyle name="Normal 252 4 5" xfId="21936"/>
    <cellStyle name="Normal 252 4 5 2" xfId="21937"/>
    <cellStyle name="Normal 252 4 5 2 2" xfId="21938"/>
    <cellStyle name="Normal 252 4 5 3" xfId="21939"/>
    <cellStyle name="Normal 252 4 6" xfId="21940"/>
    <cellStyle name="Normal 252 5" xfId="21941"/>
    <cellStyle name="Normal 252 5 2" xfId="21942"/>
    <cellStyle name="Normal 252 5 2 2" xfId="21943"/>
    <cellStyle name="Normal 252 5 3" xfId="21944"/>
    <cellStyle name="Normal 252 6" xfId="21945"/>
    <cellStyle name="Normal 252 6 2" xfId="21946"/>
    <cellStyle name="Normal 252 6 2 2" xfId="21947"/>
    <cellStyle name="Normal 252 6 3" xfId="21948"/>
    <cellStyle name="Normal 252 7" xfId="21949"/>
    <cellStyle name="Normal 252 7 2" xfId="21950"/>
    <cellStyle name="Normal 252 7 2 2" xfId="21951"/>
    <cellStyle name="Normal 252 7 3" xfId="21952"/>
    <cellStyle name="Normal 252 8" xfId="21953"/>
    <cellStyle name="Normal 253" xfId="21954"/>
    <cellStyle name="Normal 253 2" xfId="21955"/>
    <cellStyle name="Normal 253 2 2" xfId="21956"/>
    <cellStyle name="Normal 253 2 2 2" xfId="21957"/>
    <cellStyle name="Normal 253 2 2 2 2" xfId="21958"/>
    <cellStyle name="Normal 253 2 2 3" xfId="21959"/>
    <cellStyle name="Normal 253 2 2 3 2" xfId="21960"/>
    <cellStyle name="Normal 253 2 2 3 2 2" xfId="21961"/>
    <cellStyle name="Normal 253 2 2 3 3" xfId="21962"/>
    <cellStyle name="Normal 253 2 2 4" xfId="21963"/>
    <cellStyle name="Normal 253 2 2 4 2" xfId="21964"/>
    <cellStyle name="Normal 253 2 2 4 2 2" xfId="21965"/>
    <cellStyle name="Normal 253 2 2 4 3" xfId="21966"/>
    <cellStyle name="Normal 253 2 2 5" xfId="21967"/>
    <cellStyle name="Normal 253 2 3" xfId="21968"/>
    <cellStyle name="Normal 253 2 3 2" xfId="21969"/>
    <cellStyle name="Normal 253 2 3 2 2" xfId="21970"/>
    <cellStyle name="Normal 253 2 3 2 2 2" xfId="21971"/>
    <cellStyle name="Normal 253 2 3 2 3" xfId="21972"/>
    <cellStyle name="Normal 253 2 3 2 3 2" xfId="21973"/>
    <cellStyle name="Normal 253 2 3 2 3 2 2" xfId="21974"/>
    <cellStyle name="Normal 253 2 3 2 3 3" xfId="21975"/>
    <cellStyle name="Normal 253 2 3 2 4" xfId="21976"/>
    <cellStyle name="Normal 253 2 3 3" xfId="21977"/>
    <cellStyle name="Normal 253 2 3 3 2" xfId="21978"/>
    <cellStyle name="Normal 253 2 3 3 2 2" xfId="21979"/>
    <cellStyle name="Normal 253 2 3 3 3" xfId="21980"/>
    <cellStyle name="Normal 253 2 3 4" xfId="21981"/>
    <cellStyle name="Normal 253 2 3 4 2" xfId="21982"/>
    <cellStyle name="Normal 253 2 3 4 2 2" xfId="21983"/>
    <cellStyle name="Normal 253 2 3 4 3" xfId="21984"/>
    <cellStyle name="Normal 253 2 3 5" xfId="21985"/>
    <cellStyle name="Normal 253 2 3 5 2" xfId="21986"/>
    <cellStyle name="Normal 253 2 3 5 2 2" xfId="21987"/>
    <cellStyle name="Normal 253 2 3 5 3" xfId="21988"/>
    <cellStyle name="Normal 253 2 3 6" xfId="21989"/>
    <cellStyle name="Normal 253 2 4" xfId="21990"/>
    <cellStyle name="Normal 253 2 4 2" xfId="21991"/>
    <cellStyle name="Normal 253 2 4 2 2" xfId="21992"/>
    <cellStyle name="Normal 253 2 4 3" xfId="21993"/>
    <cellStyle name="Normal 253 2 5" xfId="21994"/>
    <cellStyle name="Normal 253 2 5 2" xfId="21995"/>
    <cellStyle name="Normal 253 2 5 2 2" xfId="21996"/>
    <cellStyle name="Normal 253 2 5 3" xfId="21997"/>
    <cellStyle name="Normal 253 2 6" xfId="21998"/>
    <cellStyle name="Normal 253 2 6 2" xfId="21999"/>
    <cellStyle name="Normal 253 2 6 2 2" xfId="22000"/>
    <cellStyle name="Normal 253 2 6 3" xfId="22001"/>
    <cellStyle name="Normal 253 2 7" xfId="22002"/>
    <cellStyle name="Normal 253 3" xfId="22003"/>
    <cellStyle name="Normal 253 3 2" xfId="22004"/>
    <cellStyle name="Normal 253 3 2 2" xfId="22005"/>
    <cellStyle name="Normal 253 3 3" xfId="22006"/>
    <cellStyle name="Normal 253 3 3 2" xfId="22007"/>
    <cellStyle name="Normal 253 3 3 2 2" xfId="22008"/>
    <cellStyle name="Normal 253 3 3 3" xfId="22009"/>
    <cellStyle name="Normal 253 3 4" xfId="22010"/>
    <cellStyle name="Normal 253 3 4 2" xfId="22011"/>
    <cellStyle name="Normal 253 3 4 2 2" xfId="22012"/>
    <cellStyle name="Normal 253 3 4 3" xfId="22013"/>
    <cellStyle name="Normal 253 3 5" xfId="22014"/>
    <cellStyle name="Normal 253 4" xfId="22015"/>
    <cellStyle name="Normal 253 4 2" xfId="22016"/>
    <cellStyle name="Normal 253 4 2 2" xfId="22017"/>
    <cellStyle name="Normal 253 4 2 2 2" xfId="22018"/>
    <cellStyle name="Normal 253 4 2 3" xfId="22019"/>
    <cellStyle name="Normal 253 4 2 3 2" xfId="22020"/>
    <cellStyle name="Normal 253 4 2 3 2 2" xfId="22021"/>
    <cellStyle name="Normal 253 4 2 3 3" xfId="22022"/>
    <cellStyle name="Normal 253 4 2 4" xfId="22023"/>
    <cellStyle name="Normal 253 4 3" xfId="22024"/>
    <cellStyle name="Normal 253 4 3 2" xfId="22025"/>
    <cellStyle name="Normal 253 4 3 2 2" xfId="22026"/>
    <cellStyle name="Normal 253 4 3 3" xfId="22027"/>
    <cellStyle name="Normal 253 4 4" xfId="22028"/>
    <cellStyle name="Normal 253 4 4 2" xfId="22029"/>
    <cellStyle name="Normal 253 4 4 2 2" xfId="22030"/>
    <cellStyle name="Normal 253 4 4 3" xfId="22031"/>
    <cellStyle name="Normal 253 4 5" xfId="22032"/>
    <cellStyle name="Normal 253 4 5 2" xfId="22033"/>
    <cellStyle name="Normal 253 4 5 2 2" xfId="22034"/>
    <cellStyle name="Normal 253 4 5 3" xfId="22035"/>
    <cellStyle name="Normal 253 4 6" xfId="22036"/>
    <cellStyle name="Normal 253 5" xfId="22037"/>
    <cellStyle name="Normal 253 5 2" xfId="22038"/>
    <cellStyle name="Normal 253 5 2 2" xfId="22039"/>
    <cellStyle name="Normal 253 5 3" xfId="22040"/>
    <cellStyle name="Normal 253 6" xfId="22041"/>
    <cellStyle name="Normal 253 6 2" xfId="22042"/>
    <cellStyle name="Normal 253 6 2 2" xfId="22043"/>
    <cellStyle name="Normal 253 6 3" xfId="22044"/>
    <cellStyle name="Normal 253 7" xfId="22045"/>
    <cellStyle name="Normal 253 7 2" xfId="22046"/>
    <cellStyle name="Normal 253 7 2 2" xfId="22047"/>
    <cellStyle name="Normal 253 7 3" xfId="22048"/>
    <cellStyle name="Normal 253 8" xfId="22049"/>
    <cellStyle name="Normal 254" xfId="22050"/>
    <cellStyle name="Normal 254 2" xfId="22051"/>
    <cellStyle name="Normal 254 2 2" xfId="22052"/>
    <cellStyle name="Normal 254 2 2 2" xfId="22053"/>
    <cellStyle name="Normal 254 2 2 2 2" xfId="22054"/>
    <cellStyle name="Normal 254 2 2 3" xfId="22055"/>
    <cellStyle name="Normal 254 2 2 3 2" xfId="22056"/>
    <cellStyle name="Normal 254 2 2 3 2 2" xfId="22057"/>
    <cellStyle name="Normal 254 2 2 3 3" xfId="22058"/>
    <cellStyle name="Normal 254 2 2 4" xfId="22059"/>
    <cellStyle name="Normal 254 2 2 4 2" xfId="22060"/>
    <cellStyle name="Normal 254 2 2 4 2 2" xfId="22061"/>
    <cellStyle name="Normal 254 2 2 4 3" xfId="22062"/>
    <cellStyle name="Normal 254 2 2 5" xfId="22063"/>
    <cellStyle name="Normal 254 2 3" xfId="22064"/>
    <cellStyle name="Normal 254 2 3 2" xfId="22065"/>
    <cellStyle name="Normal 254 2 3 2 2" xfId="22066"/>
    <cellStyle name="Normal 254 2 3 2 2 2" xfId="22067"/>
    <cellStyle name="Normal 254 2 3 2 3" xfId="22068"/>
    <cellStyle name="Normal 254 2 3 2 3 2" xfId="22069"/>
    <cellStyle name="Normal 254 2 3 2 3 2 2" xfId="22070"/>
    <cellStyle name="Normal 254 2 3 2 3 3" xfId="22071"/>
    <cellStyle name="Normal 254 2 3 2 4" xfId="22072"/>
    <cellStyle name="Normal 254 2 3 3" xfId="22073"/>
    <cellStyle name="Normal 254 2 3 3 2" xfId="22074"/>
    <cellStyle name="Normal 254 2 3 3 2 2" xfId="22075"/>
    <cellStyle name="Normal 254 2 3 3 3" xfId="22076"/>
    <cellStyle name="Normal 254 2 3 4" xfId="22077"/>
    <cellStyle name="Normal 254 2 3 4 2" xfId="22078"/>
    <cellStyle name="Normal 254 2 3 4 2 2" xfId="22079"/>
    <cellStyle name="Normal 254 2 3 4 3" xfId="22080"/>
    <cellStyle name="Normal 254 2 3 5" xfId="22081"/>
    <cellStyle name="Normal 254 2 3 5 2" xfId="22082"/>
    <cellStyle name="Normal 254 2 3 5 2 2" xfId="22083"/>
    <cellStyle name="Normal 254 2 3 5 3" xfId="22084"/>
    <cellStyle name="Normal 254 2 3 6" xfId="22085"/>
    <cellStyle name="Normal 254 2 4" xfId="22086"/>
    <cellStyle name="Normal 254 2 4 2" xfId="22087"/>
    <cellStyle name="Normal 254 2 4 2 2" xfId="22088"/>
    <cellStyle name="Normal 254 2 4 3" xfId="22089"/>
    <cellStyle name="Normal 254 2 5" xfId="22090"/>
    <cellStyle name="Normal 254 2 5 2" xfId="22091"/>
    <cellStyle name="Normal 254 2 5 2 2" xfId="22092"/>
    <cellStyle name="Normal 254 2 5 3" xfId="22093"/>
    <cellStyle name="Normal 254 2 6" xfId="22094"/>
    <cellStyle name="Normal 254 2 6 2" xfId="22095"/>
    <cellStyle name="Normal 254 2 6 2 2" xfId="22096"/>
    <cellStyle name="Normal 254 2 6 3" xfId="22097"/>
    <cellStyle name="Normal 254 2 7" xfId="22098"/>
    <cellStyle name="Normal 254 3" xfId="22099"/>
    <cellStyle name="Normal 254 3 2" xfId="22100"/>
    <cellStyle name="Normal 254 3 2 2" xfId="22101"/>
    <cellStyle name="Normal 254 3 3" xfId="22102"/>
    <cellStyle name="Normal 254 3 3 2" xfId="22103"/>
    <cellStyle name="Normal 254 3 3 2 2" xfId="22104"/>
    <cellStyle name="Normal 254 3 3 3" xfId="22105"/>
    <cellStyle name="Normal 254 3 4" xfId="22106"/>
    <cellStyle name="Normal 254 3 4 2" xfId="22107"/>
    <cellStyle name="Normal 254 3 4 2 2" xfId="22108"/>
    <cellStyle name="Normal 254 3 4 3" xfId="22109"/>
    <cellStyle name="Normal 254 3 5" xfId="22110"/>
    <cellStyle name="Normal 254 4" xfId="22111"/>
    <cellStyle name="Normal 254 4 2" xfId="22112"/>
    <cellStyle name="Normal 254 4 2 2" xfId="22113"/>
    <cellStyle name="Normal 254 4 2 2 2" xfId="22114"/>
    <cellStyle name="Normal 254 4 2 3" xfId="22115"/>
    <cellStyle name="Normal 254 4 2 3 2" xfId="22116"/>
    <cellStyle name="Normal 254 4 2 3 2 2" xfId="22117"/>
    <cellStyle name="Normal 254 4 2 3 3" xfId="22118"/>
    <cellStyle name="Normal 254 4 2 4" xfId="22119"/>
    <cellStyle name="Normal 254 4 3" xfId="22120"/>
    <cellStyle name="Normal 254 4 3 2" xfId="22121"/>
    <cellStyle name="Normal 254 4 3 2 2" xfId="22122"/>
    <cellStyle name="Normal 254 4 3 3" xfId="22123"/>
    <cellStyle name="Normal 254 4 4" xfId="22124"/>
    <cellStyle name="Normal 254 4 4 2" xfId="22125"/>
    <cellStyle name="Normal 254 4 4 2 2" xfId="22126"/>
    <cellStyle name="Normal 254 4 4 3" xfId="22127"/>
    <cellStyle name="Normal 254 4 5" xfId="22128"/>
    <cellStyle name="Normal 254 4 5 2" xfId="22129"/>
    <cellStyle name="Normal 254 4 5 2 2" xfId="22130"/>
    <cellStyle name="Normal 254 4 5 3" xfId="22131"/>
    <cellStyle name="Normal 254 4 6" xfId="22132"/>
    <cellStyle name="Normal 254 5" xfId="22133"/>
    <cellStyle name="Normal 254 5 2" xfId="22134"/>
    <cellStyle name="Normal 254 5 2 2" xfId="22135"/>
    <cellStyle name="Normal 254 5 3" xfId="22136"/>
    <cellStyle name="Normal 254 6" xfId="22137"/>
    <cellStyle name="Normal 254 6 2" xfId="22138"/>
    <cellStyle name="Normal 254 6 2 2" xfId="22139"/>
    <cellStyle name="Normal 254 6 3" xfId="22140"/>
    <cellStyle name="Normal 254 7" xfId="22141"/>
    <cellStyle name="Normal 254 7 2" xfId="22142"/>
    <cellStyle name="Normal 254 7 2 2" xfId="22143"/>
    <cellStyle name="Normal 254 7 3" xfId="22144"/>
    <cellStyle name="Normal 254 8" xfId="22145"/>
    <cellStyle name="Normal 255" xfId="22146"/>
    <cellStyle name="Normal 255 2" xfId="22147"/>
    <cellStyle name="Normal 255 2 2" xfId="22148"/>
    <cellStyle name="Normal 255 2 2 2" xfId="22149"/>
    <cellStyle name="Normal 255 2 2 2 2" xfId="22150"/>
    <cellStyle name="Normal 255 2 2 3" xfId="22151"/>
    <cellStyle name="Normal 255 2 2 3 2" xfId="22152"/>
    <cellStyle name="Normal 255 2 2 3 2 2" xfId="22153"/>
    <cellStyle name="Normal 255 2 2 3 3" xfId="22154"/>
    <cellStyle name="Normal 255 2 2 4" xfId="22155"/>
    <cellStyle name="Normal 255 2 2 4 2" xfId="22156"/>
    <cellStyle name="Normal 255 2 2 4 2 2" xfId="22157"/>
    <cellStyle name="Normal 255 2 2 4 3" xfId="22158"/>
    <cellStyle name="Normal 255 2 2 5" xfId="22159"/>
    <cellStyle name="Normal 255 2 3" xfId="22160"/>
    <cellStyle name="Normal 255 2 3 2" xfId="22161"/>
    <cellStyle name="Normal 255 2 3 2 2" xfId="22162"/>
    <cellStyle name="Normal 255 2 3 2 2 2" xfId="22163"/>
    <cellStyle name="Normal 255 2 3 2 3" xfId="22164"/>
    <cellStyle name="Normal 255 2 3 2 3 2" xfId="22165"/>
    <cellStyle name="Normal 255 2 3 2 3 2 2" xfId="22166"/>
    <cellStyle name="Normal 255 2 3 2 3 3" xfId="22167"/>
    <cellStyle name="Normal 255 2 3 2 4" xfId="22168"/>
    <cellStyle name="Normal 255 2 3 3" xfId="22169"/>
    <cellStyle name="Normal 255 2 3 3 2" xfId="22170"/>
    <cellStyle name="Normal 255 2 3 3 2 2" xfId="22171"/>
    <cellStyle name="Normal 255 2 3 3 3" xfId="22172"/>
    <cellStyle name="Normal 255 2 3 4" xfId="22173"/>
    <cellStyle name="Normal 255 2 3 4 2" xfId="22174"/>
    <cellStyle name="Normal 255 2 3 4 2 2" xfId="22175"/>
    <cellStyle name="Normal 255 2 3 4 3" xfId="22176"/>
    <cellStyle name="Normal 255 2 3 5" xfId="22177"/>
    <cellStyle name="Normal 255 2 3 5 2" xfId="22178"/>
    <cellStyle name="Normal 255 2 3 5 2 2" xfId="22179"/>
    <cellStyle name="Normal 255 2 3 5 3" xfId="22180"/>
    <cellStyle name="Normal 255 2 3 6" xfId="22181"/>
    <cellStyle name="Normal 255 2 4" xfId="22182"/>
    <cellStyle name="Normal 255 2 4 2" xfId="22183"/>
    <cellStyle name="Normal 255 2 4 2 2" xfId="22184"/>
    <cellStyle name="Normal 255 2 4 3" xfId="22185"/>
    <cellStyle name="Normal 255 2 5" xfId="22186"/>
    <cellStyle name="Normal 255 2 5 2" xfId="22187"/>
    <cellStyle name="Normal 255 2 5 2 2" xfId="22188"/>
    <cellStyle name="Normal 255 2 5 3" xfId="22189"/>
    <cellStyle name="Normal 255 2 6" xfId="22190"/>
    <cellStyle name="Normal 255 2 6 2" xfId="22191"/>
    <cellStyle name="Normal 255 2 6 2 2" xfId="22192"/>
    <cellStyle name="Normal 255 2 6 3" xfId="22193"/>
    <cellStyle name="Normal 255 2 7" xfId="22194"/>
    <cellStyle name="Normal 255 3" xfId="22195"/>
    <cellStyle name="Normal 255 3 2" xfId="22196"/>
    <cellStyle name="Normal 255 3 2 2" xfId="22197"/>
    <cellStyle name="Normal 255 3 3" xfId="22198"/>
    <cellStyle name="Normal 255 3 3 2" xfId="22199"/>
    <cellStyle name="Normal 255 3 3 2 2" xfId="22200"/>
    <cellStyle name="Normal 255 3 3 3" xfId="22201"/>
    <cellStyle name="Normal 255 3 4" xfId="22202"/>
    <cellStyle name="Normal 255 3 4 2" xfId="22203"/>
    <cellStyle name="Normal 255 3 4 2 2" xfId="22204"/>
    <cellStyle name="Normal 255 3 4 3" xfId="22205"/>
    <cellStyle name="Normal 255 3 5" xfId="22206"/>
    <cellStyle name="Normal 255 4" xfId="22207"/>
    <cellStyle name="Normal 255 4 2" xfId="22208"/>
    <cellStyle name="Normal 255 4 2 2" xfId="22209"/>
    <cellStyle name="Normal 255 4 2 2 2" xfId="22210"/>
    <cellStyle name="Normal 255 4 2 3" xfId="22211"/>
    <cellStyle name="Normal 255 4 2 3 2" xfId="22212"/>
    <cellStyle name="Normal 255 4 2 3 2 2" xfId="22213"/>
    <cellStyle name="Normal 255 4 2 3 3" xfId="22214"/>
    <cellStyle name="Normal 255 4 2 4" xfId="22215"/>
    <cellStyle name="Normal 255 4 3" xfId="22216"/>
    <cellStyle name="Normal 255 4 3 2" xfId="22217"/>
    <cellStyle name="Normal 255 4 3 2 2" xfId="22218"/>
    <cellStyle name="Normal 255 4 3 3" xfId="22219"/>
    <cellStyle name="Normal 255 4 4" xfId="22220"/>
    <cellStyle name="Normal 255 4 4 2" xfId="22221"/>
    <cellStyle name="Normal 255 4 4 2 2" xfId="22222"/>
    <cellStyle name="Normal 255 4 4 3" xfId="22223"/>
    <cellStyle name="Normal 255 4 5" xfId="22224"/>
    <cellStyle name="Normal 255 4 5 2" xfId="22225"/>
    <cellStyle name="Normal 255 4 5 2 2" xfId="22226"/>
    <cellStyle name="Normal 255 4 5 3" xfId="22227"/>
    <cellStyle name="Normal 255 4 6" xfId="22228"/>
    <cellStyle name="Normal 255 5" xfId="22229"/>
    <cellStyle name="Normal 255 5 2" xfId="22230"/>
    <cellStyle name="Normal 255 5 2 2" xfId="22231"/>
    <cellStyle name="Normal 255 5 3" xfId="22232"/>
    <cellStyle name="Normal 255 6" xfId="22233"/>
    <cellStyle name="Normal 255 6 2" xfId="22234"/>
    <cellStyle name="Normal 255 6 2 2" xfId="22235"/>
    <cellStyle name="Normal 255 6 3" xfId="22236"/>
    <cellStyle name="Normal 255 7" xfId="22237"/>
    <cellStyle name="Normal 255 7 2" xfId="22238"/>
    <cellStyle name="Normal 255 7 2 2" xfId="22239"/>
    <cellStyle name="Normal 255 7 3" xfId="22240"/>
    <cellStyle name="Normal 255 8" xfId="22241"/>
    <cellStyle name="Normal 256" xfId="22242"/>
    <cellStyle name="Normal 256 2" xfId="22243"/>
    <cellStyle name="Normal 256 2 2" xfId="22244"/>
    <cellStyle name="Normal 256 2 2 2" xfId="22245"/>
    <cellStyle name="Normal 256 2 2 2 2" xfId="22246"/>
    <cellStyle name="Normal 256 2 2 3" xfId="22247"/>
    <cellStyle name="Normal 256 2 2 3 2" xfId="22248"/>
    <cellStyle name="Normal 256 2 2 3 2 2" xfId="22249"/>
    <cellStyle name="Normal 256 2 2 3 3" xfId="22250"/>
    <cellStyle name="Normal 256 2 2 4" xfId="22251"/>
    <cellStyle name="Normal 256 2 2 4 2" xfId="22252"/>
    <cellStyle name="Normal 256 2 2 4 2 2" xfId="22253"/>
    <cellStyle name="Normal 256 2 2 4 3" xfId="22254"/>
    <cellStyle name="Normal 256 2 2 5" xfId="22255"/>
    <cellStyle name="Normal 256 2 3" xfId="22256"/>
    <cellStyle name="Normal 256 2 3 2" xfId="22257"/>
    <cellStyle name="Normal 256 2 3 2 2" xfId="22258"/>
    <cellStyle name="Normal 256 2 3 2 2 2" xfId="22259"/>
    <cellStyle name="Normal 256 2 3 2 3" xfId="22260"/>
    <cellStyle name="Normal 256 2 3 2 3 2" xfId="22261"/>
    <cellStyle name="Normal 256 2 3 2 3 2 2" xfId="22262"/>
    <cellStyle name="Normal 256 2 3 2 3 3" xfId="22263"/>
    <cellStyle name="Normal 256 2 3 2 4" xfId="22264"/>
    <cellStyle name="Normal 256 2 3 3" xfId="22265"/>
    <cellStyle name="Normal 256 2 3 3 2" xfId="22266"/>
    <cellStyle name="Normal 256 2 3 3 2 2" xfId="22267"/>
    <cellStyle name="Normal 256 2 3 3 3" xfId="22268"/>
    <cellStyle name="Normal 256 2 3 4" xfId="22269"/>
    <cellStyle name="Normal 256 2 3 4 2" xfId="22270"/>
    <cellStyle name="Normal 256 2 3 4 2 2" xfId="22271"/>
    <cellStyle name="Normal 256 2 3 4 3" xfId="22272"/>
    <cellStyle name="Normal 256 2 3 5" xfId="22273"/>
    <cellStyle name="Normal 256 2 3 5 2" xfId="22274"/>
    <cellStyle name="Normal 256 2 3 5 2 2" xfId="22275"/>
    <cellStyle name="Normal 256 2 3 5 3" xfId="22276"/>
    <cellStyle name="Normal 256 2 3 6" xfId="22277"/>
    <cellStyle name="Normal 256 2 4" xfId="22278"/>
    <cellStyle name="Normal 256 2 4 2" xfId="22279"/>
    <cellStyle name="Normal 256 2 4 2 2" xfId="22280"/>
    <cellStyle name="Normal 256 2 4 3" xfId="22281"/>
    <cellStyle name="Normal 256 2 5" xfId="22282"/>
    <cellStyle name="Normal 256 2 5 2" xfId="22283"/>
    <cellStyle name="Normal 256 2 5 2 2" xfId="22284"/>
    <cellStyle name="Normal 256 2 5 3" xfId="22285"/>
    <cellStyle name="Normal 256 2 6" xfId="22286"/>
    <cellStyle name="Normal 256 2 6 2" xfId="22287"/>
    <cellStyle name="Normal 256 2 6 2 2" xfId="22288"/>
    <cellStyle name="Normal 256 2 6 3" xfId="22289"/>
    <cellStyle name="Normal 256 2 7" xfId="22290"/>
    <cellStyle name="Normal 256 3" xfId="22291"/>
    <cellStyle name="Normal 256 3 2" xfId="22292"/>
    <cellStyle name="Normal 256 3 2 2" xfId="22293"/>
    <cellStyle name="Normal 256 3 3" xfId="22294"/>
    <cellStyle name="Normal 256 3 3 2" xfId="22295"/>
    <cellStyle name="Normal 256 3 3 2 2" xfId="22296"/>
    <cellStyle name="Normal 256 3 3 3" xfId="22297"/>
    <cellStyle name="Normal 256 3 4" xfId="22298"/>
    <cellStyle name="Normal 256 3 4 2" xfId="22299"/>
    <cellStyle name="Normal 256 3 4 2 2" xfId="22300"/>
    <cellStyle name="Normal 256 3 4 3" xfId="22301"/>
    <cellStyle name="Normal 256 3 5" xfId="22302"/>
    <cellStyle name="Normal 256 4" xfId="22303"/>
    <cellStyle name="Normal 256 4 2" xfId="22304"/>
    <cellStyle name="Normal 256 4 2 2" xfId="22305"/>
    <cellStyle name="Normal 256 4 2 2 2" xfId="22306"/>
    <cellStyle name="Normal 256 4 2 3" xfId="22307"/>
    <cellStyle name="Normal 256 4 2 3 2" xfId="22308"/>
    <cellStyle name="Normal 256 4 2 3 2 2" xfId="22309"/>
    <cellStyle name="Normal 256 4 2 3 3" xfId="22310"/>
    <cellStyle name="Normal 256 4 2 4" xfId="22311"/>
    <cellStyle name="Normal 256 4 3" xfId="22312"/>
    <cellStyle name="Normal 256 4 3 2" xfId="22313"/>
    <cellStyle name="Normal 256 4 3 2 2" xfId="22314"/>
    <cellStyle name="Normal 256 4 3 3" xfId="22315"/>
    <cellStyle name="Normal 256 4 4" xfId="22316"/>
    <cellStyle name="Normal 256 4 4 2" xfId="22317"/>
    <cellStyle name="Normal 256 4 4 2 2" xfId="22318"/>
    <cellStyle name="Normal 256 4 4 3" xfId="22319"/>
    <cellStyle name="Normal 256 4 5" xfId="22320"/>
    <cellStyle name="Normal 256 4 5 2" xfId="22321"/>
    <cellStyle name="Normal 256 4 5 2 2" xfId="22322"/>
    <cellStyle name="Normal 256 4 5 3" xfId="22323"/>
    <cellStyle name="Normal 256 4 6" xfId="22324"/>
    <cellStyle name="Normal 256 5" xfId="22325"/>
    <cellStyle name="Normal 256 5 2" xfId="22326"/>
    <cellStyle name="Normal 256 5 2 2" xfId="22327"/>
    <cellStyle name="Normal 256 5 3" xfId="22328"/>
    <cellStyle name="Normal 256 6" xfId="22329"/>
    <cellStyle name="Normal 256 6 2" xfId="22330"/>
    <cellStyle name="Normal 256 6 2 2" xfId="22331"/>
    <cellStyle name="Normal 256 6 3" xfId="22332"/>
    <cellStyle name="Normal 256 7" xfId="22333"/>
    <cellStyle name="Normal 256 7 2" xfId="22334"/>
    <cellStyle name="Normal 256 7 2 2" xfId="22335"/>
    <cellStyle name="Normal 256 7 3" xfId="22336"/>
    <cellStyle name="Normal 256 8" xfId="22337"/>
    <cellStyle name="Normal 257" xfId="22338"/>
    <cellStyle name="Normal 257 2" xfId="22339"/>
    <cellStyle name="Normal 257 2 2" xfId="22340"/>
    <cellStyle name="Normal 257 2 2 2" xfId="22341"/>
    <cellStyle name="Normal 257 2 3" xfId="22342"/>
    <cellStyle name="Normal 257 2 3 2" xfId="22343"/>
    <cellStyle name="Normal 257 2 3 2 2" xfId="22344"/>
    <cellStyle name="Normal 257 2 3 3" xfId="22345"/>
    <cellStyle name="Normal 257 2 4" xfId="22346"/>
    <cellStyle name="Normal 257 2 4 2" xfId="22347"/>
    <cellStyle name="Normal 257 2 4 2 2" xfId="22348"/>
    <cellStyle name="Normal 257 2 4 3" xfId="22349"/>
    <cellStyle name="Normal 257 2 5" xfId="22350"/>
    <cellStyle name="Normal 257 3" xfId="22351"/>
    <cellStyle name="Normal 257 3 2" xfId="22352"/>
    <cellStyle name="Normal 257 3 2 2" xfId="22353"/>
    <cellStyle name="Normal 257 3 2 2 2" xfId="22354"/>
    <cellStyle name="Normal 257 3 2 3" xfId="22355"/>
    <cellStyle name="Normal 257 3 2 3 2" xfId="22356"/>
    <cellStyle name="Normal 257 3 2 3 2 2" xfId="22357"/>
    <cellStyle name="Normal 257 3 2 3 3" xfId="22358"/>
    <cellStyle name="Normal 257 3 2 4" xfId="22359"/>
    <cellStyle name="Normal 257 3 3" xfId="22360"/>
    <cellStyle name="Normal 257 3 3 2" xfId="22361"/>
    <cellStyle name="Normal 257 3 3 2 2" xfId="22362"/>
    <cellStyle name="Normal 257 3 3 3" xfId="22363"/>
    <cellStyle name="Normal 257 3 4" xfId="22364"/>
    <cellStyle name="Normal 257 3 4 2" xfId="22365"/>
    <cellStyle name="Normal 257 3 4 2 2" xfId="22366"/>
    <cellStyle name="Normal 257 3 4 3" xfId="22367"/>
    <cellStyle name="Normal 257 3 5" xfId="22368"/>
    <cellStyle name="Normal 257 3 5 2" xfId="22369"/>
    <cellStyle name="Normal 257 3 5 2 2" xfId="22370"/>
    <cellStyle name="Normal 257 3 5 3" xfId="22371"/>
    <cellStyle name="Normal 257 3 6" xfId="22372"/>
    <cellStyle name="Normal 257 4" xfId="22373"/>
    <cellStyle name="Normal 257 4 2" xfId="22374"/>
    <cellStyle name="Normal 257 4 2 2" xfId="22375"/>
    <cellStyle name="Normal 257 4 3" xfId="22376"/>
    <cellStyle name="Normal 257 5" xfId="22377"/>
    <cellStyle name="Normal 257 5 2" xfId="22378"/>
    <cellStyle name="Normal 257 5 2 2" xfId="22379"/>
    <cellStyle name="Normal 257 5 3" xfId="22380"/>
    <cellStyle name="Normal 257 6" xfId="22381"/>
    <cellStyle name="Normal 257 6 2" xfId="22382"/>
    <cellStyle name="Normal 257 6 2 2" xfId="22383"/>
    <cellStyle name="Normal 257 6 3" xfId="22384"/>
    <cellStyle name="Normal 257 7" xfId="22385"/>
    <cellStyle name="Normal 258" xfId="22386"/>
    <cellStyle name="Normal 258 2" xfId="22387"/>
    <cellStyle name="Normal 258 2 2" xfId="22388"/>
    <cellStyle name="Normal 258 2 2 2" xfId="22389"/>
    <cellStyle name="Normal 258 2 3" xfId="22390"/>
    <cellStyle name="Normal 258 2 3 2" xfId="22391"/>
    <cellStyle name="Normal 258 2 3 2 2" xfId="22392"/>
    <cellStyle name="Normal 258 2 3 3" xfId="22393"/>
    <cellStyle name="Normal 258 2 4" xfId="22394"/>
    <cellStyle name="Normal 258 2 4 2" xfId="22395"/>
    <cellStyle name="Normal 258 2 4 2 2" xfId="22396"/>
    <cellStyle name="Normal 258 2 4 3" xfId="22397"/>
    <cellStyle name="Normal 258 2 5" xfId="22398"/>
    <cellStyle name="Normal 258 3" xfId="22399"/>
    <cellStyle name="Normal 258 3 2" xfId="22400"/>
    <cellStyle name="Normal 258 3 2 2" xfId="22401"/>
    <cellStyle name="Normal 258 3 2 2 2" xfId="22402"/>
    <cellStyle name="Normal 258 3 2 3" xfId="22403"/>
    <cellStyle name="Normal 258 3 2 3 2" xfId="22404"/>
    <cellStyle name="Normal 258 3 2 3 2 2" xfId="22405"/>
    <cellStyle name="Normal 258 3 2 3 3" xfId="22406"/>
    <cellStyle name="Normal 258 3 2 4" xfId="22407"/>
    <cellStyle name="Normal 258 3 3" xfId="22408"/>
    <cellStyle name="Normal 258 3 3 2" xfId="22409"/>
    <cellStyle name="Normal 258 3 3 2 2" xfId="22410"/>
    <cellStyle name="Normal 258 3 3 3" xfId="22411"/>
    <cellStyle name="Normal 258 3 4" xfId="22412"/>
    <cellStyle name="Normal 258 3 4 2" xfId="22413"/>
    <cellStyle name="Normal 258 3 4 2 2" xfId="22414"/>
    <cellStyle name="Normal 258 3 4 3" xfId="22415"/>
    <cellStyle name="Normal 258 3 5" xfId="22416"/>
    <cellStyle name="Normal 258 3 5 2" xfId="22417"/>
    <cellStyle name="Normal 258 3 5 2 2" xfId="22418"/>
    <cellStyle name="Normal 258 3 5 3" xfId="22419"/>
    <cellStyle name="Normal 258 3 6" xfId="22420"/>
    <cellStyle name="Normal 258 4" xfId="22421"/>
    <cellStyle name="Normal 258 4 2" xfId="22422"/>
    <cellStyle name="Normal 258 4 2 2" xfId="22423"/>
    <cellStyle name="Normal 258 4 3" xfId="22424"/>
    <cellStyle name="Normal 258 5" xfId="22425"/>
    <cellStyle name="Normal 258 5 2" xfId="22426"/>
    <cellStyle name="Normal 258 5 2 2" xfId="22427"/>
    <cellStyle name="Normal 258 5 3" xfId="22428"/>
    <cellStyle name="Normal 258 6" xfId="22429"/>
    <cellStyle name="Normal 258 6 2" xfId="22430"/>
    <cellStyle name="Normal 258 6 2 2" xfId="22431"/>
    <cellStyle name="Normal 258 6 3" xfId="22432"/>
    <cellStyle name="Normal 258 7" xfId="22433"/>
    <cellStyle name="Normal 259" xfId="22434"/>
    <cellStyle name="Normal 259 2" xfId="22435"/>
    <cellStyle name="Normal 259 2 2" xfId="22436"/>
    <cellStyle name="Normal 259 2 2 2" xfId="22437"/>
    <cellStyle name="Normal 259 2 3" xfId="22438"/>
    <cellStyle name="Normal 259 2 3 2" xfId="22439"/>
    <cellStyle name="Normal 259 2 3 2 2" xfId="22440"/>
    <cellStyle name="Normal 259 2 3 3" xfId="22441"/>
    <cellStyle name="Normal 259 2 4" xfId="22442"/>
    <cellStyle name="Normal 259 2 4 2" xfId="22443"/>
    <cellStyle name="Normal 259 2 4 2 2" xfId="22444"/>
    <cellStyle name="Normal 259 2 4 3" xfId="22445"/>
    <cellStyle name="Normal 259 2 5" xfId="22446"/>
    <cellStyle name="Normal 259 3" xfId="22447"/>
    <cellStyle name="Normal 259 3 2" xfId="22448"/>
    <cellStyle name="Normal 259 3 2 2" xfId="22449"/>
    <cellStyle name="Normal 259 3 2 2 2" xfId="22450"/>
    <cellStyle name="Normal 259 3 2 3" xfId="22451"/>
    <cellStyle name="Normal 259 3 2 3 2" xfId="22452"/>
    <cellStyle name="Normal 259 3 2 3 2 2" xfId="22453"/>
    <cellStyle name="Normal 259 3 2 3 3" xfId="22454"/>
    <cellStyle name="Normal 259 3 2 4" xfId="22455"/>
    <cellStyle name="Normal 259 3 3" xfId="22456"/>
    <cellStyle name="Normal 259 3 3 2" xfId="22457"/>
    <cellStyle name="Normal 259 3 3 2 2" xfId="22458"/>
    <cellStyle name="Normal 259 3 3 3" xfId="22459"/>
    <cellStyle name="Normal 259 3 4" xfId="22460"/>
    <cellStyle name="Normal 259 3 4 2" xfId="22461"/>
    <cellStyle name="Normal 259 3 4 2 2" xfId="22462"/>
    <cellStyle name="Normal 259 3 4 3" xfId="22463"/>
    <cellStyle name="Normal 259 3 5" xfId="22464"/>
    <cellStyle name="Normal 259 3 5 2" xfId="22465"/>
    <cellStyle name="Normal 259 3 5 2 2" xfId="22466"/>
    <cellStyle name="Normal 259 3 5 3" xfId="22467"/>
    <cellStyle name="Normal 259 3 6" xfId="22468"/>
    <cellStyle name="Normal 259 4" xfId="22469"/>
    <cellStyle name="Normal 259 4 2" xfId="22470"/>
    <cellStyle name="Normal 259 4 2 2" xfId="22471"/>
    <cellStyle name="Normal 259 4 3" xfId="22472"/>
    <cellStyle name="Normal 259 5" xfId="22473"/>
    <cellStyle name="Normal 259 5 2" xfId="22474"/>
    <cellStyle name="Normal 259 5 2 2" xfId="22475"/>
    <cellStyle name="Normal 259 5 3" xfId="22476"/>
    <cellStyle name="Normal 259 6" xfId="22477"/>
    <cellStyle name="Normal 259 6 2" xfId="22478"/>
    <cellStyle name="Normal 259 6 2 2" xfId="22479"/>
    <cellStyle name="Normal 259 6 3" xfId="22480"/>
    <cellStyle name="Normal 259 7" xfId="22481"/>
    <cellStyle name="Normal 26" xfId="22482"/>
    <cellStyle name="Normal 26 2" xfId="22483"/>
    <cellStyle name="Normal 26 2 2" xfId="22484"/>
    <cellStyle name="Normal 26 2 2 2" xfId="22485"/>
    <cellStyle name="Normal 26 2 2 2 2" xfId="22486"/>
    <cellStyle name="Normal 26 2 2 3" xfId="22487"/>
    <cellStyle name="Normal 26 2 2 3 2" xfId="22488"/>
    <cellStyle name="Normal 26 2 2 3 2 2" xfId="22489"/>
    <cellStyle name="Normal 26 2 2 3 3" xfId="22490"/>
    <cellStyle name="Normal 26 2 2 4" xfId="22491"/>
    <cellStyle name="Normal 26 2 2 4 2" xfId="22492"/>
    <cellStyle name="Normal 26 2 2 4 2 2" xfId="22493"/>
    <cellStyle name="Normal 26 2 2 4 3" xfId="22494"/>
    <cellStyle name="Normal 26 2 2 5" xfId="22495"/>
    <cellStyle name="Normal 26 2 3" xfId="22496"/>
    <cellStyle name="Normal 26 2 3 2" xfId="22497"/>
    <cellStyle name="Normal 26 2 3 2 2" xfId="22498"/>
    <cellStyle name="Normal 26 2 3 3" xfId="22499"/>
    <cellStyle name="Normal 26 2 4" xfId="22500"/>
    <cellStyle name="Normal 26 2 4 2" xfId="22501"/>
    <cellStyle name="Normal 26 2 4 2 2" xfId="22502"/>
    <cellStyle name="Normal 26 2 4 3" xfId="22503"/>
    <cellStyle name="Normal 26 2 5" xfId="22504"/>
    <cellStyle name="Normal 26 2 5 2" xfId="22505"/>
    <cellStyle name="Normal 26 2 5 2 2" xfId="22506"/>
    <cellStyle name="Normal 26 2 5 3" xfId="22507"/>
    <cellStyle name="Normal 26 2 6" xfId="22508"/>
    <cellStyle name="Normal 26 3" xfId="22509"/>
    <cellStyle name="Normal 26 3 2" xfId="22510"/>
    <cellStyle name="Normal 26 3 2 2" xfId="22511"/>
    <cellStyle name="Normal 26 3 3" xfId="22512"/>
    <cellStyle name="Normal 26 3 3 2" xfId="22513"/>
    <cellStyle name="Normal 26 3 3 2 2" xfId="22514"/>
    <cellStyle name="Normal 26 3 3 3" xfId="22515"/>
    <cellStyle name="Normal 26 3 4" xfId="22516"/>
    <cellStyle name="Normal 26 3 4 2" xfId="22517"/>
    <cellStyle name="Normal 26 3 4 2 2" xfId="22518"/>
    <cellStyle name="Normal 26 3 4 3" xfId="22519"/>
    <cellStyle name="Normal 26 3 5" xfId="22520"/>
    <cellStyle name="Normal 26 4" xfId="22521"/>
    <cellStyle name="Normal 26 4 2" xfId="22522"/>
    <cellStyle name="Normal 26 4 2 2" xfId="22523"/>
    <cellStyle name="Normal 26 4 3" xfId="22524"/>
    <cellStyle name="Normal 26 4 3 2" xfId="22525"/>
    <cellStyle name="Normal 26 4 3 2 2" xfId="22526"/>
    <cellStyle name="Normal 26 4 3 3" xfId="22527"/>
    <cellStyle name="Normal 26 4 4" xfId="22528"/>
    <cellStyle name="Normal 26 4 4 2" xfId="22529"/>
    <cellStyle name="Normal 26 4 4 2 2" xfId="22530"/>
    <cellStyle name="Normal 26 4 4 3" xfId="22531"/>
    <cellStyle name="Normal 26 4 5" xfId="22532"/>
    <cellStyle name="Normal 26 5" xfId="22533"/>
    <cellStyle name="Normal 26 5 2" xfId="22534"/>
    <cellStyle name="Normal 26 5 2 2" xfId="22535"/>
    <cellStyle name="Normal 26 5 3" xfId="22536"/>
    <cellStyle name="Normal 26 6" xfId="22537"/>
    <cellStyle name="Normal 26 6 2" xfId="22538"/>
    <cellStyle name="Normal 26 6 2 2" xfId="22539"/>
    <cellStyle name="Normal 26 6 3" xfId="22540"/>
    <cellStyle name="Normal 26 7" xfId="22541"/>
    <cellStyle name="Normal 26 7 2" xfId="22542"/>
    <cellStyle name="Normal 26 7 2 2" xfId="22543"/>
    <cellStyle name="Normal 26 7 3" xfId="22544"/>
    <cellStyle name="Normal 26 8" xfId="22545"/>
    <cellStyle name="Normal 260" xfId="22546"/>
    <cellStyle name="Normal 260 2" xfId="22547"/>
    <cellStyle name="Normal 260 2 2" xfId="22548"/>
    <cellStyle name="Normal 260 2 2 2" xfId="22549"/>
    <cellStyle name="Normal 260 2 2 2 2" xfId="22550"/>
    <cellStyle name="Normal 260 2 2 3" xfId="22551"/>
    <cellStyle name="Normal 260 2 2 3 2" xfId="22552"/>
    <cellStyle name="Normal 260 2 2 3 2 2" xfId="22553"/>
    <cellStyle name="Normal 260 2 2 3 3" xfId="22554"/>
    <cellStyle name="Normal 260 2 2 4" xfId="22555"/>
    <cellStyle name="Normal 260 2 2 4 2" xfId="22556"/>
    <cellStyle name="Normal 260 2 2 4 2 2" xfId="22557"/>
    <cellStyle name="Normal 260 2 2 4 3" xfId="22558"/>
    <cellStyle name="Normal 260 2 2 5" xfId="22559"/>
    <cellStyle name="Normal 260 2 3" xfId="22560"/>
    <cellStyle name="Normal 260 2 3 2" xfId="22561"/>
    <cellStyle name="Normal 260 2 3 2 2" xfId="22562"/>
    <cellStyle name="Normal 260 2 3 2 2 2" xfId="22563"/>
    <cellStyle name="Normal 260 2 3 2 3" xfId="22564"/>
    <cellStyle name="Normal 260 2 3 2 3 2" xfId="22565"/>
    <cellStyle name="Normal 260 2 3 2 3 2 2" xfId="22566"/>
    <cellStyle name="Normal 260 2 3 2 3 3" xfId="22567"/>
    <cellStyle name="Normal 260 2 3 2 4" xfId="22568"/>
    <cellStyle name="Normal 260 2 3 3" xfId="22569"/>
    <cellStyle name="Normal 260 2 3 3 2" xfId="22570"/>
    <cellStyle name="Normal 260 2 3 3 2 2" xfId="22571"/>
    <cellStyle name="Normal 260 2 3 3 3" xfId="22572"/>
    <cellStyle name="Normal 260 2 3 4" xfId="22573"/>
    <cellStyle name="Normal 260 2 3 4 2" xfId="22574"/>
    <cellStyle name="Normal 260 2 3 4 2 2" xfId="22575"/>
    <cellStyle name="Normal 260 2 3 4 3" xfId="22576"/>
    <cellStyle name="Normal 260 2 3 5" xfId="22577"/>
    <cellStyle name="Normal 260 2 3 5 2" xfId="22578"/>
    <cellStyle name="Normal 260 2 3 5 2 2" xfId="22579"/>
    <cellStyle name="Normal 260 2 3 5 3" xfId="22580"/>
    <cellStyle name="Normal 260 2 3 6" xfId="22581"/>
    <cellStyle name="Normal 260 2 4" xfId="22582"/>
    <cellStyle name="Normal 260 2 4 2" xfId="22583"/>
    <cellStyle name="Normal 260 2 4 2 2" xfId="22584"/>
    <cellStyle name="Normal 260 2 4 3" xfId="22585"/>
    <cellStyle name="Normal 260 2 5" xfId="22586"/>
    <cellStyle name="Normal 260 2 5 2" xfId="22587"/>
    <cellStyle name="Normal 260 2 5 2 2" xfId="22588"/>
    <cellStyle name="Normal 260 2 5 3" xfId="22589"/>
    <cellStyle name="Normal 260 2 6" xfId="22590"/>
    <cellStyle name="Normal 260 2 6 2" xfId="22591"/>
    <cellStyle name="Normal 260 2 6 2 2" xfId="22592"/>
    <cellStyle name="Normal 260 2 6 3" xfId="22593"/>
    <cellStyle name="Normal 260 2 7" xfId="22594"/>
    <cellStyle name="Normal 260 3" xfId="22595"/>
    <cellStyle name="Normal 260 3 2" xfId="22596"/>
    <cellStyle name="Normal 260 3 2 2" xfId="22597"/>
    <cellStyle name="Normal 260 3 3" xfId="22598"/>
    <cellStyle name="Normal 260 3 3 2" xfId="22599"/>
    <cellStyle name="Normal 260 3 3 2 2" xfId="22600"/>
    <cellStyle name="Normal 260 3 3 3" xfId="22601"/>
    <cellStyle name="Normal 260 3 4" xfId="22602"/>
    <cellStyle name="Normal 260 3 4 2" xfId="22603"/>
    <cellStyle name="Normal 260 3 4 2 2" xfId="22604"/>
    <cellStyle name="Normal 260 3 4 3" xfId="22605"/>
    <cellStyle name="Normal 260 3 5" xfId="22606"/>
    <cellStyle name="Normal 260 4" xfId="22607"/>
    <cellStyle name="Normal 260 4 2" xfId="22608"/>
    <cellStyle name="Normal 260 4 2 2" xfId="22609"/>
    <cellStyle name="Normal 260 4 2 2 2" xfId="22610"/>
    <cellStyle name="Normal 260 4 2 3" xfId="22611"/>
    <cellStyle name="Normal 260 4 2 3 2" xfId="22612"/>
    <cellStyle name="Normal 260 4 2 3 2 2" xfId="22613"/>
    <cellStyle name="Normal 260 4 2 3 3" xfId="22614"/>
    <cellStyle name="Normal 260 4 2 4" xfId="22615"/>
    <cellStyle name="Normal 260 4 3" xfId="22616"/>
    <cellStyle name="Normal 260 4 3 2" xfId="22617"/>
    <cellStyle name="Normal 260 4 3 2 2" xfId="22618"/>
    <cellStyle name="Normal 260 4 3 3" xfId="22619"/>
    <cellStyle name="Normal 260 4 4" xfId="22620"/>
    <cellStyle name="Normal 260 4 4 2" xfId="22621"/>
    <cellStyle name="Normal 260 4 4 2 2" xfId="22622"/>
    <cellStyle name="Normal 260 4 4 3" xfId="22623"/>
    <cellStyle name="Normal 260 4 5" xfId="22624"/>
    <cellStyle name="Normal 260 4 5 2" xfId="22625"/>
    <cellStyle name="Normal 260 4 5 2 2" xfId="22626"/>
    <cellStyle name="Normal 260 4 5 3" xfId="22627"/>
    <cellStyle name="Normal 260 4 6" xfId="22628"/>
    <cellStyle name="Normal 260 5" xfId="22629"/>
    <cellStyle name="Normal 260 5 2" xfId="22630"/>
    <cellStyle name="Normal 260 5 2 2" xfId="22631"/>
    <cellStyle name="Normal 260 5 3" xfId="22632"/>
    <cellStyle name="Normal 260 6" xfId="22633"/>
    <cellStyle name="Normal 260 6 2" xfId="22634"/>
    <cellStyle name="Normal 260 6 2 2" xfId="22635"/>
    <cellStyle name="Normal 260 6 3" xfId="22636"/>
    <cellStyle name="Normal 260 7" xfId="22637"/>
    <cellStyle name="Normal 260 7 2" xfId="22638"/>
    <cellStyle name="Normal 260 7 2 2" xfId="22639"/>
    <cellStyle name="Normal 260 7 3" xfId="22640"/>
    <cellStyle name="Normal 260 8" xfId="22641"/>
    <cellStyle name="Normal 261" xfId="22642"/>
    <cellStyle name="Normal 261 2" xfId="22643"/>
    <cellStyle name="Normal 261 2 2" xfId="22644"/>
    <cellStyle name="Normal 261 2 2 2" xfId="22645"/>
    <cellStyle name="Normal 261 2 2 2 2" xfId="22646"/>
    <cellStyle name="Normal 261 2 2 3" xfId="22647"/>
    <cellStyle name="Normal 261 2 2 3 2" xfId="22648"/>
    <cellStyle name="Normal 261 2 2 3 2 2" xfId="22649"/>
    <cellStyle name="Normal 261 2 2 3 3" xfId="22650"/>
    <cellStyle name="Normal 261 2 2 4" xfId="22651"/>
    <cellStyle name="Normal 261 2 2 4 2" xfId="22652"/>
    <cellStyle name="Normal 261 2 2 4 2 2" xfId="22653"/>
    <cellStyle name="Normal 261 2 2 4 3" xfId="22654"/>
    <cellStyle name="Normal 261 2 2 5" xfId="22655"/>
    <cellStyle name="Normal 261 2 3" xfId="22656"/>
    <cellStyle name="Normal 261 2 3 2" xfId="22657"/>
    <cellStyle name="Normal 261 2 3 2 2" xfId="22658"/>
    <cellStyle name="Normal 261 2 3 2 2 2" xfId="22659"/>
    <cellStyle name="Normal 261 2 3 2 3" xfId="22660"/>
    <cellStyle name="Normal 261 2 3 2 3 2" xfId="22661"/>
    <cellStyle name="Normal 261 2 3 2 3 2 2" xfId="22662"/>
    <cellStyle name="Normal 261 2 3 2 3 3" xfId="22663"/>
    <cellStyle name="Normal 261 2 3 2 4" xfId="22664"/>
    <cellStyle name="Normal 261 2 3 3" xfId="22665"/>
    <cellStyle name="Normal 261 2 3 3 2" xfId="22666"/>
    <cellStyle name="Normal 261 2 3 3 2 2" xfId="22667"/>
    <cellStyle name="Normal 261 2 3 3 3" xfId="22668"/>
    <cellStyle name="Normal 261 2 3 4" xfId="22669"/>
    <cellStyle name="Normal 261 2 3 4 2" xfId="22670"/>
    <cellStyle name="Normal 261 2 3 4 2 2" xfId="22671"/>
    <cellStyle name="Normal 261 2 3 4 3" xfId="22672"/>
    <cellStyle name="Normal 261 2 3 5" xfId="22673"/>
    <cellStyle name="Normal 261 2 3 5 2" xfId="22674"/>
    <cellStyle name="Normal 261 2 3 5 2 2" xfId="22675"/>
    <cellStyle name="Normal 261 2 3 5 3" xfId="22676"/>
    <cellStyle name="Normal 261 2 3 6" xfId="22677"/>
    <cellStyle name="Normal 261 2 4" xfId="22678"/>
    <cellStyle name="Normal 261 2 4 2" xfId="22679"/>
    <cellStyle name="Normal 261 2 4 2 2" xfId="22680"/>
    <cellStyle name="Normal 261 2 4 3" xfId="22681"/>
    <cellStyle name="Normal 261 2 5" xfId="22682"/>
    <cellStyle name="Normal 261 2 5 2" xfId="22683"/>
    <cellStyle name="Normal 261 2 5 2 2" xfId="22684"/>
    <cellStyle name="Normal 261 2 5 3" xfId="22685"/>
    <cellStyle name="Normal 261 2 6" xfId="22686"/>
    <cellStyle name="Normal 261 2 6 2" xfId="22687"/>
    <cellStyle name="Normal 261 2 6 2 2" xfId="22688"/>
    <cellStyle name="Normal 261 2 6 3" xfId="22689"/>
    <cellStyle name="Normal 261 2 7" xfId="22690"/>
    <cellStyle name="Normal 261 3" xfId="22691"/>
    <cellStyle name="Normal 261 3 2" xfId="22692"/>
    <cellStyle name="Normal 261 3 2 2" xfId="22693"/>
    <cellStyle name="Normal 261 3 3" xfId="22694"/>
    <cellStyle name="Normal 261 3 3 2" xfId="22695"/>
    <cellStyle name="Normal 261 3 3 2 2" xfId="22696"/>
    <cellStyle name="Normal 261 3 3 3" xfId="22697"/>
    <cellStyle name="Normal 261 3 4" xfId="22698"/>
    <cellStyle name="Normal 261 3 4 2" xfId="22699"/>
    <cellStyle name="Normal 261 3 4 2 2" xfId="22700"/>
    <cellStyle name="Normal 261 3 4 3" xfId="22701"/>
    <cellStyle name="Normal 261 3 5" xfId="22702"/>
    <cellStyle name="Normal 261 4" xfId="22703"/>
    <cellStyle name="Normal 261 4 2" xfId="22704"/>
    <cellStyle name="Normal 261 4 2 2" xfId="22705"/>
    <cellStyle name="Normal 261 4 2 2 2" xfId="22706"/>
    <cellStyle name="Normal 261 4 2 3" xfId="22707"/>
    <cellStyle name="Normal 261 4 2 3 2" xfId="22708"/>
    <cellStyle name="Normal 261 4 2 3 2 2" xfId="22709"/>
    <cellStyle name="Normal 261 4 2 3 3" xfId="22710"/>
    <cellStyle name="Normal 261 4 2 4" xfId="22711"/>
    <cellStyle name="Normal 261 4 3" xfId="22712"/>
    <cellStyle name="Normal 261 4 3 2" xfId="22713"/>
    <cellStyle name="Normal 261 4 3 2 2" xfId="22714"/>
    <cellStyle name="Normal 261 4 3 3" xfId="22715"/>
    <cellStyle name="Normal 261 4 4" xfId="22716"/>
    <cellStyle name="Normal 261 4 4 2" xfId="22717"/>
    <cellStyle name="Normal 261 4 4 2 2" xfId="22718"/>
    <cellStyle name="Normal 261 4 4 3" xfId="22719"/>
    <cellStyle name="Normal 261 4 5" xfId="22720"/>
    <cellStyle name="Normal 261 4 5 2" xfId="22721"/>
    <cellStyle name="Normal 261 4 5 2 2" xfId="22722"/>
    <cellStyle name="Normal 261 4 5 3" xfId="22723"/>
    <cellStyle name="Normal 261 4 6" xfId="22724"/>
    <cellStyle name="Normal 261 5" xfId="22725"/>
    <cellStyle name="Normal 261 5 2" xfId="22726"/>
    <cellStyle name="Normal 261 5 2 2" xfId="22727"/>
    <cellStyle name="Normal 261 5 3" xfId="22728"/>
    <cellStyle name="Normal 261 6" xfId="22729"/>
    <cellStyle name="Normal 261 6 2" xfId="22730"/>
    <cellStyle name="Normal 261 6 2 2" xfId="22731"/>
    <cellStyle name="Normal 261 6 3" xfId="22732"/>
    <cellStyle name="Normal 261 7" xfId="22733"/>
    <cellStyle name="Normal 261 7 2" xfId="22734"/>
    <cellStyle name="Normal 261 7 2 2" xfId="22735"/>
    <cellStyle name="Normal 261 7 3" xfId="22736"/>
    <cellStyle name="Normal 261 8" xfId="22737"/>
    <cellStyle name="Normal 262" xfId="22738"/>
    <cellStyle name="Normal 262 2" xfId="22739"/>
    <cellStyle name="Normal 262 2 2" xfId="22740"/>
    <cellStyle name="Normal 262 2 2 2" xfId="22741"/>
    <cellStyle name="Normal 262 2 2 2 2" xfId="22742"/>
    <cellStyle name="Normal 262 2 2 3" xfId="22743"/>
    <cellStyle name="Normal 262 2 2 3 2" xfId="22744"/>
    <cellStyle name="Normal 262 2 2 3 2 2" xfId="22745"/>
    <cellStyle name="Normal 262 2 2 3 3" xfId="22746"/>
    <cellStyle name="Normal 262 2 2 4" xfId="22747"/>
    <cellStyle name="Normal 262 2 2 4 2" xfId="22748"/>
    <cellStyle name="Normal 262 2 2 4 2 2" xfId="22749"/>
    <cellStyle name="Normal 262 2 2 4 3" xfId="22750"/>
    <cellStyle name="Normal 262 2 2 5" xfId="22751"/>
    <cellStyle name="Normal 262 2 3" xfId="22752"/>
    <cellStyle name="Normal 262 2 3 2" xfId="22753"/>
    <cellStyle name="Normal 262 2 3 2 2" xfId="22754"/>
    <cellStyle name="Normal 262 2 3 2 2 2" xfId="22755"/>
    <cellStyle name="Normal 262 2 3 2 3" xfId="22756"/>
    <cellStyle name="Normal 262 2 3 2 3 2" xfId="22757"/>
    <cellStyle name="Normal 262 2 3 2 3 2 2" xfId="22758"/>
    <cellStyle name="Normal 262 2 3 2 3 3" xfId="22759"/>
    <cellStyle name="Normal 262 2 3 2 4" xfId="22760"/>
    <cellStyle name="Normal 262 2 3 3" xfId="22761"/>
    <cellStyle name="Normal 262 2 3 3 2" xfId="22762"/>
    <cellStyle name="Normal 262 2 3 3 2 2" xfId="22763"/>
    <cellStyle name="Normal 262 2 3 3 3" xfId="22764"/>
    <cellStyle name="Normal 262 2 3 4" xfId="22765"/>
    <cellStyle name="Normal 262 2 3 4 2" xfId="22766"/>
    <cellStyle name="Normal 262 2 3 4 2 2" xfId="22767"/>
    <cellStyle name="Normal 262 2 3 4 3" xfId="22768"/>
    <cellStyle name="Normal 262 2 3 5" xfId="22769"/>
    <cellStyle name="Normal 262 2 3 5 2" xfId="22770"/>
    <cellStyle name="Normal 262 2 3 5 2 2" xfId="22771"/>
    <cellStyle name="Normal 262 2 3 5 3" xfId="22772"/>
    <cellStyle name="Normal 262 2 3 6" xfId="22773"/>
    <cellStyle name="Normal 262 2 4" xfId="22774"/>
    <cellStyle name="Normal 262 2 4 2" xfId="22775"/>
    <cellStyle name="Normal 262 2 4 2 2" xfId="22776"/>
    <cellStyle name="Normal 262 2 4 3" xfId="22777"/>
    <cellStyle name="Normal 262 2 5" xfId="22778"/>
    <cellStyle name="Normal 262 2 5 2" xfId="22779"/>
    <cellStyle name="Normal 262 2 5 2 2" xfId="22780"/>
    <cellStyle name="Normal 262 2 5 3" xfId="22781"/>
    <cellStyle name="Normal 262 2 6" xfId="22782"/>
    <cellStyle name="Normal 262 2 6 2" xfId="22783"/>
    <cellStyle name="Normal 262 2 6 2 2" xfId="22784"/>
    <cellStyle name="Normal 262 2 6 3" xfId="22785"/>
    <cellStyle name="Normal 262 2 7" xfId="22786"/>
    <cellStyle name="Normal 262 3" xfId="22787"/>
    <cellStyle name="Normal 262 3 2" xfId="22788"/>
    <cellStyle name="Normal 262 3 2 2" xfId="22789"/>
    <cellStyle name="Normal 262 3 3" xfId="22790"/>
    <cellStyle name="Normal 262 3 3 2" xfId="22791"/>
    <cellStyle name="Normal 262 3 3 2 2" xfId="22792"/>
    <cellStyle name="Normal 262 3 3 3" xfId="22793"/>
    <cellStyle name="Normal 262 3 4" xfId="22794"/>
    <cellStyle name="Normal 262 3 4 2" xfId="22795"/>
    <cellStyle name="Normal 262 3 4 2 2" xfId="22796"/>
    <cellStyle name="Normal 262 3 4 3" xfId="22797"/>
    <cellStyle name="Normal 262 3 5" xfId="22798"/>
    <cellStyle name="Normal 262 4" xfId="22799"/>
    <cellStyle name="Normal 262 4 2" xfId="22800"/>
    <cellStyle name="Normal 262 4 2 2" xfId="22801"/>
    <cellStyle name="Normal 262 4 2 2 2" xfId="22802"/>
    <cellStyle name="Normal 262 4 2 3" xfId="22803"/>
    <cellStyle name="Normal 262 4 2 3 2" xfId="22804"/>
    <cellStyle name="Normal 262 4 2 3 2 2" xfId="22805"/>
    <cellStyle name="Normal 262 4 2 3 3" xfId="22806"/>
    <cellStyle name="Normal 262 4 2 4" xfId="22807"/>
    <cellStyle name="Normal 262 4 3" xfId="22808"/>
    <cellStyle name="Normal 262 4 3 2" xfId="22809"/>
    <cellStyle name="Normal 262 4 3 2 2" xfId="22810"/>
    <cellStyle name="Normal 262 4 3 3" xfId="22811"/>
    <cellStyle name="Normal 262 4 4" xfId="22812"/>
    <cellStyle name="Normal 262 4 4 2" xfId="22813"/>
    <cellStyle name="Normal 262 4 4 2 2" xfId="22814"/>
    <cellStyle name="Normal 262 4 4 3" xfId="22815"/>
    <cellStyle name="Normal 262 4 5" xfId="22816"/>
    <cellStyle name="Normal 262 4 5 2" xfId="22817"/>
    <cellStyle name="Normal 262 4 5 2 2" xfId="22818"/>
    <cellStyle name="Normal 262 4 5 3" xfId="22819"/>
    <cellStyle name="Normal 262 4 6" xfId="22820"/>
    <cellStyle name="Normal 262 5" xfId="22821"/>
    <cellStyle name="Normal 262 5 2" xfId="22822"/>
    <cellStyle name="Normal 262 5 2 2" xfId="22823"/>
    <cellStyle name="Normal 262 5 3" xfId="22824"/>
    <cellStyle name="Normal 262 6" xfId="22825"/>
    <cellStyle name="Normal 262 6 2" xfId="22826"/>
    <cellStyle name="Normal 262 6 2 2" xfId="22827"/>
    <cellStyle name="Normal 262 6 3" xfId="22828"/>
    <cellStyle name="Normal 262 7" xfId="22829"/>
    <cellStyle name="Normal 262 7 2" xfId="22830"/>
    <cellStyle name="Normal 262 7 2 2" xfId="22831"/>
    <cellStyle name="Normal 262 7 3" xfId="22832"/>
    <cellStyle name="Normal 262 8" xfId="22833"/>
    <cellStyle name="Normal 263" xfId="22834"/>
    <cellStyle name="Normal 263 2" xfId="22835"/>
    <cellStyle name="Normal 263 2 2" xfId="22836"/>
    <cellStyle name="Normal 263 2 2 2" xfId="22837"/>
    <cellStyle name="Normal 263 2 2 2 2" xfId="22838"/>
    <cellStyle name="Normal 263 2 2 3" xfId="22839"/>
    <cellStyle name="Normal 263 2 2 3 2" xfId="22840"/>
    <cellStyle name="Normal 263 2 2 3 2 2" xfId="22841"/>
    <cellStyle name="Normal 263 2 2 3 3" xfId="22842"/>
    <cellStyle name="Normal 263 2 2 4" xfId="22843"/>
    <cellStyle name="Normal 263 2 2 4 2" xfId="22844"/>
    <cellStyle name="Normal 263 2 2 4 2 2" xfId="22845"/>
    <cellStyle name="Normal 263 2 2 4 3" xfId="22846"/>
    <cellStyle name="Normal 263 2 2 5" xfId="22847"/>
    <cellStyle name="Normal 263 2 3" xfId="22848"/>
    <cellStyle name="Normal 263 2 3 2" xfId="22849"/>
    <cellStyle name="Normal 263 2 3 2 2" xfId="22850"/>
    <cellStyle name="Normal 263 2 3 2 2 2" xfId="22851"/>
    <cellStyle name="Normal 263 2 3 2 3" xfId="22852"/>
    <cellStyle name="Normal 263 2 3 2 3 2" xfId="22853"/>
    <cellStyle name="Normal 263 2 3 2 3 2 2" xfId="22854"/>
    <cellStyle name="Normal 263 2 3 2 3 3" xfId="22855"/>
    <cellStyle name="Normal 263 2 3 2 4" xfId="22856"/>
    <cellStyle name="Normal 263 2 3 3" xfId="22857"/>
    <cellStyle name="Normal 263 2 3 3 2" xfId="22858"/>
    <cellStyle name="Normal 263 2 3 3 2 2" xfId="22859"/>
    <cellStyle name="Normal 263 2 3 3 3" xfId="22860"/>
    <cellStyle name="Normal 263 2 3 4" xfId="22861"/>
    <cellStyle name="Normal 263 2 3 4 2" xfId="22862"/>
    <cellStyle name="Normal 263 2 3 4 2 2" xfId="22863"/>
    <cellStyle name="Normal 263 2 3 4 3" xfId="22864"/>
    <cellStyle name="Normal 263 2 3 5" xfId="22865"/>
    <cellStyle name="Normal 263 2 3 5 2" xfId="22866"/>
    <cellStyle name="Normal 263 2 3 5 2 2" xfId="22867"/>
    <cellStyle name="Normal 263 2 3 5 3" xfId="22868"/>
    <cellStyle name="Normal 263 2 3 6" xfId="22869"/>
    <cellStyle name="Normal 263 2 4" xfId="22870"/>
    <cellStyle name="Normal 263 2 4 2" xfId="22871"/>
    <cellStyle name="Normal 263 2 4 2 2" xfId="22872"/>
    <cellStyle name="Normal 263 2 4 3" xfId="22873"/>
    <cellStyle name="Normal 263 2 5" xfId="22874"/>
    <cellStyle name="Normal 263 2 5 2" xfId="22875"/>
    <cellStyle name="Normal 263 2 5 2 2" xfId="22876"/>
    <cellStyle name="Normal 263 2 5 3" xfId="22877"/>
    <cellStyle name="Normal 263 2 6" xfId="22878"/>
    <cellStyle name="Normal 263 2 6 2" xfId="22879"/>
    <cellStyle name="Normal 263 2 6 2 2" xfId="22880"/>
    <cellStyle name="Normal 263 2 6 3" xfId="22881"/>
    <cellStyle name="Normal 263 2 7" xfId="22882"/>
    <cellStyle name="Normal 263 3" xfId="22883"/>
    <cellStyle name="Normal 263 3 2" xfId="22884"/>
    <cellStyle name="Normal 263 3 2 2" xfId="22885"/>
    <cellStyle name="Normal 263 3 3" xfId="22886"/>
    <cellStyle name="Normal 263 3 3 2" xfId="22887"/>
    <cellStyle name="Normal 263 3 3 2 2" xfId="22888"/>
    <cellStyle name="Normal 263 3 3 3" xfId="22889"/>
    <cellStyle name="Normal 263 3 4" xfId="22890"/>
    <cellStyle name="Normal 263 3 4 2" xfId="22891"/>
    <cellStyle name="Normal 263 3 4 2 2" xfId="22892"/>
    <cellStyle name="Normal 263 3 4 3" xfId="22893"/>
    <cellStyle name="Normal 263 3 5" xfId="22894"/>
    <cellStyle name="Normal 263 4" xfId="22895"/>
    <cellStyle name="Normal 263 4 2" xfId="22896"/>
    <cellStyle name="Normal 263 4 2 2" xfId="22897"/>
    <cellStyle name="Normal 263 4 2 2 2" xfId="22898"/>
    <cellStyle name="Normal 263 4 2 3" xfId="22899"/>
    <cellStyle name="Normal 263 4 2 3 2" xfId="22900"/>
    <cellStyle name="Normal 263 4 2 3 2 2" xfId="22901"/>
    <cellStyle name="Normal 263 4 2 3 3" xfId="22902"/>
    <cellStyle name="Normal 263 4 2 4" xfId="22903"/>
    <cellStyle name="Normal 263 4 3" xfId="22904"/>
    <cellStyle name="Normal 263 4 3 2" xfId="22905"/>
    <cellStyle name="Normal 263 4 3 2 2" xfId="22906"/>
    <cellStyle name="Normal 263 4 3 3" xfId="22907"/>
    <cellStyle name="Normal 263 4 4" xfId="22908"/>
    <cellStyle name="Normal 263 4 4 2" xfId="22909"/>
    <cellStyle name="Normal 263 4 4 2 2" xfId="22910"/>
    <cellStyle name="Normal 263 4 4 3" xfId="22911"/>
    <cellStyle name="Normal 263 4 5" xfId="22912"/>
    <cellStyle name="Normal 263 4 5 2" xfId="22913"/>
    <cellStyle name="Normal 263 4 5 2 2" xfId="22914"/>
    <cellStyle name="Normal 263 4 5 3" xfId="22915"/>
    <cellStyle name="Normal 263 4 6" xfId="22916"/>
    <cellStyle name="Normal 263 5" xfId="22917"/>
    <cellStyle name="Normal 263 5 2" xfId="22918"/>
    <cellStyle name="Normal 263 5 2 2" xfId="22919"/>
    <cellStyle name="Normal 263 5 3" xfId="22920"/>
    <cellStyle name="Normal 263 6" xfId="22921"/>
    <cellStyle name="Normal 263 6 2" xfId="22922"/>
    <cellStyle name="Normal 263 6 2 2" xfId="22923"/>
    <cellStyle name="Normal 263 6 3" xfId="22924"/>
    <cellStyle name="Normal 263 7" xfId="22925"/>
    <cellStyle name="Normal 263 7 2" xfId="22926"/>
    <cellStyle name="Normal 263 7 2 2" xfId="22927"/>
    <cellStyle name="Normal 263 7 3" xfId="22928"/>
    <cellStyle name="Normal 263 8" xfId="22929"/>
    <cellStyle name="Normal 264" xfId="22930"/>
    <cellStyle name="Normal 264 2" xfId="22931"/>
    <cellStyle name="Normal 264 2 2" xfId="22932"/>
    <cellStyle name="Normal 264 2 2 2" xfId="22933"/>
    <cellStyle name="Normal 264 2 3" xfId="22934"/>
    <cellStyle name="Normal 264 2 3 2" xfId="22935"/>
    <cellStyle name="Normal 264 2 3 2 2" xfId="22936"/>
    <cellStyle name="Normal 264 2 3 3" xfId="22937"/>
    <cellStyle name="Normal 264 2 4" xfId="22938"/>
    <cellStyle name="Normal 264 2 4 2" xfId="22939"/>
    <cellStyle name="Normal 264 2 4 2 2" xfId="22940"/>
    <cellStyle name="Normal 264 2 4 3" xfId="22941"/>
    <cellStyle name="Normal 264 2 5" xfId="22942"/>
    <cellStyle name="Normal 264 3" xfId="22943"/>
    <cellStyle name="Normal 264 3 2" xfId="22944"/>
    <cellStyle name="Normal 264 3 2 2" xfId="22945"/>
    <cellStyle name="Normal 264 3 2 2 2" xfId="22946"/>
    <cellStyle name="Normal 264 3 2 3" xfId="22947"/>
    <cellStyle name="Normal 264 3 2 3 2" xfId="22948"/>
    <cellStyle name="Normal 264 3 2 3 2 2" xfId="22949"/>
    <cellStyle name="Normal 264 3 2 3 3" xfId="22950"/>
    <cellStyle name="Normal 264 3 2 4" xfId="22951"/>
    <cellStyle name="Normal 264 3 3" xfId="22952"/>
    <cellStyle name="Normal 264 3 3 2" xfId="22953"/>
    <cellStyle name="Normal 264 3 3 2 2" xfId="22954"/>
    <cellStyle name="Normal 264 3 3 3" xfId="22955"/>
    <cellStyle name="Normal 264 3 4" xfId="22956"/>
    <cellStyle name="Normal 264 3 4 2" xfId="22957"/>
    <cellStyle name="Normal 264 3 4 2 2" xfId="22958"/>
    <cellStyle name="Normal 264 3 4 3" xfId="22959"/>
    <cellStyle name="Normal 264 3 5" xfId="22960"/>
    <cellStyle name="Normal 264 3 5 2" xfId="22961"/>
    <cellStyle name="Normal 264 3 5 2 2" xfId="22962"/>
    <cellStyle name="Normal 264 3 5 3" xfId="22963"/>
    <cellStyle name="Normal 264 3 6" xfId="22964"/>
    <cellStyle name="Normal 264 4" xfId="22965"/>
    <cellStyle name="Normal 264 4 2" xfId="22966"/>
    <cellStyle name="Normal 264 4 2 2" xfId="22967"/>
    <cellStyle name="Normal 264 4 3" xfId="22968"/>
    <cellStyle name="Normal 264 5" xfId="22969"/>
    <cellStyle name="Normal 264 5 2" xfId="22970"/>
    <cellStyle name="Normal 264 5 2 2" xfId="22971"/>
    <cellStyle name="Normal 264 5 3" xfId="22972"/>
    <cellStyle name="Normal 264 6" xfId="22973"/>
    <cellStyle name="Normal 264 6 2" xfId="22974"/>
    <cellStyle name="Normal 264 6 2 2" xfId="22975"/>
    <cellStyle name="Normal 264 6 3" xfId="22976"/>
    <cellStyle name="Normal 264 7" xfId="22977"/>
    <cellStyle name="Normal 265" xfId="22978"/>
    <cellStyle name="Normal 265 2" xfId="22979"/>
    <cellStyle name="Normal 265 2 2" xfId="22980"/>
    <cellStyle name="Normal 265 2 2 2" xfId="22981"/>
    <cellStyle name="Normal 265 2 3" xfId="22982"/>
    <cellStyle name="Normal 265 2 3 2" xfId="22983"/>
    <cellStyle name="Normal 265 2 3 2 2" xfId="22984"/>
    <cellStyle name="Normal 265 2 3 3" xfId="22985"/>
    <cellStyle name="Normal 265 2 4" xfId="22986"/>
    <cellStyle name="Normal 265 2 4 2" xfId="22987"/>
    <cellStyle name="Normal 265 2 4 2 2" xfId="22988"/>
    <cellStyle name="Normal 265 2 4 3" xfId="22989"/>
    <cellStyle name="Normal 265 2 5" xfId="22990"/>
    <cellStyle name="Normal 265 3" xfId="22991"/>
    <cellStyle name="Normal 265 3 2" xfId="22992"/>
    <cellStyle name="Normal 265 3 2 2" xfId="22993"/>
    <cellStyle name="Normal 265 3 2 2 2" xfId="22994"/>
    <cellStyle name="Normal 265 3 2 3" xfId="22995"/>
    <cellStyle name="Normal 265 3 2 3 2" xfId="22996"/>
    <cellStyle name="Normal 265 3 2 3 2 2" xfId="22997"/>
    <cellStyle name="Normal 265 3 2 3 3" xfId="22998"/>
    <cellStyle name="Normal 265 3 2 4" xfId="22999"/>
    <cellStyle name="Normal 265 3 3" xfId="23000"/>
    <cellStyle name="Normal 265 3 3 2" xfId="23001"/>
    <cellStyle name="Normal 265 3 3 2 2" xfId="23002"/>
    <cellStyle name="Normal 265 3 3 3" xfId="23003"/>
    <cellStyle name="Normal 265 3 4" xfId="23004"/>
    <cellStyle name="Normal 265 3 4 2" xfId="23005"/>
    <cellStyle name="Normal 265 3 4 2 2" xfId="23006"/>
    <cellStyle name="Normal 265 3 4 3" xfId="23007"/>
    <cellStyle name="Normal 265 3 5" xfId="23008"/>
    <cellStyle name="Normal 265 3 5 2" xfId="23009"/>
    <cellStyle name="Normal 265 3 5 2 2" xfId="23010"/>
    <cellStyle name="Normal 265 3 5 3" xfId="23011"/>
    <cellStyle name="Normal 265 3 6" xfId="23012"/>
    <cellStyle name="Normal 265 4" xfId="23013"/>
    <cellStyle name="Normal 265 4 2" xfId="23014"/>
    <cellStyle name="Normal 265 4 2 2" xfId="23015"/>
    <cellStyle name="Normal 265 4 3" xfId="23016"/>
    <cellStyle name="Normal 265 5" xfId="23017"/>
    <cellStyle name="Normal 265 5 2" xfId="23018"/>
    <cellStyle name="Normal 265 5 2 2" xfId="23019"/>
    <cellStyle name="Normal 265 5 3" xfId="23020"/>
    <cellStyle name="Normal 265 6" xfId="23021"/>
    <cellStyle name="Normal 265 6 2" xfId="23022"/>
    <cellStyle name="Normal 265 6 2 2" xfId="23023"/>
    <cellStyle name="Normal 265 6 3" xfId="23024"/>
    <cellStyle name="Normal 265 7" xfId="23025"/>
    <cellStyle name="Normal 266" xfId="23026"/>
    <cellStyle name="Normal 266 2" xfId="23027"/>
    <cellStyle name="Normal 266 2 2" xfId="23028"/>
    <cellStyle name="Normal 266 2 2 2" xfId="23029"/>
    <cellStyle name="Normal 266 2 3" xfId="23030"/>
    <cellStyle name="Normal 266 2 3 2" xfId="23031"/>
    <cellStyle name="Normal 266 2 3 2 2" xfId="23032"/>
    <cellStyle name="Normal 266 2 3 3" xfId="23033"/>
    <cellStyle name="Normal 266 2 4" xfId="23034"/>
    <cellStyle name="Normal 266 2 4 2" xfId="23035"/>
    <cellStyle name="Normal 266 2 4 2 2" xfId="23036"/>
    <cellStyle name="Normal 266 2 4 3" xfId="23037"/>
    <cellStyle name="Normal 266 2 5" xfId="23038"/>
    <cellStyle name="Normal 266 3" xfId="23039"/>
    <cellStyle name="Normal 266 3 2" xfId="23040"/>
    <cellStyle name="Normal 266 3 2 2" xfId="23041"/>
    <cellStyle name="Normal 266 3 2 2 2" xfId="23042"/>
    <cellStyle name="Normal 266 3 2 3" xfId="23043"/>
    <cellStyle name="Normal 266 3 2 3 2" xfId="23044"/>
    <cellStyle name="Normal 266 3 2 3 2 2" xfId="23045"/>
    <cellStyle name="Normal 266 3 2 3 3" xfId="23046"/>
    <cellStyle name="Normal 266 3 2 4" xfId="23047"/>
    <cellStyle name="Normal 266 3 3" xfId="23048"/>
    <cellStyle name="Normal 266 3 3 2" xfId="23049"/>
    <cellStyle name="Normal 266 3 3 2 2" xfId="23050"/>
    <cellStyle name="Normal 266 3 3 3" xfId="23051"/>
    <cellStyle name="Normal 266 3 4" xfId="23052"/>
    <cellStyle name="Normal 266 3 4 2" xfId="23053"/>
    <cellStyle name="Normal 266 3 4 2 2" xfId="23054"/>
    <cellStyle name="Normal 266 3 4 3" xfId="23055"/>
    <cellStyle name="Normal 266 3 5" xfId="23056"/>
    <cellStyle name="Normal 266 3 5 2" xfId="23057"/>
    <cellStyle name="Normal 266 3 5 2 2" xfId="23058"/>
    <cellStyle name="Normal 266 3 5 3" xfId="23059"/>
    <cellStyle name="Normal 266 3 6" xfId="23060"/>
    <cellStyle name="Normal 266 4" xfId="23061"/>
    <cellStyle name="Normal 266 4 2" xfId="23062"/>
    <cellStyle name="Normal 266 4 2 2" xfId="23063"/>
    <cellStyle name="Normal 266 4 3" xfId="23064"/>
    <cellStyle name="Normal 266 5" xfId="23065"/>
    <cellStyle name="Normal 266 5 2" xfId="23066"/>
    <cellStyle name="Normal 266 5 2 2" xfId="23067"/>
    <cellStyle name="Normal 266 5 3" xfId="23068"/>
    <cellStyle name="Normal 266 6" xfId="23069"/>
    <cellStyle name="Normal 266 6 2" xfId="23070"/>
    <cellStyle name="Normal 266 6 2 2" xfId="23071"/>
    <cellStyle name="Normal 266 6 3" xfId="23072"/>
    <cellStyle name="Normal 266 7" xfId="23073"/>
    <cellStyle name="Normal 267" xfId="23074"/>
    <cellStyle name="Normal 267 2" xfId="23075"/>
    <cellStyle name="Normal 267 2 2" xfId="23076"/>
    <cellStyle name="Normal 267 2 2 2" xfId="23077"/>
    <cellStyle name="Normal 267 2 3" xfId="23078"/>
    <cellStyle name="Normal 267 2 3 2" xfId="23079"/>
    <cellStyle name="Normal 267 2 3 2 2" xfId="23080"/>
    <cellStyle name="Normal 267 2 3 3" xfId="23081"/>
    <cellStyle name="Normal 267 2 4" xfId="23082"/>
    <cellStyle name="Normal 267 2 4 2" xfId="23083"/>
    <cellStyle name="Normal 267 2 4 2 2" xfId="23084"/>
    <cellStyle name="Normal 267 2 4 3" xfId="23085"/>
    <cellStyle name="Normal 267 2 5" xfId="23086"/>
    <cellStyle name="Normal 267 3" xfId="23087"/>
    <cellStyle name="Normal 267 3 2" xfId="23088"/>
    <cellStyle name="Normal 267 3 2 2" xfId="23089"/>
    <cellStyle name="Normal 267 3 2 2 2" xfId="23090"/>
    <cellStyle name="Normal 267 3 2 3" xfId="23091"/>
    <cellStyle name="Normal 267 3 2 3 2" xfId="23092"/>
    <cellStyle name="Normal 267 3 2 3 2 2" xfId="23093"/>
    <cellStyle name="Normal 267 3 2 3 3" xfId="23094"/>
    <cellStyle name="Normal 267 3 2 4" xfId="23095"/>
    <cellStyle name="Normal 267 3 3" xfId="23096"/>
    <cellStyle name="Normal 267 3 3 2" xfId="23097"/>
    <cellStyle name="Normal 267 3 3 2 2" xfId="23098"/>
    <cellStyle name="Normal 267 3 3 3" xfId="23099"/>
    <cellStyle name="Normal 267 3 4" xfId="23100"/>
    <cellStyle name="Normal 267 3 4 2" xfId="23101"/>
    <cellStyle name="Normal 267 3 4 2 2" xfId="23102"/>
    <cellStyle name="Normal 267 3 4 3" xfId="23103"/>
    <cellStyle name="Normal 267 3 5" xfId="23104"/>
    <cellStyle name="Normal 267 3 5 2" xfId="23105"/>
    <cellStyle name="Normal 267 3 5 2 2" xfId="23106"/>
    <cellStyle name="Normal 267 3 5 3" xfId="23107"/>
    <cellStyle name="Normal 267 3 6" xfId="23108"/>
    <cellStyle name="Normal 267 4" xfId="23109"/>
    <cellStyle name="Normal 267 4 2" xfId="23110"/>
    <cellStyle name="Normal 267 4 2 2" xfId="23111"/>
    <cellStyle name="Normal 267 4 3" xfId="23112"/>
    <cellStyle name="Normal 267 5" xfId="23113"/>
    <cellStyle name="Normal 267 5 2" xfId="23114"/>
    <cellStyle name="Normal 267 5 2 2" xfId="23115"/>
    <cellStyle name="Normal 267 5 3" xfId="23116"/>
    <cellStyle name="Normal 267 6" xfId="23117"/>
    <cellStyle name="Normal 267 6 2" xfId="23118"/>
    <cellStyle name="Normal 267 6 2 2" xfId="23119"/>
    <cellStyle name="Normal 267 6 3" xfId="23120"/>
    <cellStyle name="Normal 267 7" xfId="23121"/>
    <cellStyle name="Normal 268" xfId="23122"/>
    <cellStyle name="Normal 268 2" xfId="23123"/>
    <cellStyle name="Normal 268 2 2" xfId="23124"/>
    <cellStyle name="Normal 268 2 2 2" xfId="23125"/>
    <cellStyle name="Normal 268 2 3" xfId="23126"/>
    <cellStyle name="Normal 268 2 3 2" xfId="23127"/>
    <cellStyle name="Normal 268 2 3 2 2" xfId="23128"/>
    <cellStyle name="Normal 268 2 3 3" xfId="23129"/>
    <cellStyle name="Normal 268 2 4" xfId="23130"/>
    <cellStyle name="Normal 268 2 4 2" xfId="23131"/>
    <cellStyle name="Normal 268 2 4 2 2" xfId="23132"/>
    <cellStyle name="Normal 268 2 4 3" xfId="23133"/>
    <cellStyle name="Normal 268 2 5" xfId="23134"/>
    <cellStyle name="Normal 268 3" xfId="23135"/>
    <cellStyle name="Normal 268 3 2" xfId="23136"/>
    <cellStyle name="Normal 268 3 2 2" xfId="23137"/>
    <cellStyle name="Normal 268 3 2 2 2" xfId="23138"/>
    <cellStyle name="Normal 268 3 2 3" xfId="23139"/>
    <cellStyle name="Normal 268 3 2 3 2" xfId="23140"/>
    <cellStyle name="Normal 268 3 2 3 2 2" xfId="23141"/>
    <cellStyle name="Normal 268 3 2 3 3" xfId="23142"/>
    <cellStyle name="Normal 268 3 2 4" xfId="23143"/>
    <cellStyle name="Normal 268 3 3" xfId="23144"/>
    <cellStyle name="Normal 268 3 3 2" xfId="23145"/>
    <cellStyle name="Normal 268 3 3 2 2" xfId="23146"/>
    <cellStyle name="Normal 268 3 3 3" xfId="23147"/>
    <cellStyle name="Normal 268 3 4" xfId="23148"/>
    <cellStyle name="Normal 268 3 4 2" xfId="23149"/>
    <cellStyle name="Normal 268 3 4 2 2" xfId="23150"/>
    <cellStyle name="Normal 268 3 4 3" xfId="23151"/>
    <cellStyle name="Normal 268 3 5" xfId="23152"/>
    <cellStyle name="Normal 268 3 5 2" xfId="23153"/>
    <cellStyle name="Normal 268 3 5 2 2" xfId="23154"/>
    <cellStyle name="Normal 268 3 5 3" xfId="23155"/>
    <cellStyle name="Normal 268 3 6" xfId="23156"/>
    <cellStyle name="Normal 268 4" xfId="23157"/>
    <cellStyle name="Normal 268 4 2" xfId="23158"/>
    <cellStyle name="Normal 268 4 2 2" xfId="23159"/>
    <cellStyle name="Normal 268 4 3" xfId="23160"/>
    <cellStyle name="Normal 268 5" xfId="23161"/>
    <cellStyle name="Normal 268 5 2" xfId="23162"/>
    <cellStyle name="Normal 268 5 2 2" xfId="23163"/>
    <cellStyle name="Normal 268 5 3" xfId="23164"/>
    <cellStyle name="Normal 268 6" xfId="23165"/>
    <cellStyle name="Normal 268 6 2" xfId="23166"/>
    <cellStyle name="Normal 268 6 2 2" xfId="23167"/>
    <cellStyle name="Normal 268 6 3" xfId="23168"/>
    <cellStyle name="Normal 268 7" xfId="23169"/>
    <cellStyle name="Normal 269" xfId="23170"/>
    <cellStyle name="Normal 269 2" xfId="23171"/>
    <cellStyle name="Normal 269 2 2" xfId="23172"/>
    <cellStyle name="Normal 269 2 2 2" xfId="23173"/>
    <cellStyle name="Normal 269 2 3" xfId="23174"/>
    <cellStyle name="Normal 269 2 3 2" xfId="23175"/>
    <cellStyle name="Normal 269 2 3 2 2" xfId="23176"/>
    <cellStyle name="Normal 269 2 3 3" xfId="23177"/>
    <cellStyle name="Normal 269 2 4" xfId="23178"/>
    <cellStyle name="Normal 269 2 4 2" xfId="23179"/>
    <cellStyle name="Normal 269 2 4 2 2" xfId="23180"/>
    <cellStyle name="Normal 269 2 4 3" xfId="23181"/>
    <cellStyle name="Normal 269 2 5" xfId="23182"/>
    <cellStyle name="Normal 269 3" xfId="23183"/>
    <cellStyle name="Normal 269 3 2" xfId="23184"/>
    <cellStyle name="Normal 269 3 2 2" xfId="23185"/>
    <cellStyle name="Normal 269 3 2 2 2" xfId="23186"/>
    <cellStyle name="Normal 269 3 2 3" xfId="23187"/>
    <cellStyle name="Normal 269 3 2 3 2" xfId="23188"/>
    <cellStyle name="Normal 269 3 2 3 2 2" xfId="23189"/>
    <cellStyle name="Normal 269 3 2 3 3" xfId="23190"/>
    <cellStyle name="Normal 269 3 2 4" xfId="23191"/>
    <cellStyle name="Normal 269 3 3" xfId="23192"/>
    <cellStyle name="Normal 269 3 3 2" xfId="23193"/>
    <cellStyle name="Normal 269 3 3 2 2" xfId="23194"/>
    <cellStyle name="Normal 269 3 3 3" xfId="23195"/>
    <cellStyle name="Normal 269 3 4" xfId="23196"/>
    <cellStyle name="Normal 269 3 4 2" xfId="23197"/>
    <cellStyle name="Normal 269 3 4 2 2" xfId="23198"/>
    <cellStyle name="Normal 269 3 4 3" xfId="23199"/>
    <cellStyle name="Normal 269 3 5" xfId="23200"/>
    <cellStyle name="Normal 269 3 5 2" xfId="23201"/>
    <cellStyle name="Normal 269 3 5 2 2" xfId="23202"/>
    <cellStyle name="Normal 269 3 5 3" xfId="23203"/>
    <cellStyle name="Normal 269 3 6" xfId="23204"/>
    <cellStyle name="Normal 269 4" xfId="23205"/>
    <cellStyle name="Normal 269 4 2" xfId="23206"/>
    <cellStyle name="Normal 269 4 2 2" xfId="23207"/>
    <cellStyle name="Normal 269 4 3" xfId="23208"/>
    <cellStyle name="Normal 269 5" xfId="23209"/>
    <cellStyle name="Normal 269 5 2" xfId="23210"/>
    <cellStyle name="Normal 269 5 2 2" xfId="23211"/>
    <cellStyle name="Normal 269 5 3" xfId="23212"/>
    <cellStyle name="Normal 269 6" xfId="23213"/>
    <cellStyle name="Normal 269 6 2" xfId="23214"/>
    <cellStyle name="Normal 269 6 2 2" xfId="23215"/>
    <cellStyle name="Normal 269 6 3" xfId="23216"/>
    <cellStyle name="Normal 269 7" xfId="23217"/>
    <cellStyle name="Normal 27" xfId="23218"/>
    <cellStyle name="Normal 27 2" xfId="23219"/>
    <cellStyle name="Normal 27 2 2" xfId="23220"/>
    <cellStyle name="Normal 27 2 2 2" xfId="23221"/>
    <cellStyle name="Normal 27 2 2 2 2" xfId="23222"/>
    <cellStyle name="Normal 27 2 2 3" xfId="23223"/>
    <cellStyle name="Normal 27 2 2 3 2" xfId="23224"/>
    <cellStyle name="Normal 27 2 2 3 2 2" xfId="23225"/>
    <cellStyle name="Normal 27 2 2 3 3" xfId="23226"/>
    <cellStyle name="Normal 27 2 2 4" xfId="23227"/>
    <cellStyle name="Normal 27 2 2 4 2" xfId="23228"/>
    <cellStyle name="Normal 27 2 2 4 2 2" xfId="23229"/>
    <cellStyle name="Normal 27 2 2 4 3" xfId="23230"/>
    <cellStyle name="Normal 27 2 2 5" xfId="23231"/>
    <cellStyle name="Normal 27 2 3" xfId="23232"/>
    <cellStyle name="Normal 27 2 3 2" xfId="23233"/>
    <cellStyle name="Normal 27 2 3 2 2" xfId="23234"/>
    <cellStyle name="Normal 27 2 3 3" xfId="23235"/>
    <cellStyle name="Normal 27 2 4" xfId="23236"/>
    <cellStyle name="Normal 27 2 4 2" xfId="23237"/>
    <cellStyle name="Normal 27 2 4 2 2" xfId="23238"/>
    <cellStyle name="Normal 27 2 4 3" xfId="23239"/>
    <cellStyle name="Normal 27 2 5" xfId="23240"/>
    <cellStyle name="Normal 27 2 5 2" xfId="23241"/>
    <cellStyle name="Normal 27 2 5 2 2" xfId="23242"/>
    <cellStyle name="Normal 27 2 5 3" xfId="23243"/>
    <cellStyle name="Normal 27 2 6" xfId="23244"/>
    <cellStyle name="Normal 27 3" xfId="23245"/>
    <cellStyle name="Normal 27 3 2" xfId="23246"/>
    <cellStyle name="Normal 27 3 2 2" xfId="23247"/>
    <cellStyle name="Normal 27 3 3" xfId="23248"/>
    <cellStyle name="Normal 27 3 3 2" xfId="23249"/>
    <cellStyle name="Normal 27 3 3 2 2" xfId="23250"/>
    <cellStyle name="Normal 27 3 3 3" xfId="23251"/>
    <cellStyle name="Normal 27 3 4" xfId="23252"/>
    <cellStyle name="Normal 27 3 4 2" xfId="23253"/>
    <cellStyle name="Normal 27 3 4 2 2" xfId="23254"/>
    <cellStyle name="Normal 27 3 4 3" xfId="23255"/>
    <cellStyle name="Normal 27 3 5" xfId="23256"/>
    <cellStyle name="Normal 27 4" xfId="23257"/>
    <cellStyle name="Normal 27 4 2" xfId="23258"/>
    <cellStyle name="Normal 27 4 2 2" xfId="23259"/>
    <cellStyle name="Normal 27 4 3" xfId="23260"/>
    <cellStyle name="Normal 27 4 3 2" xfId="23261"/>
    <cellStyle name="Normal 27 4 3 2 2" xfId="23262"/>
    <cellStyle name="Normal 27 4 3 3" xfId="23263"/>
    <cellStyle name="Normal 27 4 4" xfId="23264"/>
    <cellStyle name="Normal 27 4 4 2" xfId="23265"/>
    <cellStyle name="Normal 27 4 4 2 2" xfId="23266"/>
    <cellStyle name="Normal 27 4 4 3" xfId="23267"/>
    <cellStyle name="Normal 27 4 5" xfId="23268"/>
    <cellStyle name="Normal 27 5" xfId="23269"/>
    <cellStyle name="Normal 27 5 2" xfId="23270"/>
    <cellStyle name="Normal 27 5 2 2" xfId="23271"/>
    <cellStyle name="Normal 27 5 3" xfId="23272"/>
    <cellStyle name="Normal 27 6" xfId="23273"/>
    <cellStyle name="Normal 27 6 2" xfId="23274"/>
    <cellStyle name="Normal 27 6 2 2" xfId="23275"/>
    <cellStyle name="Normal 27 6 3" xfId="23276"/>
    <cellStyle name="Normal 27 7" xfId="23277"/>
    <cellStyle name="Normal 27 7 2" xfId="23278"/>
    <cellStyle name="Normal 27 7 2 2" xfId="23279"/>
    <cellStyle name="Normal 27 7 3" xfId="23280"/>
    <cellStyle name="Normal 27 8" xfId="23281"/>
    <cellStyle name="Normal 270" xfId="23282"/>
    <cellStyle name="Normal 270 2" xfId="23283"/>
    <cellStyle name="Normal 270 2 2" xfId="23284"/>
    <cellStyle name="Normal 270 2 2 2" xfId="23285"/>
    <cellStyle name="Normal 270 2 3" xfId="23286"/>
    <cellStyle name="Normal 270 2 3 2" xfId="23287"/>
    <cellStyle name="Normal 270 2 3 2 2" xfId="23288"/>
    <cellStyle name="Normal 270 2 3 3" xfId="23289"/>
    <cellStyle name="Normal 270 2 4" xfId="23290"/>
    <cellStyle name="Normal 270 2 4 2" xfId="23291"/>
    <cellStyle name="Normal 270 2 4 2 2" xfId="23292"/>
    <cellStyle name="Normal 270 2 4 3" xfId="23293"/>
    <cellStyle name="Normal 270 2 5" xfId="23294"/>
    <cellStyle name="Normal 270 3" xfId="23295"/>
    <cellStyle name="Normal 270 3 2" xfId="23296"/>
    <cellStyle name="Normal 270 3 2 2" xfId="23297"/>
    <cellStyle name="Normal 270 3 2 2 2" xfId="23298"/>
    <cellStyle name="Normal 270 3 2 3" xfId="23299"/>
    <cellStyle name="Normal 270 3 2 3 2" xfId="23300"/>
    <cellStyle name="Normal 270 3 2 3 2 2" xfId="23301"/>
    <cellStyle name="Normal 270 3 2 3 3" xfId="23302"/>
    <cellStyle name="Normal 270 3 2 4" xfId="23303"/>
    <cellStyle name="Normal 270 3 3" xfId="23304"/>
    <cellStyle name="Normal 270 3 3 2" xfId="23305"/>
    <cellStyle name="Normal 270 3 3 2 2" xfId="23306"/>
    <cellStyle name="Normal 270 3 3 3" xfId="23307"/>
    <cellStyle name="Normal 270 3 4" xfId="23308"/>
    <cellStyle name="Normal 270 3 4 2" xfId="23309"/>
    <cellStyle name="Normal 270 3 4 2 2" xfId="23310"/>
    <cellStyle name="Normal 270 3 4 3" xfId="23311"/>
    <cellStyle name="Normal 270 3 5" xfId="23312"/>
    <cellStyle name="Normal 270 3 5 2" xfId="23313"/>
    <cellStyle name="Normal 270 3 5 2 2" xfId="23314"/>
    <cellStyle name="Normal 270 3 5 3" xfId="23315"/>
    <cellStyle name="Normal 270 3 6" xfId="23316"/>
    <cellStyle name="Normal 270 4" xfId="23317"/>
    <cellStyle name="Normal 270 4 2" xfId="23318"/>
    <cellStyle name="Normal 270 4 2 2" xfId="23319"/>
    <cellStyle name="Normal 270 4 3" xfId="23320"/>
    <cellStyle name="Normal 270 5" xfId="23321"/>
    <cellStyle name="Normal 270 5 2" xfId="23322"/>
    <cellStyle name="Normal 270 5 2 2" xfId="23323"/>
    <cellStyle name="Normal 270 5 3" xfId="23324"/>
    <cellStyle name="Normal 270 6" xfId="23325"/>
    <cellStyle name="Normal 270 6 2" xfId="23326"/>
    <cellStyle name="Normal 270 6 2 2" xfId="23327"/>
    <cellStyle name="Normal 270 6 3" xfId="23328"/>
    <cellStyle name="Normal 270 7" xfId="23329"/>
    <cellStyle name="Normal 271" xfId="23330"/>
    <cellStyle name="Normal 271 2" xfId="23331"/>
    <cellStyle name="Normal 271 2 2" xfId="23332"/>
    <cellStyle name="Normal 271 2 2 2" xfId="23333"/>
    <cellStyle name="Normal 271 2 3" xfId="23334"/>
    <cellStyle name="Normal 271 2 3 2" xfId="23335"/>
    <cellStyle name="Normal 271 2 3 2 2" xfId="23336"/>
    <cellStyle name="Normal 271 2 3 3" xfId="23337"/>
    <cellStyle name="Normal 271 2 4" xfId="23338"/>
    <cellStyle name="Normal 271 2 4 2" xfId="23339"/>
    <cellStyle name="Normal 271 2 4 2 2" xfId="23340"/>
    <cellStyle name="Normal 271 2 4 3" xfId="23341"/>
    <cellStyle name="Normal 271 2 5" xfId="23342"/>
    <cellStyle name="Normal 271 3" xfId="23343"/>
    <cellStyle name="Normal 271 3 2" xfId="23344"/>
    <cellStyle name="Normal 271 3 2 2" xfId="23345"/>
    <cellStyle name="Normal 271 3 2 2 2" xfId="23346"/>
    <cellStyle name="Normal 271 3 2 3" xfId="23347"/>
    <cellStyle name="Normal 271 3 2 3 2" xfId="23348"/>
    <cellStyle name="Normal 271 3 2 3 2 2" xfId="23349"/>
    <cellStyle name="Normal 271 3 2 3 3" xfId="23350"/>
    <cellStyle name="Normal 271 3 2 4" xfId="23351"/>
    <cellStyle name="Normal 271 3 3" xfId="23352"/>
    <cellStyle name="Normal 271 3 3 2" xfId="23353"/>
    <cellStyle name="Normal 271 3 3 2 2" xfId="23354"/>
    <cellStyle name="Normal 271 3 3 3" xfId="23355"/>
    <cellStyle name="Normal 271 3 4" xfId="23356"/>
    <cellStyle name="Normal 271 3 4 2" xfId="23357"/>
    <cellStyle name="Normal 271 3 4 2 2" xfId="23358"/>
    <cellStyle name="Normal 271 3 4 3" xfId="23359"/>
    <cellStyle name="Normal 271 3 5" xfId="23360"/>
    <cellStyle name="Normal 271 3 5 2" xfId="23361"/>
    <cellStyle name="Normal 271 3 5 2 2" xfId="23362"/>
    <cellStyle name="Normal 271 3 5 3" xfId="23363"/>
    <cellStyle name="Normal 271 3 6" xfId="23364"/>
    <cellStyle name="Normal 271 4" xfId="23365"/>
    <cellStyle name="Normal 271 4 2" xfId="23366"/>
    <cellStyle name="Normal 271 4 2 2" xfId="23367"/>
    <cellStyle name="Normal 271 4 3" xfId="23368"/>
    <cellStyle name="Normal 271 5" xfId="23369"/>
    <cellStyle name="Normal 271 5 2" xfId="23370"/>
    <cellStyle name="Normal 271 5 2 2" xfId="23371"/>
    <cellStyle name="Normal 271 5 3" xfId="23372"/>
    <cellStyle name="Normal 271 6" xfId="23373"/>
    <cellStyle name="Normal 271 6 2" xfId="23374"/>
    <cellStyle name="Normal 271 6 2 2" xfId="23375"/>
    <cellStyle name="Normal 271 6 3" xfId="23376"/>
    <cellStyle name="Normal 271 7" xfId="23377"/>
    <cellStyle name="Normal 272" xfId="23378"/>
    <cellStyle name="Normal 272 2" xfId="23379"/>
    <cellStyle name="Normal 272 2 2" xfId="23380"/>
    <cellStyle name="Normal 272 2 2 2" xfId="23381"/>
    <cellStyle name="Normal 272 2 3" xfId="23382"/>
    <cellStyle name="Normal 272 2 3 2" xfId="23383"/>
    <cellStyle name="Normal 272 2 3 2 2" xfId="23384"/>
    <cellStyle name="Normal 272 2 3 3" xfId="23385"/>
    <cellStyle name="Normal 272 2 4" xfId="23386"/>
    <cellStyle name="Normal 272 2 4 2" xfId="23387"/>
    <cellStyle name="Normal 272 2 4 2 2" xfId="23388"/>
    <cellStyle name="Normal 272 2 4 3" xfId="23389"/>
    <cellStyle name="Normal 272 2 5" xfId="23390"/>
    <cellStyle name="Normal 272 3" xfId="23391"/>
    <cellStyle name="Normal 272 3 2" xfId="23392"/>
    <cellStyle name="Normal 272 3 2 2" xfId="23393"/>
    <cellStyle name="Normal 272 3 2 2 2" xfId="23394"/>
    <cellStyle name="Normal 272 3 2 3" xfId="23395"/>
    <cellStyle name="Normal 272 3 2 3 2" xfId="23396"/>
    <cellStyle name="Normal 272 3 2 3 2 2" xfId="23397"/>
    <cellStyle name="Normal 272 3 2 3 3" xfId="23398"/>
    <cellStyle name="Normal 272 3 2 4" xfId="23399"/>
    <cellStyle name="Normal 272 3 3" xfId="23400"/>
    <cellStyle name="Normal 272 3 3 2" xfId="23401"/>
    <cellStyle name="Normal 272 3 3 2 2" xfId="23402"/>
    <cellStyle name="Normal 272 3 3 3" xfId="23403"/>
    <cellStyle name="Normal 272 3 4" xfId="23404"/>
    <cellStyle name="Normal 272 3 4 2" xfId="23405"/>
    <cellStyle name="Normal 272 3 4 2 2" xfId="23406"/>
    <cellStyle name="Normal 272 3 4 3" xfId="23407"/>
    <cellStyle name="Normal 272 3 5" xfId="23408"/>
    <cellStyle name="Normal 272 3 5 2" xfId="23409"/>
    <cellStyle name="Normal 272 3 5 2 2" xfId="23410"/>
    <cellStyle name="Normal 272 3 5 3" xfId="23411"/>
    <cellStyle name="Normal 272 3 6" xfId="23412"/>
    <cellStyle name="Normal 272 4" xfId="23413"/>
    <cellStyle name="Normal 272 4 2" xfId="23414"/>
    <cellStyle name="Normal 272 4 2 2" xfId="23415"/>
    <cellStyle name="Normal 272 4 3" xfId="23416"/>
    <cellStyle name="Normal 272 5" xfId="23417"/>
    <cellStyle name="Normal 272 5 2" xfId="23418"/>
    <cellStyle name="Normal 272 5 2 2" xfId="23419"/>
    <cellStyle name="Normal 272 5 3" xfId="23420"/>
    <cellStyle name="Normal 272 6" xfId="23421"/>
    <cellStyle name="Normal 272 6 2" xfId="23422"/>
    <cellStyle name="Normal 272 6 2 2" xfId="23423"/>
    <cellStyle name="Normal 272 6 3" xfId="23424"/>
    <cellStyle name="Normal 272 7" xfId="23425"/>
    <cellStyle name="Normal 273" xfId="23426"/>
    <cellStyle name="Normal 273 2" xfId="23427"/>
    <cellStyle name="Normal 273 2 2" xfId="23428"/>
    <cellStyle name="Normal 273 2 2 2" xfId="23429"/>
    <cellStyle name="Normal 273 2 3" xfId="23430"/>
    <cellStyle name="Normal 273 2 3 2" xfId="23431"/>
    <cellStyle name="Normal 273 2 3 2 2" xfId="23432"/>
    <cellStyle name="Normal 273 2 3 3" xfId="23433"/>
    <cellStyle name="Normal 273 2 4" xfId="23434"/>
    <cellStyle name="Normal 273 2 4 2" xfId="23435"/>
    <cellStyle name="Normal 273 2 4 2 2" xfId="23436"/>
    <cellStyle name="Normal 273 2 4 3" xfId="23437"/>
    <cellStyle name="Normal 273 2 5" xfId="23438"/>
    <cellStyle name="Normal 273 3" xfId="23439"/>
    <cellStyle name="Normal 273 3 2" xfId="23440"/>
    <cellStyle name="Normal 273 3 2 2" xfId="23441"/>
    <cellStyle name="Normal 273 3 2 2 2" xfId="23442"/>
    <cellStyle name="Normal 273 3 2 3" xfId="23443"/>
    <cellStyle name="Normal 273 3 2 3 2" xfId="23444"/>
    <cellStyle name="Normal 273 3 2 3 2 2" xfId="23445"/>
    <cellStyle name="Normal 273 3 2 3 3" xfId="23446"/>
    <cellStyle name="Normal 273 3 2 4" xfId="23447"/>
    <cellStyle name="Normal 273 3 3" xfId="23448"/>
    <cellStyle name="Normal 273 3 3 2" xfId="23449"/>
    <cellStyle name="Normal 273 3 3 2 2" xfId="23450"/>
    <cellStyle name="Normal 273 3 3 3" xfId="23451"/>
    <cellStyle name="Normal 273 3 4" xfId="23452"/>
    <cellStyle name="Normal 273 3 4 2" xfId="23453"/>
    <cellStyle name="Normal 273 3 4 2 2" xfId="23454"/>
    <cellStyle name="Normal 273 3 4 3" xfId="23455"/>
    <cellStyle name="Normal 273 3 5" xfId="23456"/>
    <cellStyle name="Normal 273 3 5 2" xfId="23457"/>
    <cellStyle name="Normal 273 3 5 2 2" xfId="23458"/>
    <cellStyle name="Normal 273 3 5 3" xfId="23459"/>
    <cellStyle name="Normal 273 3 6" xfId="23460"/>
    <cellStyle name="Normal 273 4" xfId="23461"/>
    <cellStyle name="Normal 273 4 2" xfId="23462"/>
    <cellStyle name="Normal 273 4 2 2" xfId="23463"/>
    <cellStyle name="Normal 273 4 3" xfId="23464"/>
    <cellStyle name="Normal 273 5" xfId="23465"/>
    <cellStyle name="Normal 273 5 2" xfId="23466"/>
    <cellStyle name="Normal 273 5 2 2" xfId="23467"/>
    <cellStyle name="Normal 273 5 3" xfId="23468"/>
    <cellStyle name="Normal 273 6" xfId="23469"/>
    <cellStyle name="Normal 273 6 2" xfId="23470"/>
    <cellStyle name="Normal 273 6 2 2" xfId="23471"/>
    <cellStyle name="Normal 273 6 3" xfId="23472"/>
    <cellStyle name="Normal 273 7" xfId="23473"/>
    <cellStyle name="Normal 274" xfId="23474"/>
    <cellStyle name="Normal 274 2" xfId="23475"/>
    <cellStyle name="Normal 274 2 2" xfId="23476"/>
    <cellStyle name="Normal 274 2 2 2" xfId="23477"/>
    <cellStyle name="Normal 274 2 3" xfId="23478"/>
    <cellStyle name="Normal 274 2 3 2" xfId="23479"/>
    <cellStyle name="Normal 274 2 3 2 2" xfId="23480"/>
    <cellStyle name="Normal 274 2 3 3" xfId="23481"/>
    <cellStyle name="Normal 274 2 4" xfId="23482"/>
    <cellStyle name="Normal 274 2 4 2" xfId="23483"/>
    <cellStyle name="Normal 274 2 4 2 2" xfId="23484"/>
    <cellStyle name="Normal 274 2 4 3" xfId="23485"/>
    <cellStyle name="Normal 274 2 5" xfId="23486"/>
    <cellStyle name="Normal 274 3" xfId="23487"/>
    <cellStyle name="Normal 274 3 2" xfId="23488"/>
    <cellStyle name="Normal 274 3 2 2" xfId="23489"/>
    <cellStyle name="Normal 274 3 2 2 2" xfId="23490"/>
    <cellStyle name="Normal 274 3 2 3" xfId="23491"/>
    <cellStyle name="Normal 274 3 2 3 2" xfId="23492"/>
    <cellStyle name="Normal 274 3 2 3 2 2" xfId="23493"/>
    <cellStyle name="Normal 274 3 2 3 3" xfId="23494"/>
    <cellStyle name="Normal 274 3 2 4" xfId="23495"/>
    <cellStyle name="Normal 274 3 3" xfId="23496"/>
    <cellStyle name="Normal 274 3 3 2" xfId="23497"/>
    <cellStyle name="Normal 274 3 3 2 2" xfId="23498"/>
    <cellStyle name="Normal 274 3 3 3" xfId="23499"/>
    <cellStyle name="Normal 274 3 4" xfId="23500"/>
    <cellStyle name="Normal 274 3 4 2" xfId="23501"/>
    <cellStyle name="Normal 274 3 4 2 2" xfId="23502"/>
    <cellStyle name="Normal 274 3 4 3" xfId="23503"/>
    <cellStyle name="Normal 274 3 5" xfId="23504"/>
    <cellStyle name="Normal 274 3 5 2" xfId="23505"/>
    <cellStyle name="Normal 274 3 5 2 2" xfId="23506"/>
    <cellStyle name="Normal 274 3 5 3" xfId="23507"/>
    <cellStyle name="Normal 274 3 6" xfId="23508"/>
    <cellStyle name="Normal 274 4" xfId="23509"/>
    <cellStyle name="Normal 274 4 2" xfId="23510"/>
    <cellStyle name="Normal 274 4 2 2" xfId="23511"/>
    <cellStyle name="Normal 274 4 3" xfId="23512"/>
    <cellStyle name="Normal 274 5" xfId="23513"/>
    <cellStyle name="Normal 274 5 2" xfId="23514"/>
    <cellStyle name="Normal 274 5 2 2" xfId="23515"/>
    <cellStyle name="Normal 274 5 3" xfId="23516"/>
    <cellStyle name="Normal 274 6" xfId="23517"/>
    <cellStyle name="Normal 274 6 2" xfId="23518"/>
    <cellStyle name="Normal 274 6 2 2" xfId="23519"/>
    <cellStyle name="Normal 274 6 3" xfId="23520"/>
    <cellStyle name="Normal 274 7" xfId="23521"/>
    <cellStyle name="Normal 275" xfId="23522"/>
    <cellStyle name="Normal 275 2" xfId="23523"/>
    <cellStyle name="Normal 275 2 2" xfId="23524"/>
    <cellStyle name="Normal 275 2 2 2" xfId="23525"/>
    <cellStyle name="Normal 275 2 3" xfId="23526"/>
    <cellStyle name="Normal 275 2 3 2" xfId="23527"/>
    <cellStyle name="Normal 275 2 3 2 2" xfId="23528"/>
    <cellStyle name="Normal 275 2 3 3" xfId="23529"/>
    <cellStyle name="Normal 275 2 4" xfId="23530"/>
    <cellStyle name="Normal 275 2 4 2" xfId="23531"/>
    <cellStyle name="Normal 275 2 4 2 2" xfId="23532"/>
    <cellStyle name="Normal 275 2 4 3" xfId="23533"/>
    <cellStyle name="Normal 275 2 5" xfId="23534"/>
    <cellStyle name="Normal 275 3" xfId="23535"/>
    <cellStyle name="Normal 275 3 2" xfId="23536"/>
    <cellStyle name="Normal 275 3 2 2" xfId="23537"/>
    <cellStyle name="Normal 275 3 2 2 2" xfId="23538"/>
    <cellStyle name="Normal 275 3 2 3" xfId="23539"/>
    <cellStyle name="Normal 275 3 2 3 2" xfId="23540"/>
    <cellStyle name="Normal 275 3 2 3 2 2" xfId="23541"/>
    <cellStyle name="Normal 275 3 2 3 3" xfId="23542"/>
    <cellStyle name="Normal 275 3 2 4" xfId="23543"/>
    <cellStyle name="Normal 275 3 3" xfId="23544"/>
    <cellStyle name="Normal 275 3 3 2" xfId="23545"/>
    <cellStyle name="Normal 275 3 3 2 2" xfId="23546"/>
    <cellStyle name="Normal 275 3 3 3" xfId="23547"/>
    <cellStyle name="Normal 275 3 4" xfId="23548"/>
    <cellStyle name="Normal 275 3 4 2" xfId="23549"/>
    <cellStyle name="Normal 275 3 4 2 2" xfId="23550"/>
    <cellStyle name="Normal 275 3 4 3" xfId="23551"/>
    <cellStyle name="Normal 275 3 5" xfId="23552"/>
    <cellStyle name="Normal 275 3 5 2" xfId="23553"/>
    <cellStyle name="Normal 275 3 5 2 2" xfId="23554"/>
    <cellStyle name="Normal 275 3 5 3" xfId="23555"/>
    <cellStyle name="Normal 275 3 6" xfId="23556"/>
    <cellStyle name="Normal 275 4" xfId="23557"/>
    <cellStyle name="Normal 275 4 2" xfId="23558"/>
    <cellStyle name="Normal 275 4 2 2" xfId="23559"/>
    <cellStyle name="Normal 275 4 3" xfId="23560"/>
    <cellStyle name="Normal 275 5" xfId="23561"/>
    <cellStyle name="Normal 275 5 2" xfId="23562"/>
    <cellStyle name="Normal 275 5 2 2" xfId="23563"/>
    <cellStyle name="Normal 275 5 3" xfId="23564"/>
    <cellStyle name="Normal 275 6" xfId="23565"/>
    <cellStyle name="Normal 275 6 2" xfId="23566"/>
    <cellStyle name="Normal 275 6 2 2" xfId="23567"/>
    <cellStyle name="Normal 275 6 3" xfId="23568"/>
    <cellStyle name="Normal 275 7" xfId="23569"/>
    <cellStyle name="Normal 276" xfId="23570"/>
    <cellStyle name="Normal 276 2" xfId="23571"/>
    <cellStyle name="Normal 276 2 2" xfId="23572"/>
    <cellStyle name="Normal 276 2 2 2" xfId="23573"/>
    <cellStyle name="Normal 276 2 3" xfId="23574"/>
    <cellStyle name="Normal 276 2 3 2" xfId="23575"/>
    <cellStyle name="Normal 276 2 3 2 2" xfId="23576"/>
    <cellStyle name="Normal 276 2 3 3" xfId="23577"/>
    <cellStyle name="Normal 276 2 4" xfId="23578"/>
    <cellStyle name="Normal 276 2 4 2" xfId="23579"/>
    <cellStyle name="Normal 276 2 4 2 2" xfId="23580"/>
    <cellStyle name="Normal 276 2 4 3" xfId="23581"/>
    <cellStyle name="Normal 276 2 5" xfId="23582"/>
    <cellStyle name="Normal 276 3" xfId="23583"/>
    <cellStyle name="Normal 276 3 2" xfId="23584"/>
    <cellStyle name="Normal 276 3 2 2" xfId="23585"/>
    <cellStyle name="Normal 276 3 2 2 2" xfId="23586"/>
    <cellStyle name="Normal 276 3 2 3" xfId="23587"/>
    <cellStyle name="Normal 276 3 2 3 2" xfId="23588"/>
    <cellStyle name="Normal 276 3 2 3 2 2" xfId="23589"/>
    <cellStyle name="Normal 276 3 2 3 3" xfId="23590"/>
    <cellStyle name="Normal 276 3 2 4" xfId="23591"/>
    <cellStyle name="Normal 276 3 3" xfId="23592"/>
    <cellStyle name="Normal 276 3 3 2" xfId="23593"/>
    <cellStyle name="Normal 276 3 3 2 2" xfId="23594"/>
    <cellStyle name="Normal 276 3 3 3" xfId="23595"/>
    <cellStyle name="Normal 276 3 4" xfId="23596"/>
    <cellStyle name="Normal 276 3 4 2" xfId="23597"/>
    <cellStyle name="Normal 276 3 4 2 2" xfId="23598"/>
    <cellStyle name="Normal 276 3 4 3" xfId="23599"/>
    <cellStyle name="Normal 276 3 5" xfId="23600"/>
    <cellStyle name="Normal 276 3 5 2" xfId="23601"/>
    <cellStyle name="Normal 276 3 5 2 2" xfId="23602"/>
    <cellStyle name="Normal 276 3 5 3" xfId="23603"/>
    <cellStyle name="Normal 276 3 6" xfId="23604"/>
    <cellStyle name="Normal 276 4" xfId="23605"/>
    <cellStyle name="Normal 276 4 2" xfId="23606"/>
    <cellStyle name="Normal 276 4 2 2" xfId="23607"/>
    <cellStyle name="Normal 276 4 3" xfId="23608"/>
    <cellStyle name="Normal 276 5" xfId="23609"/>
    <cellStyle name="Normal 276 5 2" xfId="23610"/>
    <cellStyle name="Normal 276 5 2 2" xfId="23611"/>
    <cellStyle name="Normal 276 5 3" xfId="23612"/>
    <cellStyle name="Normal 276 6" xfId="23613"/>
    <cellStyle name="Normal 276 6 2" xfId="23614"/>
    <cellStyle name="Normal 276 6 2 2" xfId="23615"/>
    <cellStyle name="Normal 276 6 3" xfId="23616"/>
    <cellStyle name="Normal 276 7" xfId="23617"/>
    <cellStyle name="Normal 277" xfId="23618"/>
    <cellStyle name="Normal 277 2" xfId="23619"/>
    <cellStyle name="Normal 277 2 2" xfId="23620"/>
    <cellStyle name="Normal 277 2 2 2" xfId="23621"/>
    <cellStyle name="Normal 277 2 3" xfId="23622"/>
    <cellStyle name="Normal 277 2 3 2" xfId="23623"/>
    <cellStyle name="Normal 277 2 3 2 2" xfId="23624"/>
    <cellStyle name="Normal 277 2 3 3" xfId="23625"/>
    <cellStyle name="Normal 277 2 4" xfId="23626"/>
    <cellStyle name="Normal 277 2 4 2" xfId="23627"/>
    <cellStyle name="Normal 277 2 4 2 2" xfId="23628"/>
    <cellStyle name="Normal 277 2 4 3" xfId="23629"/>
    <cellStyle name="Normal 277 2 5" xfId="23630"/>
    <cellStyle name="Normal 277 3" xfId="23631"/>
    <cellStyle name="Normal 277 3 2" xfId="23632"/>
    <cellStyle name="Normal 277 3 2 2" xfId="23633"/>
    <cellStyle name="Normal 277 3 2 2 2" xfId="23634"/>
    <cellStyle name="Normal 277 3 2 3" xfId="23635"/>
    <cellStyle name="Normal 277 3 2 3 2" xfId="23636"/>
    <cellStyle name="Normal 277 3 2 3 2 2" xfId="23637"/>
    <cellStyle name="Normal 277 3 2 3 3" xfId="23638"/>
    <cellStyle name="Normal 277 3 2 4" xfId="23639"/>
    <cellStyle name="Normal 277 3 3" xfId="23640"/>
    <cellStyle name="Normal 277 3 3 2" xfId="23641"/>
    <cellStyle name="Normal 277 3 3 2 2" xfId="23642"/>
    <cellStyle name="Normal 277 3 3 3" xfId="23643"/>
    <cellStyle name="Normal 277 3 4" xfId="23644"/>
    <cellStyle name="Normal 277 3 4 2" xfId="23645"/>
    <cellStyle name="Normal 277 3 4 2 2" xfId="23646"/>
    <cellStyle name="Normal 277 3 4 3" xfId="23647"/>
    <cellStyle name="Normal 277 3 5" xfId="23648"/>
    <cellStyle name="Normal 277 3 5 2" xfId="23649"/>
    <cellStyle name="Normal 277 3 5 2 2" xfId="23650"/>
    <cellStyle name="Normal 277 3 5 3" xfId="23651"/>
    <cellStyle name="Normal 277 3 6" xfId="23652"/>
    <cellStyle name="Normal 277 4" xfId="23653"/>
    <cellStyle name="Normal 277 4 2" xfId="23654"/>
    <cellStyle name="Normal 277 4 2 2" xfId="23655"/>
    <cellStyle name="Normal 277 4 3" xfId="23656"/>
    <cellStyle name="Normal 277 5" xfId="23657"/>
    <cellStyle name="Normal 277 5 2" xfId="23658"/>
    <cellStyle name="Normal 277 5 2 2" xfId="23659"/>
    <cellStyle name="Normal 277 5 3" xfId="23660"/>
    <cellStyle name="Normal 277 6" xfId="23661"/>
    <cellStyle name="Normal 277 6 2" xfId="23662"/>
    <cellStyle name="Normal 277 6 2 2" xfId="23663"/>
    <cellStyle name="Normal 277 6 3" xfId="23664"/>
    <cellStyle name="Normal 277 7" xfId="23665"/>
    <cellStyle name="Normal 278" xfId="23666"/>
    <cellStyle name="Normal 278 2" xfId="23667"/>
    <cellStyle name="Normal 278 2 2" xfId="23668"/>
    <cellStyle name="Normal 278 2 2 2" xfId="23669"/>
    <cellStyle name="Normal 278 2 3" xfId="23670"/>
    <cellStyle name="Normal 278 2 3 2" xfId="23671"/>
    <cellStyle name="Normal 278 2 3 2 2" xfId="23672"/>
    <cellStyle name="Normal 278 2 3 3" xfId="23673"/>
    <cellStyle name="Normal 278 2 4" xfId="23674"/>
    <cellStyle name="Normal 278 2 4 2" xfId="23675"/>
    <cellStyle name="Normal 278 2 4 2 2" xfId="23676"/>
    <cellStyle name="Normal 278 2 4 3" xfId="23677"/>
    <cellStyle name="Normal 278 2 5" xfId="23678"/>
    <cellStyle name="Normal 278 3" xfId="23679"/>
    <cellStyle name="Normal 278 3 2" xfId="23680"/>
    <cellStyle name="Normal 278 3 2 2" xfId="23681"/>
    <cellStyle name="Normal 278 3 2 2 2" xfId="23682"/>
    <cellStyle name="Normal 278 3 2 3" xfId="23683"/>
    <cellStyle name="Normal 278 3 2 3 2" xfId="23684"/>
    <cellStyle name="Normal 278 3 2 3 2 2" xfId="23685"/>
    <cellStyle name="Normal 278 3 2 3 3" xfId="23686"/>
    <cellStyle name="Normal 278 3 2 4" xfId="23687"/>
    <cellStyle name="Normal 278 3 3" xfId="23688"/>
    <cellStyle name="Normal 278 3 3 2" xfId="23689"/>
    <cellStyle name="Normal 278 3 3 2 2" xfId="23690"/>
    <cellStyle name="Normal 278 3 3 3" xfId="23691"/>
    <cellStyle name="Normal 278 3 4" xfId="23692"/>
    <cellStyle name="Normal 278 3 4 2" xfId="23693"/>
    <cellStyle name="Normal 278 3 4 2 2" xfId="23694"/>
    <cellStyle name="Normal 278 3 4 3" xfId="23695"/>
    <cellStyle name="Normal 278 3 5" xfId="23696"/>
    <cellStyle name="Normal 278 3 5 2" xfId="23697"/>
    <cellStyle name="Normal 278 3 5 2 2" xfId="23698"/>
    <cellStyle name="Normal 278 3 5 3" xfId="23699"/>
    <cellStyle name="Normal 278 3 6" xfId="23700"/>
    <cellStyle name="Normal 278 4" xfId="23701"/>
    <cellStyle name="Normal 278 4 2" xfId="23702"/>
    <cellStyle name="Normal 278 4 2 2" xfId="23703"/>
    <cellStyle name="Normal 278 4 3" xfId="23704"/>
    <cellStyle name="Normal 278 5" xfId="23705"/>
    <cellStyle name="Normal 278 5 2" xfId="23706"/>
    <cellStyle name="Normal 278 5 2 2" xfId="23707"/>
    <cellStyle name="Normal 278 5 3" xfId="23708"/>
    <cellStyle name="Normal 278 6" xfId="23709"/>
    <cellStyle name="Normal 278 6 2" xfId="23710"/>
    <cellStyle name="Normal 278 6 2 2" xfId="23711"/>
    <cellStyle name="Normal 278 6 3" xfId="23712"/>
    <cellStyle name="Normal 278 7" xfId="23713"/>
    <cellStyle name="Normal 279" xfId="23714"/>
    <cellStyle name="Normal 279 2" xfId="23715"/>
    <cellStyle name="Normal 279 2 2" xfId="23716"/>
    <cellStyle name="Normal 279 2 2 2" xfId="23717"/>
    <cellStyle name="Normal 279 2 3" xfId="23718"/>
    <cellStyle name="Normal 279 2 3 2" xfId="23719"/>
    <cellStyle name="Normal 279 2 3 2 2" xfId="23720"/>
    <cellStyle name="Normal 279 2 3 3" xfId="23721"/>
    <cellStyle name="Normal 279 2 4" xfId="23722"/>
    <cellStyle name="Normal 279 2 4 2" xfId="23723"/>
    <cellStyle name="Normal 279 2 4 2 2" xfId="23724"/>
    <cellStyle name="Normal 279 2 4 3" xfId="23725"/>
    <cellStyle name="Normal 279 2 5" xfId="23726"/>
    <cellStyle name="Normal 279 3" xfId="23727"/>
    <cellStyle name="Normal 279 3 2" xfId="23728"/>
    <cellStyle name="Normal 279 3 2 2" xfId="23729"/>
    <cellStyle name="Normal 279 3 2 2 2" xfId="23730"/>
    <cellStyle name="Normal 279 3 2 3" xfId="23731"/>
    <cellStyle name="Normal 279 3 2 3 2" xfId="23732"/>
    <cellStyle name="Normal 279 3 2 3 2 2" xfId="23733"/>
    <cellStyle name="Normal 279 3 2 3 3" xfId="23734"/>
    <cellStyle name="Normal 279 3 2 4" xfId="23735"/>
    <cellStyle name="Normal 279 3 3" xfId="23736"/>
    <cellStyle name="Normal 279 3 3 2" xfId="23737"/>
    <cellStyle name="Normal 279 3 3 2 2" xfId="23738"/>
    <cellStyle name="Normal 279 3 3 3" xfId="23739"/>
    <cellStyle name="Normal 279 3 4" xfId="23740"/>
    <cellStyle name="Normal 279 3 4 2" xfId="23741"/>
    <cellStyle name="Normal 279 3 4 2 2" xfId="23742"/>
    <cellStyle name="Normal 279 3 4 3" xfId="23743"/>
    <cellStyle name="Normal 279 3 5" xfId="23744"/>
    <cellStyle name="Normal 279 3 5 2" xfId="23745"/>
    <cellStyle name="Normal 279 3 5 2 2" xfId="23746"/>
    <cellStyle name="Normal 279 3 5 3" xfId="23747"/>
    <cellStyle name="Normal 279 3 6" xfId="23748"/>
    <cellStyle name="Normal 279 4" xfId="23749"/>
    <cellStyle name="Normal 279 4 2" xfId="23750"/>
    <cellStyle name="Normal 279 4 2 2" xfId="23751"/>
    <cellStyle name="Normal 279 4 3" xfId="23752"/>
    <cellStyle name="Normal 279 5" xfId="23753"/>
    <cellStyle name="Normal 279 5 2" xfId="23754"/>
    <cellStyle name="Normal 279 5 2 2" xfId="23755"/>
    <cellStyle name="Normal 279 5 3" xfId="23756"/>
    <cellStyle name="Normal 279 6" xfId="23757"/>
    <cellStyle name="Normal 279 6 2" xfId="23758"/>
    <cellStyle name="Normal 279 6 2 2" xfId="23759"/>
    <cellStyle name="Normal 279 6 3" xfId="23760"/>
    <cellStyle name="Normal 279 7" xfId="23761"/>
    <cellStyle name="Normal 28" xfId="23762"/>
    <cellStyle name="Normal 28 2" xfId="23763"/>
    <cellStyle name="Normal 28 2 2" xfId="23764"/>
    <cellStyle name="Normal 28 2 2 2" xfId="23765"/>
    <cellStyle name="Normal 28 2 2 2 2" xfId="23766"/>
    <cellStyle name="Normal 28 2 2 3" xfId="23767"/>
    <cellStyle name="Normal 28 2 2 3 2" xfId="23768"/>
    <cellStyle name="Normal 28 2 2 3 2 2" xfId="23769"/>
    <cellStyle name="Normal 28 2 2 3 3" xfId="23770"/>
    <cellStyle name="Normal 28 2 2 4" xfId="23771"/>
    <cellStyle name="Normal 28 2 2 4 2" xfId="23772"/>
    <cellStyle name="Normal 28 2 2 4 2 2" xfId="23773"/>
    <cellStyle name="Normal 28 2 2 4 3" xfId="23774"/>
    <cellStyle name="Normal 28 2 2 5" xfId="23775"/>
    <cellStyle name="Normal 28 2 3" xfId="23776"/>
    <cellStyle name="Normal 28 2 3 2" xfId="23777"/>
    <cellStyle name="Normal 28 2 3 2 2" xfId="23778"/>
    <cellStyle name="Normal 28 2 3 3" xfId="23779"/>
    <cellStyle name="Normal 28 2 4" xfId="23780"/>
    <cellStyle name="Normal 28 2 4 2" xfId="23781"/>
    <cellStyle name="Normal 28 2 4 2 2" xfId="23782"/>
    <cellStyle name="Normal 28 2 4 3" xfId="23783"/>
    <cellStyle name="Normal 28 2 5" xfId="23784"/>
    <cellStyle name="Normal 28 2 5 2" xfId="23785"/>
    <cellStyle name="Normal 28 2 5 2 2" xfId="23786"/>
    <cellStyle name="Normal 28 2 5 3" xfId="23787"/>
    <cellStyle name="Normal 28 2 6" xfId="23788"/>
    <cellStyle name="Normal 28 3" xfId="23789"/>
    <cellStyle name="Normal 28 3 2" xfId="23790"/>
    <cellStyle name="Normal 28 3 2 2" xfId="23791"/>
    <cellStyle name="Normal 28 3 3" xfId="23792"/>
    <cellStyle name="Normal 28 3 3 2" xfId="23793"/>
    <cellStyle name="Normal 28 3 3 2 2" xfId="23794"/>
    <cellStyle name="Normal 28 3 3 3" xfId="23795"/>
    <cellStyle name="Normal 28 3 4" xfId="23796"/>
    <cellStyle name="Normal 28 3 4 2" xfId="23797"/>
    <cellStyle name="Normal 28 3 4 2 2" xfId="23798"/>
    <cellStyle name="Normal 28 3 4 3" xfId="23799"/>
    <cellStyle name="Normal 28 3 5" xfId="23800"/>
    <cellStyle name="Normal 28 4" xfId="23801"/>
    <cellStyle name="Normal 28 4 2" xfId="23802"/>
    <cellStyle name="Normal 28 4 2 2" xfId="23803"/>
    <cellStyle name="Normal 28 4 3" xfId="23804"/>
    <cellStyle name="Normal 28 4 3 2" xfId="23805"/>
    <cellStyle name="Normal 28 4 3 2 2" xfId="23806"/>
    <cellStyle name="Normal 28 4 3 3" xfId="23807"/>
    <cellStyle name="Normal 28 4 4" xfId="23808"/>
    <cellStyle name="Normal 28 4 4 2" xfId="23809"/>
    <cellStyle name="Normal 28 4 4 2 2" xfId="23810"/>
    <cellStyle name="Normal 28 4 4 3" xfId="23811"/>
    <cellStyle name="Normal 28 4 5" xfId="23812"/>
    <cellStyle name="Normal 28 5" xfId="23813"/>
    <cellStyle name="Normal 28 5 2" xfId="23814"/>
    <cellStyle name="Normal 28 5 2 2" xfId="23815"/>
    <cellStyle name="Normal 28 5 3" xfId="23816"/>
    <cellStyle name="Normal 28 6" xfId="23817"/>
    <cellStyle name="Normal 28 6 2" xfId="23818"/>
    <cellStyle name="Normal 28 6 2 2" xfId="23819"/>
    <cellStyle name="Normal 28 6 3" xfId="23820"/>
    <cellStyle name="Normal 28 7" xfId="23821"/>
    <cellStyle name="Normal 28 7 2" xfId="23822"/>
    <cellStyle name="Normal 28 7 2 2" xfId="23823"/>
    <cellStyle name="Normal 28 7 3" xfId="23824"/>
    <cellStyle name="Normal 28 8" xfId="23825"/>
    <cellStyle name="Normal 280" xfId="23826"/>
    <cellStyle name="Normal 280 2" xfId="23827"/>
    <cellStyle name="Normal 280 2 2" xfId="23828"/>
    <cellStyle name="Normal 280 2 2 2" xfId="23829"/>
    <cellStyle name="Normal 280 2 3" xfId="23830"/>
    <cellStyle name="Normal 280 2 3 2" xfId="23831"/>
    <cellStyle name="Normal 280 2 3 2 2" xfId="23832"/>
    <cellStyle name="Normal 280 2 3 3" xfId="23833"/>
    <cellStyle name="Normal 280 2 4" xfId="23834"/>
    <cellStyle name="Normal 280 2 4 2" xfId="23835"/>
    <cellStyle name="Normal 280 2 4 2 2" xfId="23836"/>
    <cellStyle name="Normal 280 2 4 3" xfId="23837"/>
    <cellStyle name="Normal 280 2 5" xfId="23838"/>
    <cellStyle name="Normal 280 3" xfId="23839"/>
    <cellStyle name="Normal 280 3 2" xfId="23840"/>
    <cellStyle name="Normal 280 3 2 2" xfId="23841"/>
    <cellStyle name="Normal 280 3 2 2 2" xfId="23842"/>
    <cellStyle name="Normal 280 3 2 3" xfId="23843"/>
    <cellStyle name="Normal 280 3 2 3 2" xfId="23844"/>
    <cellStyle name="Normal 280 3 2 3 2 2" xfId="23845"/>
    <cellStyle name="Normal 280 3 2 3 3" xfId="23846"/>
    <cellStyle name="Normal 280 3 2 4" xfId="23847"/>
    <cellStyle name="Normal 280 3 3" xfId="23848"/>
    <cellStyle name="Normal 280 3 3 2" xfId="23849"/>
    <cellStyle name="Normal 280 3 3 2 2" xfId="23850"/>
    <cellStyle name="Normal 280 3 3 3" xfId="23851"/>
    <cellStyle name="Normal 280 3 4" xfId="23852"/>
    <cellStyle name="Normal 280 3 4 2" xfId="23853"/>
    <cellStyle name="Normal 280 3 4 2 2" xfId="23854"/>
    <cellStyle name="Normal 280 3 4 3" xfId="23855"/>
    <cellStyle name="Normal 280 3 5" xfId="23856"/>
    <cellStyle name="Normal 280 3 5 2" xfId="23857"/>
    <cellStyle name="Normal 280 3 5 2 2" xfId="23858"/>
    <cellStyle name="Normal 280 3 5 3" xfId="23859"/>
    <cellStyle name="Normal 280 3 6" xfId="23860"/>
    <cellStyle name="Normal 280 4" xfId="23861"/>
    <cellStyle name="Normal 280 4 2" xfId="23862"/>
    <cellStyle name="Normal 280 4 2 2" xfId="23863"/>
    <cellStyle name="Normal 280 4 3" xfId="23864"/>
    <cellStyle name="Normal 280 5" xfId="23865"/>
    <cellStyle name="Normal 280 5 2" xfId="23866"/>
    <cellStyle name="Normal 280 5 2 2" xfId="23867"/>
    <cellStyle name="Normal 280 5 3" xfId="23868"/>
    <cellStyle name="Normal 280 6" xfId="23869"/>
    <cellStyle name="Normal 280 6 2" xfId="23870"/>
    <cellStyle name="Normal 280 6 2 2" xfId="23871"/>
    <cellStyle name="Normal 280 6 3" xfId="23872"/>
    <cellStyle name="Normal 280 7" xfId="23873"/>
    <cellStyle name="Normal 281" xfId="23874"/>
    <cellStyle name="Normal 281 2" xfId="23875"/>
    <cellStyle name="Normal 281 2 2" xfId="23876"/>
    <cellStyle name="Normal 281 2 2 2" xfId="23877"/>
    <cellStyle name="Normal 281 2 3" xfId="23878"/>
    <cellStyle name="Normal 281 2 3 2" xfId="23879"/>
    <cellStyle name="Normal 281 2 3 2 2" xfId="23880"/>
    <cellStyle name="Normal 281 2 3 3" xfId="23881"/>
    <cellStyle name="Normal 281 2 4" xfId="23882"/>
    <cellStyle name="Normal 281 2 4 2" xfId="23883"/>
    <cellStyle name="Normal 281 2 4 2 2" xfId="23884"/>
    <cellStyle name="Normal 281 2 4 3" xfId="23885"/>
    <cellStyle name="Normal 281 2 5" xfId="23886"/>
    <cellStyle name="Normal 281 3" xfId="23887"/>
    <cellStyle name="Normal 281 3 2" xfId="23888"/>
    <cellStyle name="Normal 281 3 2 2" xfId="23889"/>
    <cellStyle name="Normal 281 3 2 2 2" xfId="23890"/>
    <cellStyle name="Normal 281 3 2 3" xfId="23891"/>
    <cellStyle name="Normal 281 3 2 3 2" xfId="23892"/>
    <cellStyle name="Normal 281 3 2 3 2 2" xfId="23893"/>
    <cellStyle name="Normal 281 3 2 3 3" xfId="23894"/>
    <cellStyle name="Normal 281 3 2 4" xfId="23895"/>
    <cellStyle name="Normal 281 3 3" xfId="23896"/>
    <cellStyle name="Normal 281 3 3 2" xfId="23897"/>
    <cellStyle name="Normal 281 3 3 2 2" xfId="23898"/>
    <cellStyle name="Normal 281 3 3 3" xfId="23899"/>
    <cellStyle name="Normal 281 3 4" xfId="23900"/>
    <cellStyle name="Normal 281 3 4 2" xfId="23901"/>
    <cellStyle name="Normal 281 3 4 2 2" xfId="23902"/>
    <cellStyle name="Normal 281 3 4 3" xfId="23903"/>
    <cellStyle name="Normal 281 3 5" xfId="23904"/>
    <cellStyle name="Normal 281 3 5 2" xfId="23905"/>
    <cellStyle name="Normal 281 3 5 2 2" xfId="23906"/>
    <cellStyle name="Normal 281 3 5 3" xfId="23907"/>
    <cellStyle name="Normal 281 3 6" xfId="23908"/>
    <cellStyle name="Normal 281 4" xfId="23909"/>
    <cellStyle name="Normal 281 4 2" xfId="23910"/>
    <cellStyle name="Normal 281 4 2 2" xfId="23911"/>
    <cellStyle name="Normal 281 4 3" xfId="23912"/>
    <cellStyle name="Normal 281 5" xfId="23913"/>
    <cellStyle name="Normal 281 5 2" xfId="23914"/>
    <cellStyle name="Normal 281 5 2 2" xfId="23915"/>
    <cellStyle name="Normal 281 5 3" xfId="23916"/>
    <cellStyle name="Normal 281 6" xfId="23917"/>
    <cellStyle name="Normal 281 6 2" xfId="23918"/>
    <cellStyle name="Normal 281 6 2 2" xfId="23919"/>
    <cellStyle name="Normal 281 6 3" xfId="23920"/>
    <cellStyle name="Normal 281 7" xfId="23921"/>
    <cellStyle name="Normal 282" xfId="23922"/>
    <cellStyle name="Normal 282 2" xfId="23923"/>
    <cellStyle name="Normal 282 2 2" xfId="23924"/>
    <cellStyle name="Normal 282 2 2 2" xfId="23925"/>
    <cellStyle name="Normal 282 2 3" xfId="23926"/>
    <cellStyle name="Normal 282 2 3 2" xfId="23927"/>
    <cellStyle name="Normal 282 2 3 2 2" xfId="23928"/>
    <cellStyle name="Normal 282 2 3 3" xfId="23929"/>
    <cellStyle name="Normal 282 2 4" xfId="23930"/>
    <cellStyle name="Normal 282 2 4 2" xfId="23931"/>
    <cellStyle name="Normal 282 2 4 2 2" xfId="23932"/>
    <cellStyle name="Normal 282 2 4 3" xfId="23933"/>
    <cellStyle name="Normal 282 2 5" xfId="23934"/>
    <cellStyle name="Normal 282 3" xfId="23935"/>
    <cellStyle name="Normal 282 3 2" xfId="23936"/>
    <cellStyle name="Normal 282 3 2 2" xfId="23937"/>
    <cellStyle name="Normal 282 3 2 2 2" xfId="23938"/>
    <cellStyle name="Normal 282 3 2 3" xfId="23939"/>
    <cellStyle name="Normal 282 3 2 3 2" xfId="23940"/>
    <cellStyle name="Normal 282 3 2 3 2 2" xfId="23941"/>
    <cellStyle name="Normal 282 3 2 3 3" xfId="23942"/>
    <cellStyle name="Normal 282 3 2 4" xfId="23943"/>
    <cellStyle name="Normal 282 3 3" xfId="23944"/>
    <cellStyle name="Normal 282 3 3 2" xfId="23945"/>
    <cellStyle name="Normal 282 3 3 2 2" xfId="23946"/>
    <cellStyle name="Normal 282 3 3 3" xfId="23947"/>
    <cellStyle name="Normal 282 3 4" xfId="23948"/>
    <cellStyle name="Normal 282 3 4 2" xfId="23949"/>
    <cellStyle name="Normal 282 3 4 2 2" xfId="23950"/>
    <cellStyle name="Normal 282 3 4 3" xfId="23951"/>
    <cellStyle name="Normal 282 3 5" xfId="23952"/>
    <cellStyle name="Normal 282 3 5 2" xfId="23953"/>
    <cellStyle name="Normal 282 3 5 2 2" xfId="23954"/>
    <cellStyle name="Normal 282 3 5 3" xfId="23955"/>
    <cellStyle name="Normal 282 3 6" xfId="23956"/>
    <cellStyle name="Normal 282 4" xfId="23957"/>
    <cellStyle name="Normal 282 4 2" xfId="23958"/>
    <cellStyle name="Normal 282 4 2 2" xfId="23959"/>
    <cellStyle name="Normal 282 4 3" xfId="23960"/>
    <cellStyle name="Normal 282 5" xfId="23961"/>
    <cellStyle name="Normal 282 5 2" xfId="23962"/>
    <cellStyle name="Normal 282 5 2 2" xfId="23963"/>
    <cellStyle name="Normal 282 5 3" xfId="23964"/>
    <cellStyle name="Normal 282 6" xfId="23965"/>
    <cellStyle name="Normal 282 6 2" xfId="23966"/>
    <cellStyle name="Normal 282 6 2 2" xfId="23967"/>
    <cellStyle name="Normal 282 6 3" xfId="23968"/>
    <cellStyle name="Normal 282 7" xfId="23969"/>
    <cellStyle name="Normal 283" xfId="23970"/>
    <cellStyle name="Normal 283 2" xfId="23971"/>
    <cellStyle name="Normal 283 2 2" xfId="23972"/>
    <cellStyle name="Normal 283 2 2 2" xfId="23973"/>
    <cellStyle name="Normal 283 2 3" xfId="23974"/>
    <cellStyle name="Normal 283 2 3 2" xfId="23975"/>
    <cellStyle name="Normal 283 2 3 2 2" xfId="23976"/>
    <cellStyle name="Normal 283 2 3 3" xfId="23977"/>
    <cellStyle name="Normal 283 2 4" xfId="23978"/>
    <cellStyle name="Normal 283 2 4 2" xfId="23979"/>
    <cellStyle name="Normal 283 2 4 2 2" xfId="23980"/>
    <cellStyle name="Normal 283 2 4 3" xfId="23981"/>
    <cellStyle name="Normal 283 2 5" xfId="23982"/>
    <cellStyle name="Normal 283 3" xfId="23983"/>
    <cellStyle name="Normal 283 3 2" xfId="23984"/>
    <cellStyle name="Normal 283 3 2 2" xfId="23985"/>
    <cellStyle name="Normal 283 3 2 2 2" xfId="23986"/>
    <cellStyle name="Normal 283 3 2 3" xfId="23987"/>
    <cellStyle name="Normal 283 3 2 3 2" xfId="23988"/>
    <cellStyle name="Normal 283 3 2 3 2 2" xfId="23989"/>
    <cellStyle name="Normal 283 3 2 3 3" xfId="23990"/>
    <cellStyle name="Normal 283 3 2 4" xfId="23991"/>
    <cellStyle name="Normal 283 3 3" xfId="23992"/>
    <cellStyle name="Normal 283 3 3 2" xfId="23993"/>
    <cellStyle name="Normal 283 3 3 2 2" xfId="23994"/>
    <cellStyle name="Normal 283 3 3 3" xfId="23995"/>
    <cellStyle name="Normal 283 3 4" xfId="23996"/>
    <cellStyle name="Normal 283 3 4 2" xfId="23997"/>
    <cellStyle name="Normal 283 3 4 2 2" xfId="23998"/>
    <cellStyle name="Normal 283 3 4 3" xfId="23999"/>
    <cellStyle name="Normal 283 3 5" xfId="24000"/>
    <cellStyle name="Normal 283 3 5 2" xfId="24001"/>
    <cellStyle name="Normal 283 3 5 2 2" xfId="24002"/>
    <cellStyle name="Normal 283 3 5 3" xfId="24003"/>
    <cellStyle name="Normal 283 3 6" xfId="24004"/>
    <cellStyle name="Normal 283 4" xfId="24005"/>
    <cellStyle name="Normal 283 4 2" xfId="24006"/>
    <cellStyle name="Normal 283 4 2 2" xfId="24007"/>
    <cellStyle name="Normal 283 4 3" xfId="24008"/>
    <cellStyle name="Normal 283 5" xfId="24009"/>
    <cellStyle name="Normal 283 5 2" xfId="24010"/>
    <cellStyle name="Normal 283 5 2 2" xfId="24011"/>
    <cellStyle name="Normal 283 5 3" xfId="24012"/>
    <cellStyle name="Normal 283 6" xfId="24013"/>
    <cellStyle name="Normal 283 6 2" xfId="24014"/>
    <cellStyle name="Normal 283 6 2 2" xfId="24015"/>
    <cellStyle name="Normal 283 6 3" xfId="24016"/>
    <cellStyle name="Normal 283 7" xfId="24017"/>
    <cellStyle name="Normal 284" xfId="24018"/>
    <cellStyle name="Normal 284 2" xfId="24019"/>
    <cellStyle name="Normal 284 2 2" xfId="24020"/>
    <cellStyle name="Normal 284 2 2 2" xfId="24021"/>
    <cellStyle name="Normal 284 2 3" xfId="24022"/>
    <cellStyle name="Normal 284 2 3 2" xfId="24023"/>
    <cellStyle name="Normal 284 2 3 2 2" xfId="24024"/>
    <cellStyle name="Normal 284 2 3 3" xfId="24025"/>
    <cellStyle name="Normal 284 2 4" xfId="24026"/>
    <cellStyle name="Normal 284 2 4 2" xfId="24027"/>
    <cellStyle name="Normal 284 2 4 2 2" xfId="24028"/>
    <cellStyle name="Normal 284 2 4 3" xfId="24029"/>
    <cellStyle name="Normal 284 2 5" xfId="24030"/>
    <cellStyle name="Normal 284 3" xfId="24031"/>
    <cellStyle name="Normal 284 3 2" xfId="24032"/>
    <cellStyle name="Normal 284 3 2 2" xfId="24033"/>
    <cellStyle name="Normal 284 3 2 2 2" xfId="24034"/>
    <cellStyle name="Normal 284 3 2 3" xfId="24035"/>
    <cellStyle name="Normal 284 3 2 3 2" xfId="24036"/>
    <cellStyle name="Normal 284 3 2 3 2 2" xfId="24037"/>
    <cellStyle name="Normal 284 3 2 3 3" xfId="24038"/>
    <cellStyle name="Normal 284 3 2 4" xfId="24039"/>
    <cellStyle name="Normal 284 3 3" xfId="24040"/>
    <cellStyle name="Normal 284 3 3 2" xfId="24041"/>
    <cellStyle name="Normal 284 3 3 2 2" xfId="24042"/>
    <cellStyle name="Normal 284 3 3 3" xfId="24043"/>
    <cellStyle name="Normal 284 3 4" xfId="24044"/>
    <cellStyle name="Normal 284 3 4 2" xfId="24045"/>
    <cellStyle name="Normal 284 3 4 2 2" xfId="24046"/>
    <cellStyle name="Normal 284 3 4 3" xfId="24047"/>
    <cellStyle name="Normal 284 3 5" xfId="24048"/>
    <cellStyle name="Normal 284 3 5 2" xfId="24049"/>
    <cellStyle name="Normal 284 3 5 2 2" xfId="24050"/>
    <cellStyle name="Normal 284 3 5 3" xfId="24051"/>
    <cellStyle name="Normal 284 3 6" xfId="24052"/>
    <cellStyle name="Normal 284 4" xfId="24053"/>
    <cellStyle name="Normal 284 4 2" xfId="24054"/>
    <cellStyle name="Normal 284 4 2 2" xfId="24055"/>
    <cellStyle name="Normal 284 4 3" xfId="24056"/>
    <cellStyle name="Normal 284 5" xfId="24057"/>
    <cellStyle name="Normal 284 5 2" xfId="24058"/>
    <cellStyle name="Normal 284 5 2 2" xfId="24059"/>
    <cellStyle name="Normal 284 5 3" xfId="24060"/>
    <cellStyle name="Normal 284 6" xfId="24061"/>
    <cellStyle name="Normal 284 6 2" xfId="24062"/>
    <cellStyle name="Normal 284 6 2 2" xfId="24063"/>
    <cellStyle name="Normal 284 6 3" xfId="24064"/>
    <cellStyle name="Normal 284 7" xfId="24065"/>
    <cellStyle name="Normal 285" xfId="24066"/>
    <cellStyle name="Normal 285 2" xfId="24067"/>
    <cellStyle name="Normal 285 2 2" xfId="24068"/>
    <cellStyle name="Normal 285 2 2 2" xfId="24069"/>
    <cellStyle name="Normal 285 2 3" xfId="24070"/>
    <cellStyle name="Normal 285 2 3 2" xfId="24071"/>
    <cellStyle name="Normal 285 2 3 2 2" xfId="24072"/>
    <cellStyle name="Normal 285 2 3 3" xfId="24073"/>
    <cellStyle name="Normal 285 2 4" xfId="24074"/>
    <cellStyle name="Normal 285 2 4 2" xfId="24075"/>
    <cellStyle name="Normal 285 2 4 2 2" xfId="24076"/>
    <cellStyle name="Normal 285 2 4 3" xfId="24077"/>
    <cellStyle name="Normal 285 2 5" xfId="24078"/>
    <cellStyle name="Normal 285 3" xfId="24079"/>
    <cellStyle name="Normal 285 3 2" xfId="24080"/>
    <cellStyle name="Normal 285 3 2 2" xfId="24081"/>
    <cellStyle name="Normal 285 3 2 2 2" xfId="24082"/>
    <cellStyle name="Normal 285 3 2 3" xfId="24083"/>
    <cellStyle name="Normal 285 3 2 3 2" xfId="24084"/>
    <cellStyle name="Normal 285 3 2 3 2 2" xfId="24085"/>
    <cellStyle name="Normal 285 3 2 3 3" xfId="24086"/>
    <cellStyle name="Normal 285 3 2 4" xfId="24087"/>
    <cellStyle name="Normal 285 3 3" xfId="24088"/>
    <cellStyle name="Normal 285 3 3 2" xfId="24089"/>
    <cellStyle name="Normal 285 3 3 2 2" xfId="24090"/>
    <cellStyle name="Normal 285 3 3 3" xfId="24091"/>
    <cellStyle name="Normal 285 3 4" xfId="24092"/>
    <cellStyle name="Normal 285 3 4 2" xfId="24093"/>
    <cellStyle name="Normal 285 3 4 2 2" xfId="24094"/>
    <cellStyle name="Normal 285 3 4 3" xfId="24095"/>
    <cellStyle name="Normal 285 3 5" xfId="24096"/>
    <cellStyle name="Normal 285 3 5 2" xfId="24097"/>
    <cellStyle name="Normal 285 3 5 2 2" xfId="24098"/>
    <cellStyle name="Normal 285 3 5 3" xfId="24099"/>
    <cellStyle name="Normal 285 3 6" xfId="24100"/>
    <cellStyle name="Normal 285 4" xfId="24101"/>
    <cellStyle name="Normal 285 4 2" xfId="24102"/>
    <cellStyle name="Normal 285 4 2 2" xfId="24103"/>
    <cellStyle name="Normal 285 4 3" xfId="24104"/>
    <cellStyle name="Normal 285 5" xfId="24105"/>
    <cellStyle name="Normal 285 5 2" xfId="24106"/>
    <cellStyle name="Normal 285 5 2 2" xfId="24107"/>
    <cellStyle name="Normal 285 5 3" xfId="24108"/>
    <cellStyle name="Normal 285 6" xfId="24109"/>
    <cellStyle name="Normal 285 6 2" xfId="24110"/>
    <cellStyle name="Normal 285 6 2 2" xfId="24111"/>
    <cellStyle name="Normal 285 6 3" xfId="24112"/>
    <cellStyle name="Normal 285 7" xfId="24113"/>
    <cellStyle name="Normal 286" xfId="24114"/>
    <cellStyle name="Normal 286 2" xfId="24115"/>
    <cellStyle name="Normal 286 2 2" xfId="24116"/>
    <cellStyle name="Normal 286 2 2 2" xfId="24117"/>
    <cellStyle name="Normal 286 2 3" xfId="24118"/>
    <cellStyle name="Normal 286 2 3 2" xfId="24119"/>
    <cellStyle name="Normal 286 2 3 2 2" xfId="24120"/>
    <cellStyle name="Normal 286 2 3 3" xfId="24121"/>
    <cellStyle name="Normal 286 2 4" xfId="24122"/>
    <cellStyle name="Normal 286 2 4 2" xfId="24123"/>
    <cellStyle name="Normal 286 2 4 2 2" xfId="24124"/>
    <cellStyle name="Normal 286 2 4 3" xfId="24125"/>
    <cellStyle name="Normal 286 2 5" xfId="24126"/>
    <cellStyle name="Normal 286 3" xfId="24127"/>
    <cellStyle name="Normal 286 3 2" xfId="24128"/>
    <cellStyle name="Normal 286 3 2 2" xfId="24129"/>
    <cellStyle name="Normal 286 3 2 2 2" xfId="24130"/>
    <cellStyle name="Normal 286 3 2 3" xfId="24131"/>
    <cellStyle name="Normal 286 3 2 3 2" xfId="24132"/>
    <cellStyle name="Normal 286 3 2 3 2 2" xfId="24133"/>
    <cellStyle name="Normal 286 3 2 3 3" xfId="24134"/>
    <cellStyle name="Normal 286 3 2 4" xfId="24135"/>
    <cellStyle name="Normal 286 3 3" xfId="24136"/>
    <cellStyle name="Normal 286 3 3 2" xfId="24137"/>
    <cellStyle name="Normal 286 3 3 2 2" xfId="24138"/>
    <cellStyle name="Normal 286 3 3 3" xfId="24139"/>
    <cellStyle name="Normal 286 3 4" xfId="24140"/>
    <cellStyle name="Normal 286 3 4 2" xfId="24141"/>
    <cellStyle name="Normal 286 3 4 2 2" xfId="24142"/>
    <cellStyle name="Normal 286 3 4 3" xfId="24143"/>
    <cellStyle name="Normal 286 3 5" xfId="24144"/>
    <cellStyle name="Normal 286 3 5 2" xfId="24145"/>
    <cellStyle name="Normal 286 3 5 2 2" xfId="24146"/>
    <cellStyle name="Normal 286 3 5 3" xfId="24147"/>
    <cellStyle name="Normal 286 3 6" xfId="24148"/>
    <cellStyle name="Normal 286 4" xfId="24149"/>
    <cellStyle name="Normal 286 4 2" xfId="24150"/>
    <cellStyle name="Normal 286 4 2 2" xfId="24151"/>
    <cellStyle name="Normal 286 4 3" xfId="24152"/>
    <cellStyle name="Normal 286 5" xfId="24153"/>
    <cellStyle name="Normal 286 5 2" xfId="24154"/>
    <cellStyle name="Normal 286 5 2 2" xfId="24155"/>
    <cellStyle name="Normal 286 5 3" xfId="24156"/>
    <cellStyle name="Normal 286 6" xfId="24157"/>
    <cellStyle name="Normal 286 6 2" xfId="24158"/>
    <cellStyle name="Normal 286 6 2 2" xfId="24159"/>
    <cellStyle name="Normal 286 6 3" xfId="24160"/>
    <cellStyle name="Normal 286 7" xfId="24161"/>
    <cellStyle name="Normal 287" xfId="24162"/>
    <cellStyle name="Normal 287 2" xfId="24163"/>
    <cellStyle name="Normal 287 2 2" xfId="24164"/>
    <cellStyle name="Normal 287 2 2 2" xfId="24165"/>
    <cellStyle name="Normal 287 2 3" xfId="24166"/>
    <cellStyle name="Normal 287 2 3 2" xfId="24167"/>
    <cellStyle name="Normal 287 2 3 2 2" xfId="24168"/>
    <cellStyle name="Normal 287 2 3 3" xfId="24169"/>
    <cellStyle name="Normal 287 2 4" xfId="24170"/>
    <cellStyle name="Normal 287 2 4 2" xfId="24171"/>
    <cellStyle name="Normal 287 2 4 2 2" xfId="24172"/>
    <cellStyle name="Normal 287 2 4 3" xfId="24173"/>
    <cellStyle name="Normal 287 2 5" xfId="24174"/>
    <cellStyle name="Normal 287 3" xfId="24175"/>
    <cellStyle name="Normal 287 3 2" xfId="24176"/>
    <cellStyle name="Normal 287 3 2 2" xfId="24177"/>
    <cellStyle name="Normal 287 3 2 2 2" xfId="24178"/>
    <cellStyle name="Normal 287 3 2 3" xfId="24179"/>
    <cellStyle name="Normal 287 3 2 3 2" xfId="24180"/>
    <cellStyle name="Normal 287 3 2 3 2 2" xfId="24181"/>
    <cellStyle name="Normal 287 3 2 3 3" xfId="24182"/>
    <cellStyle name="Normal 287 3 2 4" xfId="24183"/>
    <cellStyle name="Normal 287 3 3" xfId="24184"/>
    <cellStyle name="Normal 287 3 3 2" xfId="24185"/>
    <cellStyle name="Normal 287 3 3 2 2" xfId="24186"/>
    <cellStyle name="Normal 287 3 3 3" xfId="24187"/>
    <cellStyle name="Normal 287 3 4" xfId="24188"/>
    <cellStyle name="Normal 287 3 4 2" xfId="24189"/>
    <cellStyle name="Normal 287 3 4 2 2" xfId="24190"/>
    <cellStyle name="Normal 287 3 4 3" xfId="24191"/>
    <cellStyle name="Normal 287 3 5" xfId="24192"/>
    <cellStyle name="Normal 287 3 5 2" xfId="24193"/>
    <cellStyle name="Normal 287 3 5 2 2" xfId="24194"/>
    <cellStyle name="Normal 287 3 5 3" xfId="24195"/>
    <cellStyle name="Normal 287 3 6" xfId="24196"/>
    <cellStyle name="Normal 287 4" xfId="24197"/>
    <cellStyle name="Normal 287 4 2" xfId="24198"/>
    <cellStyle name="Normal 287 4 2 2" xfId="24199"/>
    <cellStyle name="Normal 287 4 3" xfId="24200"/>
    <cellStyle name="Normal 287 5" xfId="24201"/>
    <cellStyle name="Normal 287 5 2" xfId="24202"/>
    <cellStyle name="Normal 287 5 2 2" xfId="24203"/>
    <cellStyle name="Normal 287 5 3" xfId="24204"/>
    <cellStyle name="Normal 287 6" xfId="24205"/>
    <cellStyle name="Normal 287 6 2" xfId="24206"/>
    <cellStyle name="Normal 287 6 2 2" xfId="24207"/>
    <cellStyle name="Normal 287 6 3" xfId="24208"/>
    <cellStyle name="Normal 287 7" xfId="24209"/>
    <cellStyle name="Normal 288" xfId="24210"/>
    <cellStyle name="Normal 288 2" xfId="24211"/>
    <cellStyle name="Normal 288 2 2" xfId="24212"/>
    <cellStyle name="Normal 288 2 2 2" xfId="24213"/>
    <cellStyle name="Normal 288 2 3" xfId="24214"/>
    <cellStyle name="Normal 288 2 3 2" xfId="24215"/>
    <cellStyle name="Normal 288 2 3 2 2" xfId="24216"/>
    <cellStyle name="Normal 288 2 3 3" xfId="24217"/>
    <cellStyle name="Normal 288 2 4" xfId="24218"/>
    <cellStyle name="Normal 288 2 4 2" xfId="24219"/>
    <cellStyle name="Normal 288 2 4 2 2" xfId="24220"/>
    <cellStyle name="Normal 288 2 4 3" xfId="24221"/>
    <cellStyle name="Normal 288 2 5" xfId="24222"/>
    <cellStyle name="Normal 288 3" xfId="24223"/>
    <cellStyle name="Normal 288 3 2" xfId="24224"/>
    <cellStyle name="Normal 288 3 2 2" xfId="24225"/>
    <cellStyle name="Normal 288 3 2 2 2" xfId="24226"/>
    <cellStyle name="Normal 288 3 2 3" xfId="24227"/>
    <cellStyle name="Normal 288 3 2 3 2" xfId="24228"/>
    <cellStyle name="Normal 288 3 2 3 2 2" xfId="24229"/>
    <cellStyle name="Normal 288 3 2 3 3" xfId="24230"/>
    <cellStyle name="Normal 288 3 2 4" xfId="24231"/>
    <cellStyle name="Normal 288 3 3" xfId="24232"/>
    <cellStyle name="Normal 288 3 3 2" xfId="24233"/>
    <cellStyle name="Normal 288 3 3 2 2" xfId="24234"/>
    <cellStyle name="Normal 288 3 3 3" xfId="24235"/>
    <cellStyle name="Normal 288 3 4" xfId="24236"/>
    <cellStyle name="Normal 288 3 4 2" xfId="24237"/>
    <cellStyle name="Normal 288 3 4 2 2" xfId="24238"/>
    <cellStyle name="Normal 288 3 4 3" xfId="24239"/>
    <cellStyle name="Normal 288 3 5" xfId="24240"/>
    <cellStyle name="Normal 288 3 5 2" xfId="24241"/>
    <cellStyle name="Normal 288 3 5 2 2" xfId="24242"/>
    <cellStyle name="Normal 288 3 5 3" xfId="24243"/>
    <cellStyle name="Normal 288 3 6" xfId="24244"/>
    <cellStyle name="Normal 288 4" xfId="24245"/>
    <cellStyle name="Normal 288 4 2" xfId="24246"/>
    <cellStyle name="Normal 288 4 2 2" xfId="24247"/>
    <cellStyle name="Normal 288 4 3" xfId="24248"/>
    <cellStyle name="Normal 288 5" xfId="24249"/>
    <cellStyle name="Normal 288 5 2" xfId="24250"/>
    <cellStyle name="Normal 288 5 2 2" xfId="24251"/>
    <cellStyle name="Normal 288 5 3" xfId="24252"/>
    <cellStyle name="Normal 288 6" xfId="24253"/>
    <cellStyle name="Normal 288 6 2" xfId="24254"/>
    <cellStyle name="Normal 288 6 2 2" xfId="24255"/>
    <cellStyle name="Normal 288 6 3" xfId="24256"/>
    <cellStyle name="Normal 288 7" xfId="24257"/>
    <cellStyle name="Normal 289" xfId="24258"/>
    <cellStyle name="Normal 289 2" xfId="24259"/>
    <cellStyle name="Normal 289 2 2" xfId="24260"/>
    <cellStyle name="Normal 289 2 2 2" xfId="24261"/>
    <cellStyle name="Normal 289 2 3" xfId="24262"/>
    <cellStyle name="Normal 289 2 3 2" xfId="24263"/>
    <cellStyle name="Normal 289 2 3 2 2" xfId="24264"/>
    <cellStyle name="Normal 289 2 3 3" xfId="24265"/>
    <cellStyle name="Normal 289 2 4" xfId="24266"/>
    <cellStyle name="Normal 289 2 4 2" xfId="24267"/>
    <cellStyle name="Normal 289 2 4 2 2" xfId="24268"/>
    <cellStyle name="Normal 289 2 4 3" xfId="24269"/>
    <cellStyle name="Normal 289 2 5" xfId="24270"/>
    <cellStyle name="Normal 289 3" xfId="24271"/>
    <cellStyle name="Normal 289 3 2" xfId="24272"/>
    <cellStyle name="Normal 289 3 2 2" xfId="24273"/>
    <cellStyle name="Normal 289 3 2 2 2" xfId="24274"/>
    <cellStyle name="Normal 289 3 2 3" xfId="24275"/>
    <cellStyle name="Normal 289 3 2 3 2" xfId="24276"/>
    <cellStyle name="Normal 289 3 2 3 2 2" xfId="24277"/>
    <cellStyle name="Normal 289 3 2 3 3" xfId="24278"/>
    <cellStyle name="Normal 289 3 2 4" xfId="24279"/>
    <cellStyle name="Normal 289 3 3" xfId="24280"/>
    <cellStyle name="Normal 289 3 3 2" xfId="24281"/>
    <cellStyle name="Normal 289 3 3 2 2" xfId="24282"/>
    <cellStyle name="Normal 289 3 3 3" xfId="24283"/>
    <cellStyle name="Normal 289 3 4" xfId="24284"/>
    <cellStyle name="Normal 289 3 4 2" xfId="24285"/>
    <cellStyle name="Normal 289 3 4 2 2" xfId="24286"/>
    <cellStyle name="Normal 289 3 4 3" xfId="24287"/>
    <cellStyle name="Normal 289 3 5" xfId="24288"/>
    <cellStyle name="Normal 289 3 5 2" xfId="24289"/>
    <cellStyle name="Normal 289 3 5 2 2" xfId="24290"/>
    <cellStyle name="Normal 289 3 5 3" xfId="24291"/>
    <cellStyle name="Normal 289 3 6" xfId="24292"/>
    <cellStyle name="Normal 289 4" xfId="24293"/>
    <cellStyle name="Normal 289 4 2" xfId="24294"/>
    <cellStyle name="Normal 289 4 2 2" xfId="24295"/>
    <cellStyle name="Normal 289 4 3" xfId="24296"/>
    <cellStyle name="Normal 289 5" xfId="24297"/>
    <cellStyle name="Normal 289 5 2" xfId="24298"/>
    <cellStyle name="Normal 289 5 2 2" xfId="24299"/>
    <cellStyle name="Normal 289 5 3" xfId="24300"/>
    <cellStyle name="Normal 289 6" xfId="24301"/>
    <cellStyle name="Normal 289 6 2" xfId="24302"/>
    <cellStyle name="Normal 289 6 2 2" xfId="24303"/>
    <cellStyle name="Normal 289 6 3" xfId="24304"/>
    <cellStyle name="Normal 289 7" xfId="24305"/>
    <cellStyle name="Normal 29" xfId="24306"/>
    <cellStyle name="Normal 29 2" xfId="24307"/>
    <cellStyle name="Normal 29 2 2" xfId="24308"/>
    <cellStyle name="Normal 29 2 2 2" xfId="24309"/>
    <cellStyle name="Normal 29 2 2 2 2" xfId="24310"/>
    <cellStyle name="Normal 29 2 2 3" xfId="24311"/>
    <cellStyle name="Normal 29 2 2 3 2" xfId="24312"/>
    <cellStyle name="Normal 29 2 2 3 2 2" xfId="24313"/>
    <cellStyle name="Normal 29 2 2 3 3" xfId="24314"/>
    <cellStyle name="Normal 29 2 2 4" xfId="24315"/>
    <cellStyle name="Normal 29 2 2 4 2" xfId="24316"/>
    <cellStyle name="Normal 29 2 2 4 2 2" xfId="24317"/>
    <cellStyle name="Normal 29 2 2 4 3" xfId="24318"/>
    <cellStyle name="Normal 29 2 2 5" xfId="24319"/>
    <cellStyle name="Normal 29 2 3" xfId="24320"/>
    <cellStyle name="Normal 29 2 3 2" xfId="24321"/>
    <cellStyle name="Normal 29 2 3 2 2" xfId="24322"/>
    <cellStyle name="Normal 29 2 3 3" xfId="24323"/>
    <cellStyle name="Normal 29 2 4" xfId="24324"/>
    <cellStyle name="Normal 29 2 4 2" xfId="24325"/>
    <cellStyle name="Normal 29 2 4 2 2" xfId="24326"/>
    <cellStyle name="Normal 29 2 4 3" xfId="24327"/>
    <cellStyle name="Normal 29 2 5" xfId="24328"/>
    <cellStyle name="Normal 29 2 5 2" xfId="24329"/>
    <cellStyle name="Normal 29 2 5 2 2" xfId="24330"/>
    <cellStyle name="Normal 29 2 5 3" xfId="24331"/>
    <cellStyle name="Normal 29 2 6" xfId="24332"/>
    <cellStyle name="Normal 29 3" xfId="24333"/>
    <cellStyle name="Normal 29 3 2" xfId="24334"/>
    <cellStyle name="Normal 29 3 2 2" xfId="24335"/>
    <cellStyle name="Normal 29 3 3" xfId="24336"/>
    <cellStyle name="Normal 29 3 3 2" xfId="24337"/>
    <cellStyle name="Normal 29 3 3 2 2" xfId="24338"/>
    <cellStyle name="Normal 29 3 3 3" xfId="24339"/>
    <cellStyle name="Normal 29 3 4" xfId="24340"/>
    <cellStyle name="Normal 29 3 4 2" xfId="24341"/>
    <cellStyle name="Normal 29 3 4 2 2" xfId="24342"/>
    <cellStyle name="Normal 29 3 4 3" xfId="24343"/>
    <cellStyle name="Normal 29 3 5" xfId="24344"/>
    <cellStyle name="Normal 29 4" xfId="24345"/>
    <cellStyle name="Normal 29 4 2" xfId="24346"/>
    <cellStyle name="Normal 29 4 2 2" xfId="24347"/>
    <cellStyle name="Normal 29 4 3" xfId="24348"/>
    <cellStyle name="Normal 29 5" xfId="24349"/>
    <cellStyle name="Normal 29 5 2" xfId="24350"/>
    <cellStyle name="Normal 29 5 2 2" xfId="24351"/>
    <cellStyle name="Normal 29 5 3" xfId="24352"/>
    <cellStyle name="Normal 29 6" xfId="24353"/>
    <cellStyle name="Normal 29 6 2" xfId="24354"/>
    <cellStyle name="Normal 29 6 2 2" xfId="24355"/>
    <cellStyle name="Normal 29 6 3" xfId="24356"/>
    <cellStyle name="Normal 29 7" xfId="24357"/>
    <cellStyle name="Normal 290" xfId="24358"/>
    <cellStyle name="Normal 290 2" xfId="24359"/>
    <cellStyle name="Normal 290 2 2" xfId="24360"/>
    <cellStyle name="Normal 290 2 2 2" xfId="24361"/>
    <cellStyle name="Normal 290 2 3" xfId="24362"/>
    <cellStyle name="Normal 290 2 3 2" xfId="24363"/>
    <cellStyle name="Normal 290 2 3 2 2" xfId="24364"/>
    <cellStyle name="Normal 290 2 3 3" xfId="24365"/>
    <cellStyle name="Normal 290 2 4" xfId="24366"/>
    <cellStyle name="Normal 290 2 4 2" xfId="24367"/>
    <cellStyle name="Normal 290 2 4 2 2" xfId="24368"/>
    <cellStyle name="Normal 290 2 4 3" xfId="24369"/>
    <cellStyle name="Normal 290 2 5" xfId="24370"/>
    <cellStyle name="Normal 290 3" xfId="24371"/>
    <cellStyle name="Normal 290 3 2" xfId="24372"/>
    <cellStyle name="Normal 290 3 2 2" xfId="24373"/>
    <cellStyle name="Normal 290 3 2 2 2" xfId="24374"/>
    <cellStyle name="Normal 290 3 2 3" xfId="24375"/>
    <cellStyle name="Normal 290 3 2 3 2" xfId="24376"/>
    <cellStyle name="Normal 290 3 2 3 2 2" xfId="24377"/>
    <cellStyle name="Normal 290 3 2 3 3" xfId="24378"/>
    <cellStyle name="Normal 290 3 2 4" xfId="24379"/>
    <cellStyle name="Normal 290 3 3" xfId="24380"/>
    <cellStyle name="Normal 290 3 3 2" xfId="24381"/>
    <cellStyle name="Normal 290 3 3 2 2" xfId="24382"/>
    <cellStyle name="Normal 290 3 3 3" xfId="24383"/>
    <cellStyle name="Normal 290 3 4" xfId="24384"/>
    <cellStyle name="Normal 290 3 4 2" xfId="24385"/>
    <cellStyle name="Normal 290 3 4 2 2" xfId="24386"/>
    <cellStyle name="Normal 290 3 4 3" xfId="24387"/>
    <cellStyle name="Normal 290 3 5" xfId="24388"/>
    <cellStyle name="Normal 290 3 5 2" xfId="24389"/>
    <cellStyle name="Normal 290 3 5 2 2" xfId="24390"/>
    <cellStyle name="Normal 290 3 5 3" xfId="24391"/>
    <cellStyle name="Normal 290 3 6" xfId="24392"/>
    <cellStyle name="Normal 290 4" xfId="24393"/>
    <cellStyle name="Normal 290 4 2" xfId="24394"/>
    <cellStyle name="Normal 290 4 2 2" xfId="24395"/>
    <cellStyle name="Normal 290 4 3" xfId="24396"/>
    <cellStyle name="Normal 290 5" xfId="24397"/>
    <cellStyle name="Normal 290 5 2" xfId="24398"/>
    <cellStyle name="Normal 290 5 2 2" xfId="24399"/>
    <cellStyle name="Normal 290 5 3" xfId="24400"/>
    <cellStyle name="Normal 290 6" xfId="24401"/>
    <cellStyle name="Normal 290 6 2" xfId="24402"/>
    <cellStyle name="Normal 290 6 2 2" xfId="24403"/>
    <cellStyle name="Normal 290 6 3" xfId="24404"/>
    <cellStyle name="Normal 290 7" xfId="24405"/>
    <cellStyle name="Normal 291" xfId="24406"/>
    <cellStyle name="Normal 291 2" xfId="24407"/>
    <cellStyle name="Normal 291 2 2" xfId="24408"/>
    <cellStyle name="Normal 291 2 2 2" xfId="24409"/>
    <cellStyle name="Normal 291 2 3" xfId="24410"/>
    <cellStyle name="Normal 291 2 3 2" xfId="24411"/>
    <cellStyle name="Normal 291 2 3 2 2" xfId="24412"/>
    <cellStyle name="Normal 291 2 3 3" xfId="24413"/>
    <cellStyle name="Normal 291 2 4" xfId="24414"/>
    <cellStyle name="Normal 291 2 4 2" xfId="24415"/>
    <cellStyle name="Normal 291 2 4 2 2" xfId="24416"/>
    <cellStyle name="Normal 291 2 4 3" xfId="24417"/>
    <cellStyle name="Normal 291 2 5" xfId="24418"/>
    <cellStyle name="Normal 291 3" xfId="24419"/>
    <cellStyle name="Normal 291 3 2" xfId="24420"/>
    <cellStyle name="Normal 291 3 2 2" xfId="24421"/>
    <cellStyle name="Normal 291 3 2 2 2" xfId="24422"/>
    <cellStyle name="Normal 291 3 2 3" xfId="24423"/>
    <cellStyle name="Normal 291 3 2 3 2" xfId="24424"/>
    <cellStyle name="Normal 291 3 2 3 2 2" xfId="24425"/>
    <cellStyle name="Normal 291 3 2 3 3" xfId="24426"/>
    <cellStyle name="Normal 291 3 2 4" xfId="24427"/>
    <cellStyle name="Normal 291 3 3" xfId="24428"/>
    <cellStyle name="Normal 291 3 3 2" xfId="24429"/>
    <cellStyle name="Normal 291 3 3 2 2" xfId="24430"/>
    <cellStyle name="Normal 291 3 3 3" xfId="24431"/>
    <cellStyle name="Normal 291 3 4" xfId="24432"/>
    <cellStyle name="Normal 291 3 4 2" xfId="24433"/>
    <cellStyle name="Normal 291 3 4 2 2" xfId="24434"/>
    <cellStyle name="Normal 291 3 4 3" xfId="24435"/>
    <cellStyle name="Normal 291 3 5" xfId="24436"/>
    <cellStyle name="Normal 291 3 5 2" xfId="24437"/>
    <cellStyle name="Normal 291 3 5 2 2" xfId="24438"/>
    <cellStyle name="Normal 291 3 5 3" xfId="24439"/>
    <cellStyle name="Normal 291 3 6" xfId="24440"/>
    <cellStyle name="Normal 291 4" xfId="24441"/>
    <cellStyle name="Normal 291 4 2" xfId="24442"/>
    <cellStyle name="Normal 291 4 2 2" xfId="24443"/>
    <cellStyle name="Normal 291 4 3" xfId="24444"/>
    <cellStyle name="Normal 291 5" xfId="24445"/>
    <cellStyle name="Normal 291 5 2" xfId="24446"/>
    <cellStyle name="Normal 291 5 2 2" xfId="24447"/>
    <cellStyle name="Normal 291 5 3" xfId="24448"/>
    <cellStyle name="Normal 291 6" xfId="24449"/>
    <cellStyle name="Normal 291 6 2" xfId="24450"/>
    <cellStyle name="Normal 291 6 2 2" xfId="24451"/>
    <cellStyle name="Normal 291 6 3" xfId="24452"/>
    <cellStyle name="Normal 291 7" xfId="24453"/>
    <cellStyle name="Normal 292" xfId="24454"/>
    <cellStyle name="Normal 292 2" xfId="24455"/>
    <cellStyle name="Normal 292 2 2" xfId="24456"/>
    <cellStyle name="Normal 292 2 2 2" xfId="24457"/>
    <cellStyle name="Normal 292 2 3" xfId="24458"/>
    <cellStyle name="Normal 292 2 3 2" xfId="24459"/>
    <cellStyle name="Normal 292 2 3 2 2" xfId="24460"/>
    <cellStyle name="Normal 292 2 3 3" xfId="24461"/>
    <cellStyle name="Normal 292 2 4" xfId="24462"/>
    <cellStyle name="Normal 292 2 4 2" xfId="24463"/>
    <cellStyle name="Normal 292 2 4 2 2" xfId="24464"/>
    <cellStyle name="Normal 292 2 4 3" xfId="24465"/>
    <cellStyle name="Normal 292 2 5" xfId="24466"/>
    <cellStyle name="Normal 292 3" xfId="24467"/>
    <cellStyle name="Normal 292 3 2" xfId="24468"/>
    <cellStyle name="Normal 292 3 2 2" xfId="24469"/>
    <cellStyle name="Normal 292 3 2 2 2" xfId="24470"/>
    <cellStyle name="Normal 292 3 2 3" xfId="24471"/>
    <cellStyle name="Normal 292 3 2 3 2" xfId="24472"/>
    <cellStyle name="Normal 292 3 2 3 2 2" xfId="24473"/>
    <cellStyle name="Normal 292 3 2 3 3" xfId="24474"/>
    <cellStyle name="Normal 292 3 2 4" xfId="24475"/>
    <cellStyle name="Normal 292 3 3" xfId="24476"/>
    <cellStyle name="Normal 292 3 3 2" xfId="24477"/>
    <cellStyle name="Normal 292 3 3 2 2" xfId="24478"/>
    <cellStyle name="Normal 292 3 3 3" xfId="24479"/>
    <cellStyle name="Normal 292 3 4" xfId="24480"/>
    <cellStyle name="Normal 292 3 4 2" xfId="24481"/>
    <cellStyle name="Normal 292 3 4 2 2" xfId="24482"/>
    <cellStyle name="Normal 292 3 4 3" xfId="24483"/>
    <cellStyle name="Normal 292 3 5" xfId="24484"/>
    <cellStyle name="Normal 292 3 5 2" xfId="24485"/>
    <cellStyle name="Normal 292 3 5 2 2" xfId="24486"/>
    <cellStyle name="Normal 292 3 5 3" xfId="24487"/>
    <cellStyle name="Normal 292 3 6" xfId="24488"/>
    <cellStyle name="Normal 292 4" xfId="24489"/>
    <cellStyle name="Normal 292 4 2" xfId="24490"/>
    <cellStyle name="Normal 292 4 2 2" xfId="24491"/>
    <cellStyle name="Normal 292 4 3" xfId="24492"/>
    <cellStyle name="Normal 292 5" xfId="24493"/>
    <cellStyle name="Normal 292 5 2" xfId="24494"/>
    <cellStyle name="Normal 292 5 2 2" xfId="24495"/>
    <cellStyle name="Normal 292 5 3" xfId="24496"/>
    <cellStyle name="Normal 292 6" xfId="24497"/>
    <cellStyle name="Normal 292 6 2" xfId="24498"/>
    <cellStyle name="Normal 292 6 2 2" xfId="24499"/>
    <cellStyle name="Normal 292 6 3" xfId="24500"/>
    <cellStyle name="Normal 292 7" xfId="24501"/>
    <cellStyle name="Normal 293" xfId="24502"/>
    <cellStyle name="Normal 293 2" xfId="24503"/>
    <cellStyle name="Normal 293 2 2" xfId="24504"/>
    <cellStyle name="Normal 293 2 2 2" xfId="24505"/>
    <cellStyle name="Normal 293 2 3" xfId="24506"/>
    <cellStyle name="Normal 293 2 3 2" xfId="24507"/>
    <cellStyle name="Normal 293 2 3 2 2" xfId="24508"/>
    <cellStyle name="Normal 293 2 3 3" xfId="24509"/>
    <cellStyle name="Normal 293 2 4" xfId="24510"/>
    <cellStyle name="Normal 293 2 4 2" xfId="24511"/>
    <cellStyle name="Normal 293 2 4 2 2" xfId="24512"/>
    <cellStyle name="Normal 293 2 4 3" xfId="24513"/>
    <cellStyle name="Normal 293 2 5" xfId="24514"/>
    <cellStyle name="Normal 293 3" xfId="24515"/>
    <cellStyle name="Normal 293 3 2" xfId="24516"/>
    <cellStyle name="Normal 293 3 2 2" xfId="24517"/>
    <cellStyle name="Normal 293 3 2 2 2" xfId="24518"/>
    <cellStyle name="Normal 293 3 2 3" xfId="24519"/>
    <cellStyle name="Normal 293 3 2 3 2" xfId="24520"/>
    <cellStyle name="Normal 293 3 2 3 2 2" xfId="24521"/>
    <cellStyle name="Normal 293 3 2 3 3" xfId="24522"/>
    <cellStyle name="Normal 293 3 2 4" xfId="24523"/>
    <cellStyle name="Normal 293 3 3" xfId="24524"/>
    <cellStyle name="Normal 293 3 3 2" xfId="24525"/>
    <cellStyle name="Normal 293 3 3 2 2" xfId="24526"/>
    <cellStyle name="Normal 293 3 3 3" xfId="24527"/>
    <cellStyle name="Normal 293 3 4" xfId="24528"/>
    <cellStyle name="Normal 293 3 4 2" xfId="24529"/>
    <cellStyle name="Normal 293 3 4 2 2" xfId="24530"/>
    <cellStyle name="Normal 293 3 4 3" xfId="24531"/>
    <cellStyle name="Normal 293 3 5" xfId="24532"/>
    <cellStyle name="Normal 293 3 5 2" xfId="24533"/>
    <cellStyle name="Normal 293 3 5 2 2" xfId="24534"/>
    <cellStyle name="Normal 293 3 5 3" xfId="24535"/>
    <cellStyle name="Normal 293 3 6" xfId="24536"/>
    <cellStyle name="Normal 293 4" xfId="24537"/>
    <cellStyle name="Normal 293 4 2" xfId="24538"/>
    <cellStyle name="Normal 293 4 2 2" xfId="24539"/>
    <cellStyle name="Normal 293 4 3" xfId="24540"/>
    <cellStyle name="Normal 293 5" xfId="24541"/>
    <cellStyle name="Normal 293 5 2" xfId="24542"/>
    <cellStyle name="Normal 293 5 2 2" xfId="24543"/>
    <cellStyle name="Normal 293 5 3" xfId="24544"/>
    <cellStyle name="Normal 293 6" xfId="24545"/>
    <cellStyle name="Normal 293 6 2" xfId="24546"/>
    <cellStyle name="Normal 293 6 2 2" xfId="24547"/>
    <cellStyle name="Normal 293 6 3" xfId="24548"/>
    <cellStyle name="Normal 293 7" xfId="24549"/>
    <cellStyle name="Normal 294" xfId="24550"/>
    <cellStyle name="Normal 294 2" xfId="24551"/>
    <cellStyle name="Normal 294 2 2" xfId="24552"/>
    <cellStyle name="Normal 294 2 2 2" xfId="24553"/>
    <cellStyle name="Normal 294 2 3" xfId="24554"/>
    <cellStyle name="Normal 294 2 3 2" xfId="24555"/>
    <cellStyle name="Normal 294 2 3 2 2" xfId="24556"/>
    <cellStyle name="Normal 294 2 3 3" xfId="24557"/>
    <cellStyle name="Normal 294 2 4" xfId="24558"/>
    <cellStyle name="Normal 294 2 4 2" xfId="24559"/>
    <cellStyle name="Normal 294 2 4 2 2" xfId="24560"/>
    <cellStyle name="Normal 294 2 4 3" xfId="24561"/>
    <cellStyle name="Normal 294 2 5" xfId="24562"/>
    <cellStyle name="Normal 294 3" xfId="24563"/>
    <cellStyle name="Normal 294 3 2" xfId="24564"/>
    <cellStyle name="Normal 294 3 2 2" xfId="24565"/>
    <cellStyle name="Normal 294 3 2 2 2" xfId="24566"/>
    <cellStyle name="Normal 294 3 2 3" xfId="24567"/>
    <cellStyle name="Normal 294 3 2 3 2" xfId="24568"/>
    <cellStyle name="Normal 294 3 2 3 2 2" xfId="24569"/>
    <cellStyle name="Normal 294 3 2 3 3" xfId="24570"/>
    <cellStyle name="Normal 294 3 2 4" xfId="24571"/>
    <cellStyle name="Normal 294 3 3" xfId="24572"/>
    <cellStyle name="Normal 294 3 3 2" xfId="24573"/>
    <cellStyle name="Normal 294 3 3 2 2" xfId="24574"/>
    <cellStyle name="Normal 294 3 3 3" xfId="24575"/>
    <cellStyle name="Normal 294 3 4" xfId="24576"/>
    <cellStyle name="Normal 294 3 4 2" xfId="24577"/>
    <cellStyle name="Normal 294 3 4 2 2" xfId="24578"/>
    <cellStyle name="Normal 294 3 4 3" xfId="24579"/>
    <cellStyle name="Normal 294 3 5" xfId="24580"/>
    <cellStyle name="Normal 294 3 5 2" xfId="24581"/>
    <cellStyle name="Normal 294 3 5 2 2" xfId="24582"/>
    <cellStyle name="Normal 294 3 5 3" xfId="24583"/>
    <cellStyle name="Normal 294 3 6" xfId="24584"/>
    <cellStyle name="Normal 294 4" xfId="24585"/>
    <cellStyle name="Normal 294 4 2" xfId="24586"/>
    <cellStyle name="Normal 294 4 2 2" xfId="24587"/>
    <cellStyle name="Normal 294 4 3" xfId="24588"/>
    <cellStyle name="Normal 294 5" xfId="24589"/>
    <cellStyle name="Normal 294 5 2" xfId="24590"/>
    <cellStyle name="Normal 294 5 2 2" xfId="24591"/>
    <cellStyle name="Normal 294 5 3" xfId="24592"/>
    <cellStyle name="Normal 294 6" xfId="24593"/>
    <cellStyle name="Normal 294 6 2" xfId="24594"/>
    <cellStyle name="Normal 294 6 2 2" xfId="24595"/>
    <cellStyle name="Normal 294 6 3" xfId="24596"/>
    <cellStyle name="Normal 294 7" xfId="24597"/>
    <cellStyle name="Normal 295" xfId="24598"/>
    <cellStyle name="Normal 295 2" xfId="24599"/>
    <cellStyle name="Normal 295 2 2" xfId="24600"/>
    <cellStyle name="Normal 295 2 2 2" xfId="24601"/>
    <cellStyle name="Normal 295 2 3" xfId="24602"/>
    <cellStyle name="Normal 295 2 3 2" xfId="24603"/>
    <cellStyle name="Normal 295 2 3 2 2" xfId="24604"/>
    <cellStyle name="Normal 295 2 3 3" xfId="24605"/>
    <cellStyle name="Normal 295 2 4" xfId="24606"/>
    <cellStyle name="Normal 295 2 4 2" xfId="24607"/>
    <cellStyle name="Normal 295 2 4 2 2" xfId="24608"/>
    <cellStyle name="Normal 295 2 4 3" xfId="24609"/>
    <cellStyle name="Normal 295 2 5" xfId="24610"/>
    <cellStyle name="Normal 295 3" xfId="24611"/>
    <cellStyle name="Normal 295 3 2" xfId="24612"/>
    <cellStyle name="Normal 295 3 2 2" xfId="24613"/>
    <cellStyle name="Normal 295 3 2 2 2" xfId="24614"/>
    <cellStyle name="Normal 295 3 2 3" xfId="24615"/>
    <cellStyle name="Normal 295 3 2 3 2" xfId="24616"/>
    <cellStyle name="Normal 295 3 2 3 2 2" xfId="24617"/>
    <cellStyle name="Normal 295 3 2 3 3" xfId="24618"/>
    <cellStyle name="Normal 295 3 2 4" xfId="24619"/>
    <cellStyle name="Normal 295 3 3" xfId="24620"/>
    <cellStyle name="Normal 295 3 3 2" xfId="24621"/>
    <cellStyle name="Normal 295 3 3 2 2" xfId="24622"/>
    <cellStyle name="Normal 295 3 3 3" xfId="24623"/>
    <cellStyle name="Normal 295 3 4" xfId="24624"/>
    <cellStyle name="Normal 295 3 4 2" xfId="24625"/>
    <cellStyle name="Normal 295 3 4 2 2" xfId="24626"/>
    <cellStyle name="Normal 295 3 4 3" xfId="24627"/>
    <cellStyle name="Normal 295 3 5" xfId="24628"/>
    <cellStyle name="Normal 295 3 5 2" xfId="24629"/>
    <cellStyle name="Normal 295 3 5 2 2" xfId="24630"/>
    <cellStyle name="Normal 295 3 5 3" xfId="24631"/>
    <cellStyle name="Normal 295 3 6" xfId="24632"/>
    <cellStyle name="Normal 295 4" xfId="24633"/>
    <cellStyle name="Normal 295 4 2" xfId="24634"/>
    <cellStyle name="Normal 295 4 2 2" xfId="24635"/>
    <cellStyle name="Normal 295 4 3" xfId="24636"/>
    <cellStyle name="Normal 295 5" xfId="24637"/>
    <cellStyle name="Normal 295 5 2" xfId="24638"/>
    <cellStyle name="Normal 295 5 2 2" xfId="24639"/>
    <cellStyle name="Normal 295 5 3" xfId="24640"/>
    <cellStyle name="Normal 295 6" xfId="24641"/>
    <cellStyle name="Normal 295 6 2" xfId="24642"/>
    <cellStyle name="Normal 295 6 2 2" xfId="24643"/>
    <cellStyle name="Normal 295 6 3" xfId="24644"/>
    <cellStyle name="Normal 295 7" xfId="24645"/>
    <cellStyle name="Normal 296" xfId="24646"/>
    <cellStyle name="Normal 296 2" xfId="24647"/>
    <cellStyle name="Normal 296 2 2" xfId="24648"/>
    <cellStyle name="Normal 296 2 2 2" xfId="24649"/>
    <cellStyle name="Normal 296 2 3" xfId="24650"/>
    <cellStyle name="Normal 296 2 3 2" xfId="24651"/>
    <cellStyle name="Normal 296 2 3 2 2" xfId="24652"/>
    <cellStyle name="Normal 296 2 3 3" xfId="24653"/>
    <cellStyle name="Normal 296 2 4" xfId="24654"/>
    <cellStyle name="Normal 296 2 4 2" xfId="24655"/>
    <cellStyle name="Normal 296 2 4 2 2" xfId="24656"/>
    <cellStyle name="Normal 296 2 4 3" xfId="24657"/>
    <cellStyle name="Normal 296 2 5" xfId="24658"/>
    <cellStyle name="Normal 296 3" xfId="24659"/>
    <cellStyle name="Normal 296 3 2" xfId="24660"/>
    <cellStyle name="Normal 296 3 2 2" xfId="24661"/>
    <cellStyle name="Normal 296 3 2 2 2" xfId="24662"/>
    <cellStyle name="Normal 296 3 2 3" xfId="24663"/>
    <cellStyle name="Normal 296 3 2 3 2" xfId="24664"/>
    <cellStyle name="Normal 296 3 2 3 2 2" xfId="24665"/>
    <cellStyle name="Normal 296 3 2 3 3" xfId="24666"/>
    <cellStyle name="Normal 296 3 2 4" xfId="24667"/>
    <cellStyle name="Normal 296 3 3" xfId="24668"/>
    <cellStyle name="Normal 296 3 3 2" xfId="24669"/>
    <cellStyle name="Normal 296 3 3 2 2" xfId="24670"/>
    <cellStyle name="Normal 296 3 3 3" xfId="24671"/>
    <cellStyle name="Normal 296 3 4" xfId="24672"/>
    <cellStyle name="Normal 296 3 4 2" xfId="24673"/>
    <cellStyle name="Normal 296 3 4 2 2" xfId="24674"/>
    <cellStyle name="Normal 296 3 4 3" xfId="24675"/>
    <cellStyle name="Normal 296 3 5" xfId="24676"/>
    <cellStyle name="Normal 296 3 5 2" xfId="24677"/>
    <cellStyle name="Normal 296 3 5 2 2" xfId="24678"/>
    <cellStyle name="Normal 296 3 5 3" xfId="24679"/>
    <cellStyle name="Normal 296 3 6" xfId="24680"/>
    <cellStyle name="Normal 296 4" xfId="24681"/>
    <cellStyle name="Normal 296 4 2" xfId="24682"/>
    <cellStyle name="Normal 296 4 2 2" xfId="24683"/>
    <cellStyle name="Normal 296 4 3" xfId="24684"/>
    <cellStyle name="Normal 296 5" xfId="24685"/>
    <cellStyle name="Normal 296 5 2" xfId="24686"/>
    <cellStyle name="Normal 296 5 2 2" xfId="24687"/>
    <cellStyle name="Normal 296 5 3" xfId="24688"/>
    <cellStyle name="Normal 296 6" xfId="24689"/>
    <cellStyle name="Normal 296 6 2" xfId="24690"/>
    <cellStyle name="Normal 296 6 2 2" xfId="24691"/>
    <cellStyle name="Normal 296 6 3" xfId="24692"/>
    <cellStyle name="Normal 296 7" xfId="24693"/>
    <cellStyle name="Normal 297" xfId="24694"/>
    <cellStyle name="Normal 297 2" xfId="24695"/>
    <cellStyle name="Normal 297 2 2" xfId="24696"/>
    <cellStyle name="Normal 297 2 2 2" xfId="24697"/>
    <cellStyle name="Normal 297 2 3" xfId="24698"/>
    <cellStyle name="Normal 297 2 3 2" xfId="24699"/>
    <cellStyle name="Normal 297 2 3 2 2" xfId="24700"/>
    <cellStyle name="Normal 297 2 3 3" xfId="24701"/>
    <cellStyle name="Normal 297 2 4" xfId="24702"/>
    <cellStyle name="Normal 297 2 4 2" xfId="24703"/>
    <cellStyle name="Normal 297 2 4 2 2" xfId="24704"/>
    <cellStyle name="Normal 297 2 4 3" xfId="24705"/>
    <cellStyle name="Normal 297 2 5" xfId="24706"/>
    <cellStyle name="Normal 297 3" xfId="24707"/>
    <cellStyle name="Normal 297 3 2" xfId="24708"/>
    <cellStyle name="Normal 297 3 2 2" xfId="24709"/>
    <cellStyle name="Normal 297 3 2 2 2" xfId="24710"/>
    <cellStyle name="Normal 297 3 2 3" xfId="24711"/>
    <cellStyle name="Normal 297 3 2 3 2" xfId="24712"/>
    <cellStyle name="Normal 297 3 2 3 2 2" xfId="24713"/>
    <cellStyle name="Normal 297 3 2 3 3" xfId="24714"/>
    <cellStyle name="Normal 297 3 2 4" xfId="24715"/>
    <cellStyle name="Normal 297 3 3" xfId="24716"/>
    <cellStyle name="Normal 297 3 3 2" xfId="24717"/>
    <cellStyle name="Normal 297 3 3 2 2" xfId="24718"/>
    <cellStyle name="Normal 297 3 3 3" xfId="24719"/>
    <cellStyle name="Normal 297 3 4" xfId="24720"/>
    <cellStyle name="Normal 297 3 4 2" xfId="24721"/>
    <cellStyle name="Normal 297 3 4 2 2" xfId="24722"/>
    <cellStyle name="Normal 297 3 4 3" xfId="24723"/>
    <cellStyle name="Normal 297 3 5" xfId="24724"/>
    <cellStyle name="Normal 297 3 5 2" xfId="24725"/>
    <cellStyle name="Normal 297 3 5 2 2" xfId="24726"/>
    <cellStyle name="Normal 297 3 5 3" xfId="24727"/>
    <cellStyle name="Normal 297 3 6" xfId="24728"/>
    <cellStyle name="Normal 297 4" xfId="24729"/>
    <cellStyle name="Normal 297 4 2" xfId="24730"/>
    <cellStyle name="Normal 297 4 2 2" xfId="24731"/>
    <cellStyle name="Normal 297 4 3" xfId="24732"/>
    <cellStyle name="Normal 297 5" xfId="24733"/>
    <cellStyle name="Normal 297 5 2" xfId="24734"/>
    <cellStyle name="Normal 297 5 2 2" xfId="24735"/>
    <cellStyle name="Normal 297 5 3" xfId="24736"/>
    <cellStyle name="Normal 297 6" xfId="24737"/>
    <cellStyle name="Normal 297 6 2" xfId="24738"/>
    <cellStyle name="Normal 297 6 2 2" xfId="24739"/>
    <cellStyle name="Normal 297 6 3" xfId="24740"/>
    <cellStyle name="Normal 297 7" xfId="24741"/>
    <cellStyle name="Normal 298" xfId="24742"/>
    <cellStyle name="Normal 298 2" xfId="24743"/>
    <cellStyle name="Normal 298 2 2" xfId="24744"/>
    <cellStyle name="Normal 298 2 2 2" xfId="24745"/>
    <cellStyle name="Normal 298 2 3" xfId="24746"/>
    <cellStyle name="Normal 298 2 3 2" xfId="24747"/>
    <cellStyle name="Normal 298 2 3 2 2" xfId="24748"/>
    <cellStyle name="Normal 298 2 3 3" xfId="24749"/>
    <cellStyle name="Normal 298 2 4" xfId="24750"/>
    <cellStyle name="Normal 298 2 4 2" xfId="24751"/>
    <cellStyle name="Normal 298 2 4 2 2" xfId="24752"/>
    <cellStyle name="Normal 298 2 4 3" xfId="24753"/>
    <cellStyle name="Normal 298 2 5" xfId="24754"/>
    <cellStyle name="Normal 298 3" xfId="24755"/>
    <cellStyle name="Normal 298 3 2" xfId="24756"/>
    <cellStyle name="Normal 298 3 2 2" xfId="24757"/>
    <cellStyle name="Normal 298 3 2 2 2" xfId="24758"/>
    <cellStyle name="Normal 298 3 2 3" xfId="24759"/>
    <cellStyle name="Normal 298 3 2 3 2" xfId="24760"/>
    <cellStyle name="Normal 298 3 2 3 2 2" xfId="24761"/>
    <cellStyle name="Normal 298 3 2 3 3" xfId="24762"/>
    <cellStyle name="Normal 298 3 2 4" xfId="24763"/>
    <cellStyle name="Normal 298 3 3" xfId="24764"/>
    <cellStyle name="Normal 298 3 3 2" xfId="24765"/>
    <cellStyle name="Normal 298 3 3 2 2" xfId="24766"/>
    <cellStyle name="Normal 298 3 3 3" xfId="24767"/>
    <cellStyle name="Normal 298 3 4" xfId="24768"/>
    <cellStyle name="Normal 298 3 4 2" xfId="24769"/>
    <cellStyle name="Normal 298 3 4 2 2" xfId="24770"/>
    <cellStyle name="Normal 298 3 4 3" xfId="24771"/>
    <cellStyle name="Normal 298 3 5" xfId="24772"/>
    <cellStyle name="Normal 298 3 5 2" xfId="24773"/>
    <cellStyle name="Normal 298 3 5 2 2" xfId="24774"/>
    <cellStyle name="Normal 298 3 5 3" xfId="24775"/>
    <cellStyle name="Normal 298 3 6" xfId="24776"/>
    <cellStyle name="Normal 298 4" xfId="24777"/>
    <cellStyle name="Normal 298 4 2" xfId="24778"/>
    <cellStyle name="Normal 298 4 2 2" xfId="24779"/>
    <cellStyle name="Normal 298 4 3" xfId="24780"/>
    <cellStyle name="Normal 298 5" xfId="24781"/>
    <cellStyle name="Normal 298 5 2" xfId="24782"/>
    <cellStyle name="Normal 298 5 2 2" xfId="24783"/>
    <cellStyle name="Normal 298 5 3" xfId="24784"/>
    <cellStyle name="Normal 298 6" xfId="24785"/>
    <cellStyle name="Normal 298 6 2" xfId="24786"/>
    <cellStyle name="Normal 298 6 2 2" xfId="24787"/>
    <cellStyle name="Normal 298 6 3" xfId="24788"/>
    <cellStyle name="Normal 298 7" xfId="24789"/>
    <cellStyle name="Normal 299" xfId="24790"/>
    <cellStyle name="Normal 299 2" xfId="24791"/>
    <cellStyle name="Normal 299 2 2" xfId="24792"/>
    <cellStyle name="Normal 299 2 2 2" xfId="24793"/>
    <cellStyle name="Normal 299 2 3" xfId="24794"/>
    <cellStyle name="Normal 299 2 3 2" xfId="24795"/>
    <cellStyle name="Normal 299 2 3 2 2" xfId="24796"/>
    <cellStyle name="Normal 299 2 3 3" xfId="24797"/>
    <cellStyle name="Normal 299 2 4" xfId="24798"/>
    <cellStyle name="Normal 299 2 4 2" xfId="24799"/>
    <cellStyle name="Normal 299 2 4 2 2" xfId="24800"/>
    <cellStyle name="Normal 299 2 4 3" xfId="24801"/>
    <cellStyle name="Normal 299 2 5" xfId="24802"/>
    <cellStyle name="Normal 299 3" xfId="24803"/>
    <cellStyle name="Normal 299 3 2" xfId="24804"/>
    <cellStyle name="Normal 299 3 2 2" xfId="24805"/>
    <cellStyle name="Normal 299 3 2 2 2" xfId="24806"/>
    <cellStyle name="Normal 299 3 2 3" xfId="24807"/>
    <cellStyle name="Normal 299 3 2 3 2" xfId="24808"/>
    <cellStyle name="Normal 299 3 2 3 2 2" xfId="24809"/>
    <cellStyle name="Normal 299 3 2 3 3" xfId="24810"/>
    <cellStyle name="Normal 299 3 2 4" xfId="24811"/>
    <cellStyle name="Normal 299 3 3" xfId="24812"/>
    <cellStyle name="Normal 299 3 3 2" xfId="24813"/>
    <cellStyle name="Normal 299 3 3 2 2" xfId="24814"/>
    <cellStyle name="Normal 299 3 3 3" xfId="24815"/>
    <cellStyle name="Normal 299 3 4" xfId="24816"/>
    <cellStyle name="Normal 299 3 4 2" xfId="24817"/>
    <cellStyle name="Normal 299 3 4 2 2" xfId="24818"/>
    <cellStyle name="Normal 299 3 4 3" xfId="24819"/>
    <cellStyle name="Normal 299 3 5" xfId="24820"/>
    <cellStyle name="Normal 299 3 5 2" xfId="24821"/>
    <cellStyle name="Normal 299 3 5 2 2" xfId="24822"/>
    <cellStyle name="Normal 299 3 5 3" xfId="24823"/>
    <cellStyle name="Normal 299 3 6" xfId="24824"/>
    <cellStyle name="Normal 299 4" xfId="24825"/>
    <cellStyle name="Normal 299 4 2" xfId="24826"/>
    <cellStyle name="Normal 299 4 2 2" xfId="24827"/>
    <cellStyle name="Normal 299 4 3" xfId="24828"/>
    <cellStyle name="Normal 299 5" xfId="24829"/>
    <cellStyle name="Normal 299 5 2" xfId="24830"/>
    <cellStyle name="Normal 299 5 2 2" xfId="24831"/>
    <cellStyle name="Normal 299 5 3" xfId="24832"/>
    <cellStyle name="Normal 299 6" xfId="24833"/>
    <cellStyle name="Normal 299 6 2" xfId="24834"/>
    <cellStyle name="Normal 299 6 2 2" xfId="24835"/>
    <cellStyle name="Normal 299 6 3" xfId="24836"/>
    <cellStyle name="Normal 299 7" xfId="24837"/>
    <cellStyle name="Normal 3" xfId="79"/>
    <cellStyle name="Normal 3 10" xfId="24838"/>
    <cellStyle name="Normal 3 11" xfId="24839"/>
    <cellStyle name="Normal 3 12" xfId="24840"/>
    <cellStyle name="Normal 3 2" xfId="32"/>
    <cellStyle name="Normal 3 2 2" xfId="102"/>
    <cellStyle name="Normal 3 2 2 2" xfId="24843"/>
    <cellStyle name="Normal 3 2 2 2 2" xfId="24844"/>
    <cellStyle name="Normal 3 2 2 2 2 2" xfId="24845"/>
    <cellStyle name="Normal 3 2 2 2 3" xfId="24846"/>
    <cellStyle name="Normal 3 2 2 2 3 2" xfId="24847"/>
    <cellStyle name="Normal 3 2 2 2 3 2 2" xfId="24848"/>
    <cellStyle name="Normal 3 2 2 2 3 3" xfId="24849"/>
    <cellStyle name="Normal 3 2 2 2 4" xfId="24850"/>
    <cellStyle name="Normal 3 2 2 2 4 2" xfId="24851"/>
    <cellStyle name="Normal 3 2 2 2 4 2 2" xfId="24852"/>
    <cellStyle name="Normal 3 2 2 2 4 3" xfId="24853"/>
    <cellStyle name="Normal 3 2 2 2 5" xfId="24854"/>
    <cellStyle name="Normal 3 2 2 3" xfId="24855"/>
    <cellStyle name="Normal 3 2 2 3 2" xfId="24856"/>
    <cellStyle name="Normal 3 2 2 3 2 2" xfId="24857"/>
    <cellStyle name="Normal 3 2 2 3 2 2 2" xfId="24858"/>
    <cellStyle name="Normal 3 2 2 3 2 3" xfId="24859"/>
    <cellStyle name="Normal 3 2 2 3 2 3 2" xfId="24860"/>
    <cellStyle name="Normal 3 2 2 3 2 3 2 2" xfId="24861"/>
    <cellStyle name="Normal 3 2 2 3 2 3 3" xfId="24862"/>
    <cellStyle name="Normal 3 2 2 3 2 4" xfId="24863"/>
    <cellStyle name="Normal 3 2 2 3 3" xfId="24864"/>
    <cellStyle name="Normal 3 2 2 3 3 2" xfId="24865"/>
    <cellStyle name="Normal 3 2 2 3 3 2 2" xfId="24866"/>
    <cellStyle name="Normal 3 2 2 3 3 3" xfId="24867"/>
    <cellStyle name="Normal 3 2 2 3 4" xfId="24868"/>
    <cellStyle name="Normal 3 2 2 3 4 2" xfId="24869"/>
    <cellStyle name="Normal 3 2 2 3 4 2 2" xfId="24870"/>
    <cellStyle name="Normal 3 2 2 3 4 3" xfId="24871"/>
    <cellStyle name="Normal 3 2 2 3 5" xfId="24872"/>
    <cellStyle name="Normal 3 2 2 3 5 2" xfId="24873"/>
    <cellStyle name="Normal 3 2 2 3 5 2 2" xfId="24874"/>
    <cellStyle name="Normal 3 2 2 3 5 3" xfId="24875"/>
    <cellStyle name="Normal 3 2 2 3 6" xfId="24876"/>
    <cellStyle name="Normal 3 2 2 4" xfId="24877"/>
    <cellStyle name="Normal 3 2 2 5" xfId="24842"/>
    <cellStyle name="Normal 3 2 3" xfId="24878"/>
    <cellStyle name="Normal 3 2 3 2" xfId="24879"/>
    <cellStyle name="Normal 3 2 3 2 2" xfId="24880"/>
    <cellStyle name="Normal 3 2 3 3" xfId="24881"/>
    <cellStyle name="Normal 3 2 3 3 2" xfId="24882"/>
    <cellStyle name="Normal 3 2 3 3 2 2" xfId="24883"/>
    <cellStyle name="Normal 3 2 3 3 3" xfId="24884"/>
    <cellStyle name="Normal 3 2 3 4" xfId="24885"/>
    <cellStyle name="Normal 3 2 3 4 2" xfId="24886"/>
    <cellStyle name="Normal 3 2 3 4 2 2" xfId="24887"/>
    <cellStyle name="Normal 3 2 3 4 3" xfId="24888"/>
    <cellStyle name="Normal 3 2 3 5" xfId="24889"/>
    <cellStyle name="Normal 3 2 4" xfId="24890"/>
    <cellStyle name="Normal 3 2 4 2" xfId="24891"/>
    <cellStyle name="Normal 3 2 4 2 2" xfId="24892"/>
    <cellStyle name="Normal 3 2 4 2 2 2" xfId="24893"/>
    <cellStyle name="Normal 3 2 4 2 3" xfId="24894"/>
    <cellStyle name="Normal 3 2 4 2 3 2" xfId="24895"/>
    <cellStyle name="Normal 3 2 4 2 3 2 2" xfId="24896"/>
    <cellStyle name="Normal 3 2 4 2 3 3" xfId="24897"/>
    <cellStyle name="Normal 3 2 4 2 4" xfId="24898"/>
    <cellStyle name="Normal 3 2 4 3" xfId="24899"/>
    <cellStyle name="Normal 3 2 4 3 2" xfId="24900"/>
    <cellStyle name="Normal 3 2 4 3 2 2" xfId="24901"/>
    <cellStyle name="Normal 3 2 4 3 3" xfId="24902"/>
    <cellStyle name="Normal 3 2 4 4" xfId="24903"/>
    <cellStyle name="Normal 3 2 4 4 2" xfId="24904"/>
    <cellStyle name="Normal 3 2 4 4 2 2" xfId="24905"/>
    <cellStyle name="Normal 3 2 4 4 3" xfId="24906"/>
    <cellStyle name="Normal 3 2 4 5" xfId="24907"/>
    <cellStyle name="Normal 3 2 4 5 2" xfId="24908"/>
    <cellStyle name="Normal 3 2 4 5 2 2" xfId="24909"/>
    <cellStyle name="Normal 3 2 4 5 3" xfId="24910"/>
    <cellStyle name="Normal 3 2 4 6" xfId="24911"/>
    <cellStyle name="Normal 3 2 5" xfId="24912"/>
    <cellStyle name="Normal 3 2 5 2" xfId="24913"/>
    <cellStyle name="Normal 3 2 5 2 2" xfId="24914"/>
    <cellStyle name="Normal 3 2 5 3" xfId="24915"/>
    <cellStyle name="Normal 3 2 6" xfId="24916"/>
    <cellStyle name="Normal 3 2 7" xfId="24841"/>
    <cellStyle name="Normal 3 3" xfId="24917"/>
    <cellStyle name="Normal 3 3 2" xfId="24918"/>
    <cellStyle name="Normal 3 3 2 2" xfId="24919"/>
    <cellStyle name="Normal 3 3 2 2 2" xfId="24920"/>
    <cellStyle name="Normal 3 3 2 2 2 2" xfId="24921"/>
    <cellStyle name="Normal 3 3 2 2 3" xfId="24922"/>
    <cellStyle name="Normal 3 3 2 2 3 2" xfId="24923"/>
    <cellStyle name="Normal 3 3 2 2 3 2 2" xfId="24924"/>
    <cellStyle name="Normal 3 3 2 2 3 3" xfId="24925"/>
    <cellStyle name="Normal 3 3 2 2 4" xfId="24926"/>
    <cellStyle name="Normal 3 3 2 2 4 2" xfId="24927"/>
    <cellStyle name="Normal 3 3 2 2 4 2 2" xfId="24928"/>
    <cellStyle name="Normal 3 3 2 2 4 3" xfId="24929"/>
    <cellStyle name="Normal 3 3 2 2 5" xfId="24930"/>
    <cellStyle name="Normal 3 3 2 3" xfId="24931"/>
    <cellStyle name="Normal 3 3 2 3 2" xfId="24932"/>
    <cellStyle name="Normal 3 3 2 3 2 2" xfId="24933"/>
    <cellStyle name="Normal 3 3 2 3 3" xfId="24934"/>
    <cellStyle name="Normal 3 3 2 4" xfId="24935"/>
    <cellStyle name="Normal 3 3 2 4 2" xfId="24936"/>
    <cellStyle name="Normal 3 3 2 4 2 2" xfId="24937"/>
    <cellStyle name="Normal 3 3 2 4 3" xfId="24938"/>
    <cellStyle name="Normal 3 3 2 5" xfId="24939"/>
    <cellStyle name="Normal 3 3 2 5 2" xfId="24940"/>
    <cellStyle name="Normal 3 3 2 5 2 2" xfId="24941"/>
    <cellStyle name="Normal 3 3 2 5 3" xfId="24942"/>
    <cellStyle name="Normal 3 3 2 6" xfId="24943"/>
    <cellStyle name="Normal 3 3 3" xfId="24944"/>
    <cellStyle name="Normal 3 3 3 2" xfId="24945"/>
    <cellStyle name="Normal 3 3 3 2 2" xfId="24946"/>
    <cellStyle name="Normal 3 3 3 3" xfId="24947"/>
    <cellStyle name="Normal 3 3 3 3 2" xfId="24948"/>
    <cellStyle name="Normal 3 3 3 3 2 2" xfId="24949"/>
    <cellStyle name="Normal 3 3 3 3 3" xfId="24950"/>
    <cellStyle name="Normal 3 3 3 4" xfId="24951"/>
    <cellStyle name="Normal 3 3 3 4 2" xfId="24952"/>
    <cellStyle name="Normal 3 3 3 4 2 2" xfId="24953"/>
    <cellStyle name="Normal 3 3 3 4 3" xfId="24954"/>
    <cellStyle name="Normal 3 3 3 5" xfId="24955"/>
    <cellStyle name="Normal 3 3 4" xfId="24956"/>
    <cellStyle name="Normal 3 3 4 2" xfId="24957"/>
    <cellStyle name="Normal 3 3 4 2 2" xfId="24958"/>
    <cellStyle name="Normal 3 3 4 2 2 2" xfId="24959"/>
    <cellStyle name="Normal 3 3 4 2 3" xfId="24960"/>
    <cellStyle name="Normal 3 3 4 2 3 2" xfId="24961"/>
    <cellStyle name="Normal 3 3 4 2 3 2 2" xfId="24962"/>
    <cellStyle name="Normal 3 3 4 2 3 3" xfId="24963"/>
    <cellStyle name="Normal 3 3 4 2 4" xfId="24964"/>
    <cellStyle name="Normal 3 3 4 3" xfId="24965"/>
    <cellStyle name="Normal 3 3 4 3 2" xfId="24966"/>
    <cellStyle name="Normal 3 3 4 3 2 2" xfId="24967"/>
    <cellStyle name="Normal 3 3 4 3 3" xfId="24968"/>
    <cellStyle name="Normal 3 3 4 4" xfId="24969"/>
    <cellStyle name="Normal 3 3 4 4 2" xfId="24970"/>
    <cellStyle name="Normal 3 3 4 4 2 2" xfId="24971"/>
    <cellStyle name="Normal 3 3 4 4 3" xfId="24972"/>
    <cellStyle name="Normal 3 3 4 5" xfId="24973"/>
    <cellStyle name="Normal 3 3 4 5 2" xfId="24974"/>
    <cellStyle name="Normal 3 3 4 5 2 2" xfId="24975"/>
    <cellStyle name="Normal 3 3 4 5 3" xfId="24976"/>
    <cellStyle name="Normal 3 3 4 6" xfId="24977"/>
    <cellStyle name="Normal 3 3 5" xfId="24978"/>
    <cellStyle name="Normal 3 3 5 2" xfId="24979"/>
    <cellStyle name="Normal 3 3 5 2 2" xfId="24980"/>
    <cellStyle name="Normal 3 3 5 3" xfId="24981"/>
    <cellStyle name="Normal 3 3 6" xfId="24982"/>
    <cellStyle name="Normal 3 3 6 2" xfId="24983"/>
    <cellStyle name="Normal 3 3 6 2 2" xfId="24984"/>
    <cellStyle name="Normal 3 3 6 3" xfId="24985"/>
    <cellStyle name="Normal 3 3 7" xfId="24986"/>
    <cellStyle name="Normal 3 3 7 2" xfId="24987"/>
    <cellStyle name="Normal 3 3 7 2 2" xfId="24988"/>
    <cellStyle name="Normal 3 3 7 3" xfId="24989"/>
    <cellStyle name="Normal 3 3 8" xfId="24990"/>
    <cellStyle name="Normal 3 4" xfId="24991"/>
    <cellStyle name="Normal 3 4 2" xfId="24992"/>
    <cellStyle name="Normal 3 4 2 2" xfId="24993"/>
    <cellStyle name="Normal 3 4 2 2 2" xfId="24994"/>
    <cellStyle name="Normal 3 4 2 3" xfId="24995"/>
    <cellStyle name="Normal 3 4 2 3 2" xfId="24996"/>
    <cellStyle name="Normal 3 4 2 3 2 2" xfId="24997"/>
    <cellStyle name="Normal 3 4 2 3 3" xfId="24998"/>
    <cellStyle name="Normal 3 4 2 4" xfId="24999"/>
    <cellStyle name="Normal 3 4 2 4 2" xfId="25000"/>
    <cellStyle name="Normal 3 4 2 4 2 2" xfId="25001"/>
    <cellStyle name="Normal 3 4 2 4 3" xfId="25002"/>
    <cellStyle name="Normal 3 4 2 5" xfId="25003"/>
    <cellStyle name="Normal 3 4 3" xfId="25004"/>
    <cellStyle name="Normal 3 4 3 2" xfId="25005"/>
    <cellStyle name="Normal 3 4 3 2 2" xfId="25006"/>
    <cellStyle name="Normal 3 4 3 3" xfId="25007"/>
    <cellStyle name="Normal 3 4 4" xfId="25008"/>
    <cellStyle name="Normal 3 4 4 2" xfId="25009"/>
    <cellStyle name="Normal 3 4 4 2 2" xfId="25010"/>
    <cellStyle name="Normal 3 4 4 3" xfId="25011"/>
    <cellStyle name="Normal 3 4 5" xfId="25012"/>
    <cellStyle name="Normal 3 4 5 2" xfId="25013"/>
    <cellStyle name="Normal 3 4 5 2 2" xfId="25014"/>
    <cellStyle name="Normal 3 4 5 3" xfId="25015"/>
    <cellStyle name="Normal 3 4 6" xfId="25016"/>
    <cellStyle name="Normal 3 5" xfId="25017"/>
    <cellStyle name="Normal 3 5 2" xfId="25018"/>
    <cellStyle name="Normal 3 5 2 2" xfId="25019"/>
    <cellStyle name="Normal 3 5 2 2 2" xfId="25020"/>
    <cellStyle name="Normal 3 5 2 3" xfId="25021"/>
    <cellStyle name="Normal 3 5 2 3 2" xfId="25022"/>
    <cellStyle name="Normal 3 5 2 3 2 2" xfId="25023"/>
    <cellStyle name="Normal 3 5 2 3 3" xfId="25024"/>
    <cellStyle name="Normal 3 5 2 4" xfId="25025"/>
    <cellStyle name="Normal 3 5 2 4 2" xfId="25026"/>
    <cellStyle name="Normal 3 5 2 4 2 2" xfId="25027"/>
    <cellStyle name="Normal 3 5 2 4 3" xfId="25028"/>
    <cellStyle name="Normal 3 5 2 5" xfId="25029"/>
    <cellStyle name="Normal 3 5 3" xfId="25030"/>
    <cellStyle name="Normal 3 5 3 2" xfId="25031"/>
    <cellStyle name="Normal 3 5 3 2 2" xfId="25032"/>
    <cellStyle name="Normal 3 5 3 3" xfId="25033"/>
    <cellStyle name="Normal 3 5 4" xfId="25034"/>
    <cellStyle name="Normal 3 5 4 2" xfId="25035"/>
    <cellStyle name="Normal 3 5 4 2 2" xfId="25036"/>
    <cellStyle name="Normal 3 5 4 3" xfId="25037"/>
    <cellStyle name="Normal 3 5 5" xfId="25038"/>
    <cellStyle name="Normal 3 5 5 2" xfId="25039"/>
    <cellStyle name="Normal 3 5 5 2 2" xfId="25040"/>
    <cellStyle name="Normal 3 5 5 3" xfId="25041"/>
    <cellStyle name="Normal 3 5 6" xfId="25042"/>
    <cellStyle name="Normal 3 6" xfId="25043"/>
    <cellStyle name="Normal 3 6 2" xfId="25044"/>
    <cellStyle name="Normal 3 6 2 2" xfId="25045"/>
    <cellStyle name="Normal 3 6 2 2 2" xfId="25046"/>
    <cellStyle name="Normal 3 6 2 2 2 2" xfId="25047"/>
    <cellStyle name="Normal 3 6 2 2 3" xfId="25048"/>
    <cellStyle name="Normal 3 6 2 2 3 2" xfId="25049"/>
    <cellStyle name="Normal 3 6 2 2 3 2 2" xfId="25050"/>
    <cellStyle name="Normal 3 6 2 2 3 3" xfId="25051"/>
    <cellStyle name="Normal 3 6 2 2 4" xfId="25052"/>
    <cellStyle name="Normal 3 6 2 3" xfId="25053"/>
    <cellStyle name="Normal 3 6 2 3 2" xfId="25054"/>
    <cellStyle name="Normal 3 6 2 3 2 2" xfId="25055"/>
    <cellStyle name="Normal 3 6 2 3 3" xfId="25056"/>
    <cellStyle name="Normal 3 6 2 4" xfId="25057"/>
    <cellStyle name="Normal 3 6 2 4 2" xfId="25058"/>
    <cellStyle name="Normal 3 6 2 4 2 2" xfId="25059"/>
    <cellStyle name="Normal 3 6 2 4 3" xfId="25060"/>
    <cellStyle name="Normal 3 6 2 5" xfId="25061"/>
    <cellStyle name="Normal 3 6 3" xfId="25062"/>
    <cellStyle name="Normal 3 6 3 2" xfId="25063"/>
    <cellStyle name="Normal 3 6 4" xfId="25064"/>
    <cellStyle name="Normal 3 6 4 2" xfId="25065"/>
    <cellStyle name="Normal 3 6 4 2 2" xfId="25066"/>
    <cellStyle name="Normal 3 6 4 3" xfId="25067"/>
    <cellStyle name="Normal 3 6 5" xfId="25068"/>
    <cellStyle name="Normal 3 6 5 2" xfId="25069"/>
    <cellStyle name="Normal 3 6 5 2 2" xfId="25070"/>
    <cellStyle name="Normal 3 6 5 3" xfId="25071"/>
    <cellStyle name="Normal 3 6 6" xfId="25072"/>
    <cellStyle name="Normal 3 7" xfId="25073"/>
    <cellStyle name="Normal 3 7 2" xfId="25074"/>
    <cellStyle name="Normal 3 7 2 2" xfId="25075"/>
    <cellStyle name="Normal 3 7 2 2 2" xfId="25076"/>
    <cellStyle name="Normal 3 7 2 3" xfId="25077"/>
    <cellStyle name="Normal 3 7 2 3 2" xfId="25078"/>
    <cellStyle name="Normal 3 7 2 3 2 2" xfId="25079"/>
    <cellStyle name="Normal 3 7 2 3 3" xfId="25080"/>
    <cellStyle name="Normal 3 7 2 4" xfId="25081"/>
    <cellStyle name="Normal 3 7 3" xfId="25082"/>
    <cellStyle name="Normal 3 7 3 2" xfId="25083"/>
    <cellStyle name="Normal 3 7 3 2 2" xfId="25084"/>
    <cellStyle name="Normal 3 7 3 3" xfId="25085"/>
    <cellStyle name="Normal 3 7 4" xfId="25086"/>
    <cellStyle name="Normal 3 7 4 2" xfId="25087"/>
    <cellStyle name="Normal 3 7 4 2 2" xfId="25088"/>
    <cellStyle name="Normal 3 7 4 3" xfId="25089"/>
    <cellStyle name="Normal 3 7 5" xfId="25090"/>
    <cellStyle name="Normal 3 8" xfId="25091"/>
    <cellStyle name="Normal 3 8 2" xfId="25092"/>
    <cellStyle name="Normal 3 8 2 2" xfId="25093"/>
    <cellStyle name="Normal 3 8 3" xfId="25094"/>
    <cellStyle name="Normal 3 9" xfId="25095"/>
    <cellStyle name="Normal 3 9 2" xfId="25096"/>
    <cellStyle name="Normal 30" xfId="25097"/>
    <cellStyle name="Normal 30 2" xfId="25098"/>
    <cellStyle name="Normal 30 2 2" xfId="25099"/>
    <cellStyle name="Normal 30 2 2 2" xfId="25100"/>
    <cellStyle name="Normal 30 2 2 2 2" xfId="25101"/>
    <cellStyle name="Normal 30 2 2 3" xfId="25102"/>
    <cellStyle name="Normal 30 2 2 3 2" xfId="25103"/>
    <cellStyle name="Normal 30 2 2 3 2 2" xfId="25104"/>
    <cellStyle name="Normal 30 2 2 3 3" xfId="25105"/>
    <cellStyle name="Normal 30 2 2 4" xfId="25106"/>
    <cellStyle name="Normal 30 2 2 4 2" xfId="25107"/>
    <cellStyle name="Normal 30 2 2 4 2 2" xfId="25108"/>
    <cellStyle name="Normal 30 2 2 4 3" xfId="25109"/>
    <cellStyle name="Normal 30 2 2 5" xfId="25110"/>
    <cellStyle name="Normal 30 2 3" xfId="25111"/>
    <cellStyle name="Normal 30 2 3 2" xfId="25112"/>
    <cellStyle name="Normal 30 2 3 2 2" xfId="25113"/>
    <cellStyle name="Normal 30 2 3 3" xfId="25114"/>
    <cellStyle name="Normal 30 2 4" xfId="25115"/>
    <cellStyle name="Normal 30 2 4 2" xfId="25116"/>
    <cellStyle name="Normal 30 2 4 2 2" xfId="25117"/>
    <cellStyle name="Normal 30 2 4 3" xfId="25118"/>
    <cellStyle name="Normal 30 2 5" xfId="25119"/>
    <cellStyle name="Normal 30 2 5 2" xfId="25120"/>
    <cellStyle name="Normal 30 2 5 2 2" xfId="25121"/>
    <cellStyle name="Normal 30 2 5 3" xfId="25122"/>
    <cellStyle name="Normal 30 2 6" xfId="25123"/>
    <cellStyle name="Normal 30 3" xfId="25124"/>
    <cellStyle name="Normal 30 3 2" xfId="25125"/>
    <cellStyle name="Normal 30 3 2 2" xfId="25126"/>
    <cellStyle name="Normal 30 3 3" xfId="25127"/>
    <cellStyle name="Normal 30 3 3 2" xfId="25128"/>
    <cellStyle name="Normal 30 3 3 2 2" xfId="25129"/>
    <cellStyle name="Normal 30 3 3 3" xfId="25130"/>
    <cellStyle name="Normal 30 3 4" xfId="25131"/>
    <cellStyle name="Normal 30 3 4 2" xfId="25132"/>
    <cellStyle name="Normal 30 3 4 2 2" xfId="25133"/>
    <cellStyle name="Normal 30 3 4 3" xfId="25134"/>
    <cellStyle name="Normal 30 3 5" xfId="25135"/>
    <cellStyle name="Normal 30 4" xfId="25136"/>
    <cellStyle name="Normal 30 4 2" xfId="25137"/>
    <cellStyle name="Normal 30 4 2 2" xfId="25138"/>
    <cellStyle name="Normal 30 4 3" xfId="25139"/>
    <cellStyle name="Normal 30 5" xfId="25140"/>
    <cellStyle name="Normal 30 5 2" xfId="25141"/>
    <cellStyle name="Normal 30 5 2 2" xfId="25142"/>
    <cellStyle name="Normal 30 5 3" xfId="25143"/>
    <cellStyle name="Normal 30 6" xfId="25144"/>
    <cellStyle name="Normal 30 6 2" xfId="25145"/>
    <cellStyle name="Normal 30 6 2 2" xfId="25146"/>
    <cellStyle name="Normal 30 6 3" xfId="25147"/>
    <cellStyle name="Normal 30 7" xfId="25148"/>
    <cellStyle name="Normal 300" xfId="25149"/>
    <cellStyle name="Normal 300 2" xfId="25150"/>
    <cellStyle name="Normal 300 2 2" xfId="25151"/>
    <cellStyle name="Normal 300 2 2 2" xfId="25152"/>
    <cellStyle name="Normal 300 2 3" xfId="25153"/>
    <cellStyle name="Normal 300 2 3 2" xfId="25154"/>
    <cellStyle name="Normal 300 2 3 2 2" xfId="25155"/>
    <cellStyle name="Normal 300 2 3 3" xfId="25156"/>
    <cellStyle name="Normal 300 2 4" xfId="25157"/>
    <cellStyle name="Normal 300 2 4 2" xfId="25158"/>
    <cellStyle name="Normal 300 2 4 2 2" xfId="25159"/>
    <cellStyle name="Normal 300 2 4 3" xfId="25160"/>
    <cellStyle name="Normal 300 2 5" xfId="25161"/>
    <cellStyle name="Normal 300 3" xfId="25162"/>
    <cellStyle name="Normal 300 3 2" xfId="25163"/>
    <cellStyle name="Normal 300 3 2 2" xfId="25164"/>
    <cellStyle name="Normal 300 3 2 2 2" xfId="25165"/>
    <cellStyle name="Normal 300 3 2 3" xfId="25166"/>
    <cellStyle name="Normal 300 3 2 3 2" xfId="25167"/>
    <cellStyle name="Normal 300 3 2 3 2 2" xfId="25168"/>
    <cellStyle name="Normal 300 3 2 3 3" xfId="25169"/>
    <cellStyle name="Normal 300 3 2 4" xfId="25170"/>
    <cellStyle name="Normal 300 3 3" xfId="25171"/>
    <cellStyle name="Normal 300 3 3 2" xfId="25172"/>
    <cellStyle name="Normal 300 3 3 2 2" xfId="25173"/>
    <cellStyle name="Normal 300 3 3 3" xfId="25174"/>
    <cellStyle name="Normal 300 3 4" xfId="25175"/>
    <cellStyle name="Normal 300 3 4 2" xfId="25176"/>
    <cellStyle name="Normal 300 3 4 2 2" xfId="25177"/>
    <cellStyle name="Normal 300 3 4 3" xfId="25178"/>
    <cellStyle name="Normal 300 3 5" xfId="25179"/>
    <cellStyle name="Normal 300 3 5 2" xfId="25180"/>
    <cellStyle name="Normal 300 3 5 2 2" xfId="25181"/>
    <cellStyle name="Normal 300 3 5 3" xfId="25182"/>
    <cellStyle name="Normal 300 3 6" xfId="25183"/>
    <cellStyle name="Normal 300 4" xfId="25184"/>
    <cellStyle name="Normal 300 4 2" xfId="25185"/>
    <cellStyle name="Normal 300 4 2 2" xfId="25186"/>
    <cellStyle name="Normal 300 4 3" xfId="25187"/>
    <cellStyle name="Normal 300 5" xfId="25188"/>
    <cellStyle name="Normal 300 5 2" xfId="25189"/>
    <cellStyle name="Normal 300 5 2 2" xfId="25190"/>
    <cellStyle name="Normal 300 5 3" xfId="25191"/>
    <cellStyle name="Normal 300 6" xfId="25192"/>
    <cellStyle name="Normal 300 6 2" xfId="25193"/>
    <cellStyle name="Normal 300 6 2 2" xfId="25194"/>
    <cellStyle name="Normal 300 6 3" xfId="25195"/>
    <cellStyle name="Normal 300 7" xfId="25196"/>
    <cellStyle name="Normal 301" xfId="25197"/>
    <cellStyle name="Normal 301 2" xfId="25198"/>
    <cellStyle name="Normal 301 2 2" xfId="25199"/>
    <cellStyle name="Normal 301 2 2 2" xfId="25200"/>
    <cellStyle name="Normal 301 2 3" xfId="25201"/>
    <cellStyle name="Normal 301 2 3 2" xfId="25202"/>
    <cellStyle name="Normal 301 2 3 2 2" xfId="25203"/>
    <cellStyle name="Normal 301 2 3 3" xfId="25204"/>
    <cellStyle name="Normal 301 2 4" xfId="25205"/>
    <cellStyle name="Normal 301 2 4 2" xfId="25206"/>
    <cellStyle name="Normal 301 2 4 2 2" xfId="25207"/>
    <cellStyle name="Normal 301 2 4 3" xfId="25208"/>
    <cellStyle name="Normal 301 2 5" xfId="25209"/>
    <cellStyle name="Normal 301 3" xfId="25210"/>
    <cellStyle name="Normal 301 3 2" xfId="25211"/>
    <cellStyle name="Normal 301 3 2 2" xfId="25212"/>
    <cellStyle name="Normal 301 3 2 2 2" xfId="25213"/>
    <cellStyle name="Normal 301 3 2 3" xfId="25214"/>
    <cellStyle name="Normal 301 3 2 3 2" xfId="25215"/>
    <cellStyle name="Normal 301 3 2 3 2 2" xfId="25216"/>
    <cellStyle name="Normal 301 3 2 3 3" xfId="25217"/>
    <cellStyle name="Normal 301 3 2 4" xfId="25218"/>
    <cellStyle name="Normal 301 3 3" xfId="25219"/>
    <cellStyle name="Normal 301 3 3 2" xfId="25220"/>
    <cellStyle name="Normal 301 3 3 2 2" xfId="25221"/>
    <cellStyle name="Normal 301 3 3 3" xfId="25222"/>
    <cellStyle name="Normal 301 3 4" xfId="25223"/>
    <cellStyle name="Normal 301 3 4 2" xfId="25224"/>
    <cellStyle name="Normal 301 3 4 2 2" xfId="25225"/>
    <cellStyle name="Normal 301 3 4 3" xfId="25226"/>
    <cellStyle name="Normal 301 3 5" xfId="25227"/>
    <cellStyle name="Normal 301 3 5 2" xfId="25228"/>
    <cellStyle name="Normal 301 3 5 2 2" xfId="25229"/>
    <cellStyle name="Normal 301 3 5 3" xfId="25230"/>
    <cellStyle name="Normal 301 3 6" xfId="25231"/>
    <cellStyle name="Normal 301 4" xfId="25232"/>
    <cellStyle name="Normal 301 4 2" xfId="25233"/>
    <cellStyle name="Normal 301 4 2 2" xfId="25234"/>
    <cellStyle name="Normal 301 4 3" xfId="25235"/>
    <cellStyle name="Normal 301 5" xfId="25236"/>
    <cellStyle name="Normal 301 5 2" xfId="25237"/>
    <cellStyle name="Normal 301 5 2 2" xfId="25238"/>
    <cellStyle name="Normal 301 5 3" xfId="25239"/>
    <cellStyle name="Normal 301 6" xfId="25240"/>
    <cellStyle name="Normal 301 6 2" xfId="25241"/>
    <cellStyle name="Normal 301 6 2 2" xfId="25242"/>
    <cellStyle name="Normal 301 6 3" xfId="25243"/>
    <cellStyle name="Normal 301 7" xfId="25244"/>
    <cellStyle name="Normal 302" xfId="25245"/>
    <cellStyle name="Normal 302 2" xfId="25246"/>
    <cellStyle name="Normal 302 2 2" xfId="25247"/>
    <cellStyle name="Normal 302 2 2 2" xfId="25248"/>
    <cellStyle name="Normal 302 2 3" xfId="25249"/>
    <cellStyle name="Normal 302 2 3 2" xfId="25250"/>
    <cellStyle name="Normal 302 2 3 2 2" xfId="25251"/>
    <cellStyle name="Normal 302 2 3 3" xfId="25252"/>
    <cellStyle name="Normal 302 2 4" xfId="25253"/>
    <cellStyle name="Normal 302 2 4 2" xfId="25254"/>
    <cellStyle name="Normal 302 2 4 2 2" xfId="25255"/>
    <cellStyle name="Normal 302 2 4 3" xfId="25256"/>
    <cellStyle name="Normal 302 2 5" xfId="25257"/>
    <cellStyle name="Normal 302 3" xfId="25258"/>
    <cellStyle name="Normal 302 3 2" xfId="25259"/>
    <cellStyle name="Normal 302 3 2 2" xfId="25260"/>
    <cellStyle name="Normal 302 3 2 2 2" xfId="25261"/>
    <cellStyle name="Normal 302 3 2 3" xfId="25262"/>
    <cellStyle name="Normal 302 3 2 3 2" xfId="25263"/>
    <cellStyle name="Normal 302 3 2 3 2 2" xfId="25264"/>
    <cellStyle name="Normal 302 3 2 3 3" xfId="25265"/>
    <cellStyle name="Normal 302 3 2 4" xfId="25266"/>
    <cellStyle name="Normal 302 3 3" xfId="25267"/>
    <cellStyle name="Normal 302 3 3 2" xfId="25268"/>
    <cellStyle name="Normal 302 3 3 2 2" xfId="25269"/>
    <cellStyle name="Normal 302 3 3 3" xfId="25270"/>
    <cellStyle name="Normal 302 3 4" xfId="25271"/>
    <cellStyle name="Normal 302 3 4 2" xfId="25272"/>
    <cellStyle name="Normal 302 3 4 2 2" xfId="25273"/>
    <cellStyle name="Normal 302 3 4 3" xfId="25274"/>
    <cellStyle name="Normal 302 3 5" xfId="25275"/>
    <cellStyle name="Normal 302 3 5 2" xfId="25276"/>
    <cellStyle name="Normal 302 3 5 2 2" xfId="25277"/>
    <cellStyle name="Normal 302 3 5 3" xfId="25278"/>
    <cellStyle name="Normal 302 3 6" xfId="25279"/>
    <cellStyle name="Normal 302 4" xfId="25280"/>
    <cellStyle name="Normal 302 4 2" xfId="25281"/>
    <cellStyle name="Normal 302 4 2 2" xfId="25282"/>
    <cellStyle name="Normal 302 4 3" xfId="25283"/>
    <cellStyle name="Normal 302 5" xfId="25284"/>
    <cellStyle name="Normal 302 5 2" xfId="25285"/>
    <cellStyle name="Normal 302 5 2 2" xfId="25286"/>
    <cellStyle name="Normal 302 5 3" xfId="25287"/>
    <cellStyle name="Normal 302 6" xfId="25288"/>
    <cellStyle name="Normal 302 6 2" xfId="25289"/>
    <cellStyle name="Normal 302 6 2 2" xfId="25290"/>
    <cellStyle name="Normal 302 6 3" xfId="25291"/>
    <cellStyle name="Normal 302 7" xfId="25292"/>
    <cellStyle name="Normal 303" xfId="25293"/>
    <cellStyle name="Normal 303 2" xfId="25294"/>
    <cellStyle name="Normal 303 2 2" xfId="25295"/>
    <cellStyle name="Normal 303 2 2 2" xfId="25296"/>
    <cellStyle name="Normal 303 2 3" xfId="25297"/>
    <cellStyle name="Normal 303 2 3 2" xfId="25298"/>
    <cellStyle name="Normal 303 2 3 2 2" xfId="25299"/>
    <cellStyle name="Normal 303 2 3 3" xfId="25300"/>
    <cellStyle name="Normal 303 2 4" xfId="25301"/>
    <cellStyle name="Normal 303 2 4 2" xfId="25302"/>
    <cellStyle name="Normal 303 2 4 2 2" xfId="25303"/>
    <cellStyle name="Normal 303 2 4 3" xfId="25304"/>
    <cellStyle name="Normal 303 2 5" xfId="25305"/>
    <cellStyle name="Normal 303 3" xfId="25306"/>
    <cellStyle name="Normal 303 3 2" xfId="25307"/>
    <cellStyle name="Normal 303 3 2 2" xfId="25308"/>
    <cellStyle name="Normal 303 3 2 2 2" xfId="25309"/>
    <cellStyle name="Normal 303 3 2 3" xfId="25310"/>
    <cellStyle name="Normal 303 3 2 3 2" xfId="25311"/>
    <cellStyle name="Normal 303 3 2 3 2 2" xfId="25312"/>
    <cellStyle name="Normal 303 3 2 3 3" xfId="25313"/>
    <cellStyle name="Normal 303 3 2 4" xfId="25314"/>
    <cellStyle name="Normal 303 3 3" xfId="25315"/>
    <cellStyle name="Normal 303 3 3 2" xfId="25316"/>
    <cellStyle name="Normal 303 3 3 2 2" xfId="25317"/>
    <cellStyle name="Normal 303 3 3 3" xfId="25318"/>
    <cellStyle name="Normal 303 3 4" xfId="25319"/>
    <cellStyle name="Normal 303 3 4 2" xfId="25320"/>
    <cellStyle name="Normal 303 3 4 2 2" xfId="25321"/>
    <cellStyle name="Normal 303 3 4 3" xfId="25322"/>
    <cellStyle name="Normal 303 3 5" xfId="25323"/>
    <cellStyle name="Normal 303 3 5 2" xfId="25324"/>
    <cellStyle name="Normal 303 3 5 2 2" xfId="25325"/>
    <cellStyle name="Normal 303 3 5 3" xfId="25326"/>
    <cellStyle name="Normal 303 3 6" xfId="25327"/>
    <cellStyle name="Normal 303 4" xfId="25328"/>
    <cellStyle name="Normal 303 4 2" xfId="25329"/>
    <cellStyle name="Normal 303 4 2 2" xfId="25330"/>
    <cellStyle name="Normal 303 4 3" xfId="25331"/>
    <cellStyle name="Normal 303 5" xfId="25332"/>
    <cellStyle name="Normal 303 5 2" xfId="25333"/>
    <cellStyle name="Normal 303 5 2 2" xfId="25334"/>
    <cellStyle name="Normal 303 5 3" xfId="25335"/>
    <cellStyle name="Normal 303 6" xfId="25336"/>
    <cellStyle name="Normal 303 6 2" xfId="25337"/>
    <cellStyle name="Normal 303 6 2 2" xfId="25338"/>
    <cellStyle name="Normal 303 6 3" xfId="25339"/>
    <cellStyle name="Normal 303 7" xfId="25340"/>
    <cellStyle name="Normal 304" xfId="25341"/>
    <cellStyle name="Normal 304 2" xfId="25342"/>
    <cellStyle name="Normal 304 2 2" xfId="25343"/>
    <cellStyle name="Normal 304 2 2 2" xfId="25344"/>
    <cellStyle name="Normal 304 2 3" xfId="25345"/>
    <cellStyle name="Normal 304 2 3 2" xfId="25346"/>
    <cellStyle name="Normal 304 2 3 2 2" xfId="25347"/>
    <cellStyle name="Normal 304 2 3 3" xfId="25348"/>
    <cellStyle name="Normal 304 2 4" xfId="25349"/>
    <cellStyle name="Normal 304 2 4 2" xfId="25350"/>
    <cellStyle name="Normal 304 2 4 2 2" xfId="25351"/>
    <cellStyle name="Normal 304 2 4 3" xfId="25352"/>
    <cellStyle name="Normal 304 2 5" xfId="25353"/>
    <cellStyle name="Normal 304 3" xfId="25354"/>
    <cellStyle name="Normal 304 3 2" xfId="25355"/>
    <cellStyle name="Normal 304 3 2 2" xfId="25356"/>
    <cellStyle name="Normal 304 3 2 2 2" xfId="25357"/>
    <cellStyle name="Normal 304 3 2 3" xfId="25358"/>
    <cellStyle name="Normal 304 3 2 3 2" xfId="25359"/>
    <cellStyle name="Normal 304 3 2 3 2 2" xfId="25360"/>
    <cellStyle name="Normal 304 3 2 3 3" xfId="25361"/>
    <cellStyle name="Normal 304 3 2 4" xfId="25362"/>
    <cellStyle name="Normal 304 3 3" xfId="25363"/>
    <cellStyle name="Normal 304 3 3 2" xfId="25364"/>
    <cellStyle name="Normal 304 3 3 2 2" xfId="25365"/>
    <cellStyle name="Normal 304 3 3 3" xfId="25366"/>
    <cellStyle name="Normal 304 3 4" xfId="25367"/>
    <cellStyle name="Normal 304 3 4 2" xfId="25368"/>
    <cellStyle name="Normal 304 3 4 2 2" xfId="25369"/>
    <cellStyle name="Normal 304 3 4 3" xfId="25370"/>
    <cellStyle name="Normal 304 3 5" xfId="25371"/>
    <cellStyle name="Normal 304 3 5 2" xfId="25372"/>
    <cellStyle name="Normal 304 3 5 2 2" xfId="25373"/>
    <cellStyle name="Normal 304 3 5 3" xfId="25374"/>
    <cellStyle name="Normal 304 3 6" xfId="25375"/>
    <cellStyle name="Normal 304 4" xfId="25376"/>
    <cellStyle name="Normal 304 4 2" xfId="25377"/>
    <cellStyle name="Normal 304 4 2 2" xfId="25378"/>
    <cellStyle name="Normal 304 4 3" xfId="25379"/>
    <cellStyle name="Normal 304 5" xfId="25380"/>
    <cellStyle name="Normal 304 5 2" xfId="25381"/>
    <cellStyle name="Normal 304 5 2 2" xfId="25382"/>
    <cellStyle name="Normal 304 5 3" xfId="25383"/>
    <cellStyle name="Normal 304 6" xfId="25384"/>
    <cellStyle name="Normal 304 6 2" xfId="25385"/>
    <cellStyle name="Normal 304 6 2 2" xfId="25386"/>
    <cellStyle name="Normal 304 6 3" xfId="25387"/>
    <cellStyle name="Normal 304 7" xfId="25388"/>
    <cellStyle name="Normal 305" xfId="25389"/>
    <cellStyle name="Normal 305 2" xfId="25390"/>
    <cellStyle name="Normal 305 2 2" xfId="25391"/>
    <cellStyle name="Normal 305 2 2 2" xfId="25392"/>
    <cellStyle name="Normal 305 2 3" xfId="25393"/>
    <cellStyle name="Normal 305 2 3 2" xfId="25394"/>
    <cellStyle name="Normal 305 2 3 2 2" xfId="25395"/>
    <cellStyle name="Normal 305 2 3 3" xfId="25396"/>
    <cellStyle name="Normal 305 2 4" xfId="25397"/>
    <cellStyle name="Normal 305 2 4 2" xfId="25398"/>
    <cellStyle name="Normal 305 2 4 2 2" xfId="25399"/>
    <cellStyle name="Normal 305 2 4 3" xfId="25400"/>
    <cellStyle name="Normal 305 2 5" xfId="25401"/>
    <cellStyle name="Normal 305 3" xfId="25402"/>
    <cellStyle name="Normal 305 3 2" xfId="25403"/>
    <cellStyle name="Normal 305 3 2 2" xfId="25404"/>
    <cellStyle name="Normal 305 3 2 2 2" xfId="25405"/>
    <cellStyle name="Normal 305 3 2 3" xfId="25406"/>
    <cellStyle name="Normal 305 3 2 3 2" xfId="25407"/>
    <cellStyle name="Normal 305 3 2 3 2 2" xfId="25408"/>
    <cellStyle name="Normal 305 3 2 3 3" xfId="25409"/>
    <cellStyle name="Normal 305 3 2 4" xfId="25410"/>
    <cellStyle name="Normal 305 3 3" xfId="25411"/>
    <cellStyle name="Normal 305 3 3 2" xfId="25412"/>
    <cellStyle name="Normal 305 3 3 2 2" xfId="25413"/>
    <cellStyle name="Normal 305 3 3 3" xfId="25414"/>
    <cellStyle name="Normal 305 3 4" xfId="25415"/>
    <cellStyle name="Normal 305 3 4 2" xfId="25416"/>
    <cellStyle name="Normal 305 3 4 2 2" xfId="25417"/>
    <cellStyle name="Normal 305 3 4 3" xfId="25418"/>
    <cellStyle name="Normal 305 3 5" xfId="25419"/>
    <cellStyle name="Normal 305 3 5 2" xfId="25420"/>
    <cellStyle name="Normal 305 3 5 2 2" xfId="25421"/>
    <cellStyle name="Normal 305 3 5 3" xfId="25422"/>
    <cellStyle name="Normal 305 3 6" xfId="25423"/>
    <cellStyle name="Normal 305 4" xfId="25424"/>
    <cellStyle name="Normal 305 4 2" xfId="25425"/>
    <cellStyle name="Normal 305 4 2 2" xfId="25426"/>
    <cellStyle name="Normal 305 4 3" xfId="25427"/>
    <cellStyle name="Normal 305 5" xfId="25428"/>
    <cellStyle name="Normal 305 5 2" xfId="25429"/>
    <cellStyle name="Normal 305 5 2 2" xfId="25430"/>
    <cellStyle name="Normal 305 5 3" xfId="25431"/>
    <cellStyle name="Normal 305 6" xfId="25432"/>
    <cellStyle name="Normal 305 6 2" xfId="25433"/>
    <cellStyle name="Normal 305 6 2 2" xfId="25434"/>
    <cellStyle name="Normal 305 6 3" xfId="25435"/>
    <cellStyle name="Normal 305 7" xfId="25436"/>
    <cellStyle name="Normal 306" xfId="25437"/>
    <cellStyle name="Normal 306 2" xfId="25438"/>
    <cellStyle name="Normal 306 2 2" xfId="25439"/>
    <cellStyle name="Normal 306 2 2 2" xfId="25440"/>
    <cellStyle name="Normal 306 2 3" xfId="25441"/>
    <cellStyle name="Normal 306 2 3 2" xfId="25442"/>
    <cellStyle name="Normal 306 2 3 2 2" xfId="25443"/>
    <cellStyle name="Normal 306 2 3 3" xfId="25444"/>
    <cellStyle name="Normal 306 2 4" xfId="25445"/>
    <cellStyle name="Normal 306 2 4 2" xfId="25446"/>
    <cellStyle name="Normal 306 2 4 2 2" xfId="25447"/>
    <cellStyle name="Normal 306 2 4 3" xfId="25448"/>
    <cellStyle name="Normal 306 2 5" xfId="25449"/>
    <cellStyle name="Normal 306 3" xfId="25450"/>
    <cellStyle name="Normal 306 3 2" xfId="25451"/>
    <cellStyle name="Normal 306 3 2 2" xfId="25452"/>
    <cellStyle name="Normal 306 3 2 2 2" xfId="25453"/>
    <cellStyle name="Normal 306 3 2 3" xfId="25454"/>
    <cellStyle name="Normal 306 3 2 3 2" xfId="25455"/>
    <cellStyle name="Normal 306 3 2 3 2 2" xfId="25456"/>
    <cellStyle name="Normal 306 3 2 3 3" xfId="25457"/>
    <cellStyle name="Normal 306 3 2 4" xfId="25458"/>
    <cellStyle name="Normal 306 3 3" xfId="25459"/>
    <cellStyle name="Normal 306 3 3 2" xfId="25460"/>
    <cellStyle name="Normal 306 3 3 2 2" xfId="25461"/>
    <cellStyle name="Normal 306 3 3 3" xfId="25462"/>
    <cellStyle name="Normal 306 3 4" xfId="25463"/>
    <cellStyle name="Normal 306 3 4 2" xfId="25464"/>
    <cellStyle name="Normal 306 3 4 2 2" xfId="25465"/>
    <cellStyle name="Normal 306 3 4 3" xfId="25466"/>
    <cellStyle name="Normal 306 3 5" xfId="25467"/>
    <cellStyle name="Normal 306 3 5 2" xfId="25468"/>
    <cellStyle name="Normal 306 3 5 2 2" xfId="25469"/>
    <cellStyle name="Normal 306 3 5 3" xfId="25470"/>
    <cellStyle name="Normal 306 3 6" xfId="25471"/>
    <cellStyle name="Normal 306 4" xfId="25472"/>
    <cellStyle name="Normal 306 4 2" xfId="25473"/>
    <cellStyle name="Normal 306 4 2 2" xfId="25474"/>
    <cellStyle name="Normal 306 4 3" xfId="25475"/>
    <cellStyle name="Normal 306 5" xfId="25476"/>
    <cellStyle name="Normal 306 5 2" xfId="25477"/>
    <cellStyle name="Normal 306 5 2 2" xfId="25478"/>
    <cellStyle name="Normal 306 5 3" xfId="25479"/>
    <cellStyle name="Normal 306 6" xfId="25480"/>
    <cellStyle name="Normal 306 6 2" xfId="25481"/>
    <cellStyle name="Normal 306 6 2 2" xfId="25482"/>
    <cellStyle name="Normal 306 6 3" xfId="25483"/>
    <cellStyle name="Normal 306 7" xfId="25484"/>
    <cellStyle name="Normal 307" xfId="25485"/>
    <cellStyle name="Normal 307 2" xfId="25486"/>
    <cellStyle name="Normal 307 2 2" xfId="25487"/>
    <cellStyle name="Normal 307 2 2 2" xfId="25488"/>
    <cellStyle name="Normal 307 2 3" xfId="25489"/>
    <cellStyle name="Normal 307 2 3 2" xfId="25490"/>
    <cellStyle name="Normal 307 2 3 2 2" xfId="25491"/>
    <cellStyle name="Normal 307 2 3 3" xfId="25492"/>
    <cellStyle name="Normal 307 2 4" xfId="25493"/>
    <cellStyle name="Normal 307 2 4 2" xfId="25494"/>
    <cellStyle name="Normal 307 2 4 2 2" xfId="25495"/>
    <cellStyle name="Normal 307 2 4 3" xfId="25496"/>
    <cellStyle name="Normal 307 2 5" xfId="25497"/>
    <cellStyle name="Normal 307 3" xfId="25498"/>
    <cellStyle name="Normal 307 3 2" xfId="25499"/>
    <cellStyle name="Normal 307 3 2 2" xfId="25500"/>
    <cellStyle name="Normal 307 3 2 2 2" xfId="25501"/>
    <cellStyle name="Normal 307 3 2 3" xfId="25502"/>
    <cellStyle name="Normal 307 3 2 3 2" xfId="25503"/>
    <cellStyle name="Normal 307 3 2 3 2 2" xfId="25504"/>
    <cellStyle name="Normal 307 3 2 3 3" xfId="25505"/>
    <cellStyle name="Normal 307 3 2 4" xfId="25506"/>
    <cellStyle name="Normal 307 3 3" xfId="25507"/>
    <cellStyle name="Normal 307 3 3 2" xfId="25508"/>
    <cellStyle name="Normal 307 3 3 2 2" xfId="25509"/>
    <cellStyle name="Normal 307 3 3 3" xfId="25510"/>
    <cellStyle name="Normal 307 3 4" xfId="25511"/>
    <cellStyle name="Normal 307 3 4 2" xfId="25512"/>
    <cellStyle name="Normal 307 3 4 2 2" xfId="25513"/>
    <cellStyle name="Normal 307 3 4 3" xfId="25514"/>
    <cellStyle name="Normal 307 3 5" xfId="25515"/>
    <cellStyle name="Normal 307 3 5 2" xfId="25516"/>
    <cellStyle name="Normal 307 3 5 2 2" xfId="25517"/>
    <cellStyle name="Normal 307 3 5 3" xfId="25518"/>
    <cellStyle name="Normal 307 3 6" xfId="25519"/>
    <cellStyle name="Normal 307 4" xfId="25520"/>
    <cellStyle name="Normal 307 4 2" xfId="25521"/>
    <cellStyle name="Normal 307 4 2 2" xfId="25522"/>
    <cellStyle name="Normal 307 4 3" xfId="25523"/>
    <cellStyle name="Normal 307 5" xfId="25524"/>
    <cellStyle name="Normal 307 5 2" xfId="25525"/>
    <cellStyle name="Normal 307 5 2 2" xfId="25526"/>
    <cellStyle name="Normal 307 5 3" xfId="25527"/>
    <cellStyle name="Normal 307 6" xfId="25528"/>
    <cellStyle name="Normal 307 6 2" xfId="25529"/>
    <cellStyle name="Normal 307 6 2 2" xfId="25530"/>
    <cellStyle name="Normal 307 6 3" xfId="25531"/>
    <cellStyle name="Normal 307 7" xfId="25532"/>
    <cellStyle name="Normal 308" xfId="25533"/>
    <cellStyle name="Normal 308 2" xfId="25534"/>
    <cellStyle name="Normal 308 2 2" xfId="25535"/>
    <cellStyle name="Normal 308 2 2 2" xfId="25536"/>
    <cellStyle name="Normal 308 2 3" xfId="25537"/>
    <cellStyle name="Normal 308 2 3 2" xfId="25538"/>
    <cellStyle name="Normal 308 2 3 2 2" xfId="25539"/>
    <cellStyle name="Normal 308 2 3 3" xfId="25540"/>
    <cellStyle name="Normal 308 2 4" xfId="25541"/>
    <cellStyle name="Normal 308 2 4 2" xfId="25542"/>
    <cellStyle name="Normal 308 2 4 2 2" xfId="25543"/>
    <cellStyle name="Normal 308 2 4 3" xfId="25544"/>
    <cellStyle name="Normal 308 2 5" xfId="25545"/>
    <cellStyle name="Normal 308 3" xfId="25546"/>
    <cellStyle name="Normal 308 3 2" xfId="25547"/>
    <cellStyle name="Normal 308 3 2 2" xfId="25548"/>
    <cellStyle name="Normal 308 3 2 2 2" xfId="25549"/>
    <cellStyle name="Normal 308 3 2 3" xfId="25550"/>
    <cellStyle name="Normal 308 3 2 3 2" xfId="25551"/>
    <cellStyle name="Normal 308 3 2 3 2 2" xfId="25552"/>
    <cellStyle name="Normal 308 3 2 3 3" xfId="25553"/>
    <cellStyle name="Normal 308 3 2 4" xfId="25554"/>
    <cellStyle name="Normal 308 3 3" xfId="25555"/>
    <cellStyle name="Normal 308 3 3 2" xfId="25556"/>
    <cellStyle name="Normal 308 3 3 2 2" xfId="25557"/>
    <cellStyle name="Normal 308 3 3 3" xfId="25558"/>
    <cellStyle name="Normal 308 3 4" xfId="25559"/>
    <cellStyle name="Normal 308 3 4 2" xfId="25560"/>
    <cellStyle name="Normal 308 3 4 2 2" xfId="25561"/>
    <cellStyle name="Normal 308 3 4 3" xfId="25562"/>
    <cellStyle name="Normal 308 3 5" xfId="25563"/>
    <cellStyle name="Normal 308 3 5 2" xfId="25564"/>
    <cellStyle name="Normal 308 3 5 2 2" xfId="25565"/>
    <cellStyle name="Normal 308 3 5 3" xfId="25566"/>
    <cellStyle name="Normal 308 3 6" xfId="25567"/>
    <cellStyle name="Normal 308 4" xfId="25568"/>
    <cellStyle name="Normal 308 4 2" xfId="25569"/>
    <cellStyle name="Normal 308 4 2 2" xfId="25570"/>
    <cellStyle name="Normal 308 4 3" xfId="25571"/>
    <cellStyle name="Normal 308 5" xfId="25572"/>
    <cellStyle name="Normal 308 5 2" xfId="25573"/>
    <cellStyle name="Normal 308 5 2 2" xfId="25574"/>
    <cellStyle name="Normal 308 5 3" xfId="25575"/>
    <cellStyle name="Normal 308 6" xfId="25576"/>
    <cellStyle name="Normal 308 6 2" xfId="25577"/>
    <cellStyle name="Normal 308 6 2 2" xfId="25578"/>
    <cellStyle name="Normal 308 6 3" xfId="25579"/>
    <cellStyle name="Normal 308 7" xfId="25580"/>
    <cellStyle name="Normal 309" xfId="25581"/>
    <cellStyle name="Normal 309 2" xfId="25582"/>
    <cellStyle name="Normal 309 2 2" xfId="25583"/>
    <cellStyle name="Normal 309 2 2 2" xfId="25584"/>
    <cellStyle name="Normal 309 2 3" xfId="25585"/>
    <cellStyle name="Normal 309 2 3 2" xfId="25586"/>
    <cellStyle name="Normal 309 2 3 2 2" xfId="25587"/>
    <cellStyle name="Normal 309 2 3 3" xfId="25588"/>
    <cellStyle name="Normal 309 2 4" xfId="25589"/>
    <cellStyle name="Normal 309 2 4 2" xfId="25590"/>
    <cellStyle name="Normal 309 2 4 2 2" xfId="25591"/>
    <cellStyle name="Normal 309 2 4 3" xfId="25592"/>
    <cellStyle name="Normal 309 2 5" xfId="25593"/>
    <cellStyle name="Normal 309 3" xfId="25594"/>
    <cellStyle name="Normal 309 3 2" xfId="25595"/>
    <cellStyle name="Normal 309 3 2 2" xfId="25596"/>
    <cellStyle name="Normal 309 3 2 2 2" xfId="25597"/>
    <cellStyle name="Normal 309 3 2 3" xfId="25598"/>
    <cellStyle name="Normal 309 3 2 3 2" xfId="25599"/>
    <cellStyle name="Normal 309 3 2 3 2 2" xfId="25600"/>
    <cellStyle name="Normal 309 3 2 3 3" xfId="25601"/>
    <cellStyle name="Normal 309 3 2 4" xfId="25602"/>
    <cellStyle name="Normal 309 3 3" xfId="25603"/>
    <cellStyle name="Normal 309 3 3 2" xfId="25604"/>
    <cellStyle name="Normal 309 3 3 2 2" xfId="25605"/>
    <cellStyle name="Normal 309 3 3 3" xfId="25606"/>
    <cellStyle name="Normal 309 3 4" xfId="25607"/>
    <cellStyle name="Normal 309 3 4 2" xfId="25608"/>
    <cellStyle name="Normal 309 3 4 2 2" xfId="25609"/>
    <cellStyle name="Normal 309 3 4 3" xfId="25610"/>
    <cellStyle name="Normal 309 3 5" xfId="25611"/>
    <cellStyle name="Normal 309 3 5 2" xfId="25612"/>
    <cellStyle name="Normal 309 3 5 2 2" xfId="25613"/>
    <cellStyle name="Normal 309 3 5 3" xfId="25614"/>
    <cellStyle name="Normal 309 3 6" xfId="25615"/>
    <cellStyle name="Normal 309 4" xfId="25616"/>
    <cellStyle name="Normal 309 4 2" xfId="25617"/>
    <cellStyle name="Normal 309 4 2 2" xfId="25618"/>
    <cellStyle name="Normal 309 4 3" xfId="25619"/>
    <cellStyle name="Normal 309 5" xfId="25620"/>
    <cellStyle name="Normal 309 5 2" xfId="25621"/>
    <cellStyle name="Normal 309 5 2 2" xfId="25622"/>
    <cellStyle name="Normal 309 5 3" xfId="25623"/>
    <cellStyle name="Normal 309 6" xfId="25624"/>
    <cellStyle name="Normal 309 6 2" xfId="25625"/>
    <cellStyle name="Normal 309 6 2 2" xfId="25626"/>
    <cellStyle name="Normal 309 6 3" xfId="25627"/>
    <cellStyle name="Normal 309 7" xfId="25628"/>
    <cellStyle name="Normal 31" xfId="25629"/>
    <cellStyle name="Normal 31 2" xfId="25630"/>
    <cellStyle name="Normal 31 2 2" xfId="25631"/>
    <cellStyle name="Normal 31 2 2 2" xfId="25632"/>
    <cellStyle name="Normal 31 2 2 2 2" xfId="25633"/>
    <cellStyle name="Normal 31 2 2 3" xfId="25634"/>
    <cellStyle name="Normal 31 2 2 3 2" xfId="25635"/>
    <cellStyle name="Normal 31 2 2 3 2 2" xfId="25636"/>
    <cellStyle name="Normal 31 2 2 3 3" xfId="25637"/>
    <cellStyle name="Normal 31 2 2 4" xfId="25638"/>
    <cellStyle name="Normal 31 2 2 4 2" xfId="25639"/>
    <cellStyle name="Normal 31 2 2 4 2 2" xfId="25640"/>
    <cellStyle name="Normal 31 2 2 4 3" xfId="25641"/>
    <cellStyle name="Normal 31 2 2 5" xfId="25642"/>
    <cellStyle name="Normal 31 2 3" xfId="25643"/>
    <cellStyle name="Normal 31 2 3 2" xfId="25644"/>
    <cellStyle name="Normal 31 2 3 2 2" xfId="25645"/>
    <cellStyle name="Normal 31 2 3 3" xfId="25646"/>
    <cellStyle name="Normal 31 2 4" xfId="25647"/>
    <cellStyle name="Normal 31 2 4 2" xfId="25648"/>
    <cellStyle name="Normal 31 2 4 2 2" xfId="25649"/>
    <cellStyle name="Normal 31 2 4 3" xfId="25650"/>
    <cellStyle name="Normal 31 2 5" xfId="25651"/>
    <cellStyle name="Normal 31 2 5 2" xfId="25652"/>
    <cellStyle name="Normal 31 2 5 2 2" xfId="25653"/>
    <cellStyle name="Normal 31 2 5 3" xfId="25654"/>
    <cellStyle name="Normal 31 2 6" xfId="25655"/>
    <cellStyle name="Normal 31 3" xfId="25656"/>
    <cellStyle name="Normal 31 3 2" xfId="25657"/>
    <cellStyle name="Normal 31 3 2 2" xfId="25658"/>
    <cellStyle name="Normal 31 3 3" xfId="25659"/>
    <cellStyle name="Normal 31 3 3 2" xfId="25660"/>
    <cellStyle name="Normal 31 3 3 2 2" xfId="25661"/>
    <cellStyle name="Normal 31 3 3 3" xfId="25662"/>
    <cellStyle name="Normal 31 3 4" xfId="25663"/>
    <cellStyle name="Normal 31 3 4 2" xfId="25664"/>
    <cellStyle name="Normal 31 3 4 2 2" xfId="25665"/>
    <cellStyle name="Normal 31 3 4 3" xfId="25666"/>
    <cellStyle name="Normal 31 3 5" xfId="25667"/>
    <cellStyle name="Normal 31 4" xfId="25668"/>
    <cellStyle name="Normal 31 4 2" xfId="25669"/>
    <cellStyle name="Normal 31 4 2 2" xfId="25670"/>
    <cellStyle name="Normal 31 4 3" xfId="25671"/>
    <cellStyle name="Normal 31 5" xfId="25672"/>
    <cellStyle name="Normal 31 5 2" xfId="25673"/>
    <cellStyle name="Normal 31 5 2 2" xfId="25674"/>
    <cellStyle name="Normal 31 5 3" xfId="25675"/>
    <cellStyle name="Normal 31 6" xfId="25676"/>
    <cellStyle name="Normal 31 6 2" xfId="25677"/>
    <cellStyle name="Normal 31 6 2 2" xfId="25678"/>
    <cellStyle name="Normal 31 6 3" xfId="25679"/>
    <cellStyle name="Normal 31 7" xfId="25680"/>
    <cellStyle name="Normal 310" xfId="25681"/>
    <cellStyle name="Normal 310 2" xfId="25682"/>
    <cellStyle name="Normal 310 2 2" xfId="25683"/>
    <cellStyle name="Normal 310 2 2 2" xfId="25684"/>
    <cellStyle name="Normal 310 2 3" xfId="25685"/>
    <cellStyle name="Normal 310 2 3 2" xfId="25686"/>
    <cellStyle name="Normal 310 2 3 2 2" xfId="25687"/>
    <cellStyle name="Normal 310 2 3 3" xfId="25688"/>
    <cellStyle name="Normal 310 2 4" xfId="25689"/>
    <cellStyle name="Normal 310 2 4 2" xfId="25690"/>
    <cellStyle name="Normal 310 2 4 2 2" xfId="25691"/>
    <cellStyle name="Normal 310 2 4 3" xfId="25692"/>
    <cellStyle name="Normal 310 2 5" xfId="25693"/>
    <cellStyle name="Normal 310 3" xfId="25694"/>
    <cellStyle name="Normal 310 3 2" xfId="25695"/>
    <cellStyle name="Normal 310 3 2 2" xfId="25696"/>
    <cellStyle name="Normal 310 3 2 2 2" xfId="25697"/>
    <cellStyle name="Normal 310 3 2 3" xfId="25698"/>
    <cellStyle name="Normal 310 3 2 3 2" xfId="25699"/>
    <cellStyle name="Normal 310 3 2 3 2 2" xfId="25700"/>
    <cellStyle name="Normal 310 3 2 3 3" xfId="25701"/>
    <cellStyle name="Normal 310 3 2 4" xfId="25702"/>
    <cellStyle name="Normal 310 3 3" xfId="25703"/>
    <cellStyle name="Normal 310 3 3 2" xfId="25704"/>
    <cellStyle name="Normal 310 3 3 2 2" xfId="25705"/>
    <cellStyle name="Normal 310 3 3 3" xfId="25706"/>
    <cellStyle name="Normal 310 3 4" xfId="25707"/>
    <cellStyle name="Normal 310 3 4 2" xfId="25708"/>
    <cellStyle name="Normal 310 3 4 2 2" xfId="25709"/>
    <cellStyle name="Normal 310 3 4 3" xfId="25710"/>
    <cellStyle name="Normal 310 3 5" xfId="25711"/>
    <cellStyle name="Normal 310 3 5 2" xfId="25712"/>
    <cellStyle name="Normal 310 3 5 2 2" xfId="25713"/>
    <cellStyle name="Normal 310 3 5 3" xfId="25714"/>
    <cellStyle name="Normal 310 3 6" xfId="25715"/>
    <cellStyle name="Normal 310 4" xfId="25716"/>
    <cellStyle name="Normal 310 4 2" xfId="25717"/>
    <cellStyle name="Normal 310 4 2 2" xfId="25718"/>
    <cellStyle name="Normal 310 4 3" xfId="25719"/>
    <cellStyle name="Normal 310 5" xfId="25720"/>
    <cellStyle name="Normal 310 5 2" xfId="25721"/>
    <cellStyle name="Normal 310 5 2 2" xfId="25722"/>
    <cellStyle name="Normal 310 5 3" xfId="25723"/>
    <cellStyle name="Normal 310 6" xfId="25724"/>
    <cellStyle name="Normal 310 6 2" xfId="25725"/>
    <cellStyle name="Normal 310 6 2 2" xfId="25726"/>
    <cellStyle name="Normal 310 6 3" xfId="25727"/>
    <cellStyle name="Normal 310 7" xfId="25728"/>
    <cellStyle name="Normal 311" xfId="25729"/>
    <cellStyle name="Normal 311 2" xfId="25730"/>
    <cellStyle name="Normal 311 2 2" xfId="25731"/>
    <cellStyle name="Normal 311 2 2 2" xfId="25732"/>
    <cellStyle name="Normal 311 2 3" xfId="25733"/>
    <cellStyle name="Normal 311 2 3 2" xfId="25734"/>
    <cellStyle name="Normal 311 2 3 2 2" xfId="25735"/>
    <cellStyle name="Normal 311 2 3 3" xfId="25736"/>
    <cellStyle name="Normal 311 2 4" xfId="25737"/>
    <cellStyle name="Normal 311 2 4 2" xfId="25738"/>
    <cellStyle name="Normal 311 2 4 2 2" xfId="25739"/>
    <cellStyle name="Normal 311 2 4 3" xfId="25740"/>
    <cellStyle name="Normal 311 2 5" xfId="25741"/>
    <cellStyle name="Normal 311 3" xfId="25742"/>
    <cellStyle name="Normal 311 3 2" xfId="25743"/>
    <cellStyle name="Normal 311 3 2 2" xfId="25744"/>
    <cellStyle name="Normal 311 3 2 2 2" xfId="25745"/>
    <cellStyle name="Normal 311 3 2 3" xfId="25746"/>
    <cellStyle name="Normal 311 3 2 3 2" xfId="25747"/>
    <cellStyle name="Normal 311 3 2 3 2 2" xfId="25748"/>
    <cellStyle name="Normal 311 3 2 3 3" xfId="25749"/>
    <cellStyle name="Normal 311 3 2 4" xfId="25750"/>
    <cellStyle name="Normal 311 3 3" xfId="25751"/>
    <cellStyle name="Normal 311 3 3 2" xfId="25752"/>
    <cellStyle name="Normal 311 3 3 2 2" xfId="25753"/>
    <cellStyle name="Normal 311 3 3 3" xfId="25754"/>
    <cellStyle name="Normal 311 3 4" xfId="25755"/>
    <cellStyle name="Normal 311 3 4 2" xfId="25756"/>
    <cellStyle name="Normal 311 3 4 2 2" xfId="25757"/>
    <cellStyle name="Normal 311 3 4 3" xfId="25758"/>
    <cellStyle name="Normal 311 3 5" xfId="25759"/>
    <cellStyle name="Normal 311 3 5 2" xfId="25760"/>
    <cellStyle name="Normal 311 3 5 2 2" xfId="25761"/>
    <cellStyle name="Normal 311 3 5 3" xfId="25762"/>
    <cellStyle name="Normal 311 3 6" xfId="25763"/>
    <cellStyle name="Normal 311 4" xfId="25764"/>
    <cellStyle name="Normal 311 4 2" xfId="25765"/>
    <cellStyle name="Normal 311 4 2 2" xfId="25766"/>
    <cellStyle name="Normal 311 4 3" xfId="25767"/>
    <cellStyle name="Normal 311 5" xfId="25768"/>
    <cellStyle name="Normal 311 5 2" xfId="25769"/>
    <cellStyle name="Normal 311 5 2 2" xfId="25770"/>
    <cellStyle name="Normal 311 5 3" xfId="25771"/>
    <cellStyle name="Normal 311 6" xfId="25772"/>
    <cellStyle name="Normal 311 6 2" xfId="25773"/>
    <cellStyle name="Normal 311 6 2 2" xfId="25774"/>
    <cellStyle name="Normal 311 6 3" xfId="25775"/>
    <cellStyle name="Normal 311 7" xfId="25776"/>
    <cellStyle name="Normal 312" xfId="25777"/>
    <cellStyle name="Normal 312 2" xfId="25778"/>
    <cellStyle name="Normal 312 2 2" xfId="25779"/>
    <cellStyle name="Normal 312 2 2 2" xfId="25780"/>
    <cellStyle name="Normal 312 2 3" xfId="25781"/>
    <cellStyle name="Normal 312 2 3 2" xfId="25782"/>
    <cellStyle name="Normal 312 2 3 2 2" xfId="25783"/>
    <cellStyle name="Normal 312 2 3 3" xfId="25784"/>
    <cellStyle name="Normal 312 2 4" xfId="25785"/>
    <cellStyle name="Normal 312 2 4 2" xfId="25786"/>
    <cellStyle name="Normal 312 2 4 2 2" xfId="25787"/>
    <cellStyle name="Normal 312 2 4 3" xfId="25788"/>
    <cellStyle name="Normal 312 2 5" xfId="25789"/>
    <cellStyle name="Normal 312 3" xfId="25790"/>
    <cellStyle name="Normal 312 3 2" xfId="25791"/>
    <cellStyle name="Normal 312 3 2 2" xfId="25792"/>
    <cellStyle name="Normal 312 3 2 2 2" xfId="25793"/>
    <cellStyle name="Normal 312 3 2 3" xfId="25794"/>
    <cellStyle name="Normal 312 3 2 3 2" xfId="25795"/>
    <cellStyle name="Normal 312 3 2 3 2 2" xfId="25796"/>
    <cellStyle name="Normal 312 3 2 3 3" xfId="25797"/>
    <cellStyle name="Normal 312 3 2 4" xfId="25798"/>
    <cellStyle name="Normal 312 3 3" xfId="25799"/>
    <cellStyle name="Normal 312 3 3 2" xfId="25800"/>
    <cellStyle name="Normal 312 3 3 2 2" xfId="25801"/>
    <cellStyle name="Normal 312 3 3 3" xfId="25802"/>
    <cellStyle name="Normal 312 3 4" xfId="25803"/>
    <cellStyle name="Normal 312 3 4 2" xfId="25804"/>
    <cellStyle name="Normal 312 3 4 2 2" xfId="25805"/>
    <cellStyle name="Normal 312 3 4 3" xfId="25806"/>
    <cellStyle name="Normal 312 3 5" xfId="25807"/>
    <cellStyle name="Normal 312 3 5 2" xfId="25808"/>
    <cellStyle name="Normal 312 3 5 2 2" xfId="25809"/>
    <cellStyle name="Normal 312 3 5 3" xfId="25810"/>
    <cellStyle name="Normal 312 3 6" xfId="25811"/>
    <cellStyle name="Normal 312 4" xfId="25812"/>
    <cellStyle name="Normal 312 4 2" xfId="25813"/>
    <cellStyle name="Normal 312 4 2 2" xfId="25814"/>
    <cellStyle name="Normal 312 4 3" xfId="25815"/>
    <cellStyle name="Normal 312 5" xfId="25816"/>
    <cellStyle name="Normal 312 5 2" xfId="25817"/>
    <cellStyle name="Normal 312 5 2 2" xfId="25818"/>
    <cellStyle name="Normal 312 5 3" xfId="25819"/>
    <cellStyle name="Normal 312 6" xfId="25820"/>
    <cellStyle name="Normal 312 6 2" xfId="25821"/>
    <cellStyle name="Normal 312 6 2 2" xfId="25822"/>
    <cellStyle name="Normal 312 6 3" xfId="25823"/>
    <cellStyle name="Normal 312 7" xfId="25824"/>
    <cellStyle name="Normal 313" xfId="25825"/>
    <cellStyle name="Normal 313 2" xfId="25826"/>
    <cellStyle name="Normal 313 2 2" xfId="25827"/>
    <cellStyle name="Normal 313 2 2 2" xfId="25828"/>
    <cellStyle name="Normal 313 2 3" xfId="25829"/>
    <cellStyle name="Normal 313 2 3 2" xfId="25830"/>
    <cellStyle name="Normal 313 2 3 2 2" xfId="25831"/>
    <cellStyle name="Normal 313 2 3 3" xfId="25832"/>
    <cellStyle name="Normal 313 2 4" xfId="25833"/>
    <cellStyle name="Normal 313 2 4 2" xfId="25834"/>
    <cellStyle name="Normal 313 2 4 2 2" xfId="25835"/>
    <cellStyle name="Normal 313 2 4 3" xfId="25836"/>
    <cellStyle name="Normal 313 2 5" xfId="25837"/>
    <cellStyle name="Normal 313 3" xfId="25838"/>
    <cellStyle name="Normal 313 3 2" xfId="25839"/>
    <cellStyle name="Normal 313 3 2 2" xfId="25840"/>
    <cellStyle name="Normal 313 3 2 2 2" xfId="25841"/>
    <cellStyle name="Normal 313 3 2 3" xfId="25842"/>
    <cellStyle name="Normal 313 3 2 3 2" xfId="25843"/>
    <cellStyle name="Normal 313 3 2 3 2 2" xfId="25844"/>
    <cellStyle name="Normal 313 3 2 3 3" xfId="25845"/>
    <cellStyle name="Normal 313 3 2 4" xfId="25846"/>
    <cellStyle name="Normal 313 3 3" xfId="25847"/>
    <cellStyle name="Normal 313 3 3 2" xfId="25848"/>
    <cellStyle name="Normal 313 3 3 2 2" xfId="25849"/>
    <cellStyle name="Normal 313 3 3 3" xfId="25850"/>
    <cellStyle name="Normal 313 3 4" xfId="25851"/>
    <cellStyle name="Normal 313 3 4 2" xfId="25852"/>
    <cellStyle name="Normal 313 3 4 2 2" xfId="25853"/>
    <cellStyle name="Normal 313 3 4 3" xfId="25854"/>
    <cellStyle name="Normal 313 3 5" xfId="25855"/>
    <cellStyle name="Normal 313 3 5 2" xfId="25856"/>
    <cellStyle name="Normal 313 3 5 2 2" xfId="25857"/>
    <cellStyle name="Normal 313 3 5 3" xfId="25858"/>
    <cellStyle name="Normal 313 3 6" xfId="25859"/>
    <cellStyle name="Normal 313 4" xfId="25860"/>
    <cellStyle name="Normal 313 4 2" xfId="25861"/>
    <cellStyle name="Normal 313 4 2 2" xfId="25862"/>
    <cellStyle name="Normal 313 4 3" xfId="25863"/>
    <cellStyle name="Normal 313 5" xfId="25864"/>
    <cellStyle name="Normal 313 5 2" xfId="25865"/>
    <cellStyle name="Normal 313 5 2 2" xfId="25866"/>
    <cellStyle name="Normal 313 5 3" xfId="25867"/>
    <cellStyle name="Normal 313 6" xfId="25868"/>
    <cellStyle name="Normal 313 6 2" xfId="25869"/>
    <cellStyle name="Normal 313 6 2 2" xfId="25870"/>
    <cellStyle name="Normal 313 6 3" xfId="25871"/>
    <cellStyle name="Normal 313 7" xfId="25872"/>
    <cellStyle name="Normal 314" xfId="25873"/>
    <cellStyle name="Normal 314 2" xfId="25874"/>
    <cellStyle name="Normal 314 2 2" xfId="25875"/>
    <cellStyle name="Normal 314 2 2 2" xfId="25876"/>
    <cellStyle name="Normal 314 2 3" xfId="25877"/>
    <cellStyle name="Normal 314 2 3 2" xfId="25878"/>
    <cellStyle name="Normal 314 2 3 2 2" xfId="25879"/>
    <cellStyle name="Normal 314 2 3 3" xfId="25880"/>
    <cellStyle name="Normal 314 2 4" xfId="25881"/>
    <cellStyle name="Normal 314 2 4 2" xfId="25882"/>
    <cellStyle name="Normal 314 2 4 2 2" xfId="25883"/>
    <cellStyle name="Normal 314 2 4 3" xfId="25884"/>
    <cellStyle name="Normal 314 2 5" xfId="25885"/>
    <cellStyle name="Normal 314 3" xfId="25886"/>
    <cellStyle name="Normal 314 3 2" xfId="25887"/>
    <cellStyle name="Normal 314 3 2 2" xfId="25888"/>
    <cellStyle name="Normal 314 3 2 2 2" xfId="25889"/>
    <cellStyle name="Normal 314 3 2 3" xfId="25890"/>
    <cellStyle name="Normal 314 3 2 3 2" xfId="25891"/>
    <cellStyle name="Normal 314 3 2 3 2 2" xfId="25892"/>
    <cellStyle name="Normal 314 3 2 3 3" xfId="25893"/>
    <cellStyle name="Normal 314 3 2 4" xfId="25894"/>
    <cellStyle name="Normal 314 3 3" xfId="25895"/>
    <cellStyle name="Normal 314 3 3 2" xfId="25896"/>
    <cellStyle name="Normal 314 3 3 2 2" xfId="25897"/>
    <cellStyle name="Normal 314 3 3 3" xfId="25898"/>
    <cellStyle name="Normal 314 3 4" xfId="25899"/>
    <cellStyle name="Normal 314 3 4 2" xfId="25900"/>
    <cellStyle name="Normal 314 3 4 2 2" xfId="25901"/>
    <cellStyle name="Normal 314 3 4 3" xfId="25902"/>
    <cellStyle name="Normal 314 3 5" xfId="25903"/>
    <cellStyle name="Normal 314 3 5 2" xfId="25904"/>
    <cellStyle name="Normal 314 3 5 2 2" xfId="25905"/>
    <cellStyle name="Normal 314 3 5 3" xfId="25906"/>
    <cellStyle name="Normal 314 3 6" xfId="25907"/>
    <cellStyle name="Normal 314 4" xfId="25908"/>
    <cellStyle name="Normal 314 4 2" xfId="25909"/>
    <cellStyle name="Normal 314 4 2 2" xfId="25910"/>
    <cellStyle name="Normal 314 4 3" xfId="25911"/>
    <cellStyle name="Normal 314 5" xfId="25912"/>
    <cellStyle name="Normal 314 5 2" xfId="25913"/>
    <cellStyle name="Normal 314 5 2 2" xfId="25914"/>
    <cellStyle name="Normal 314 5 3" xfId="25915"/>
    <cellStyle name="Normal 314 6" xfId="25916"/>
    <cellStyle name="Normal 314 6 2" xfId="25917"/>
    <cellStyle name="Normal 314 6 2 2" xfId="25918"/>
    <cellStyle name="Normal 314 6 3" xfId="25919"/>
    <cellStyle name="Normal 314 7" xfId="25920"/>
    <cellStyle name="Normal 315" xfId="25921"/>
    <cellStyle name="Normal 315 2" xfId="25922"/>
    <cellStyle name="Normal 315 2 2" xfId="25923"/>
    <cellStyle name="Normal 315 2 2 2" xfId="25924"/>
    <cellStyle name="Normal 315 2 3" xfId="25925"/>
    <cellStyle name="Normal 315 2 3 2" xfId="25926"/>
    <cellStyle name="Normal 315 2 3 2 2" xfId="25927"/>
    <cellStyle name="Normal 315 2 3 3" xfId="25928"/>
    <cellStyle name="Normal 315 2 4" xfId="25929"/>
    <cellStyle name="Normal 315 2 4 2" xfId="25930"/>
    <cellStyle name="Normal 315 2 4 2 2" xfId="25931"/>
    <cellStyle name="Normal 315 2 4 3" xfId="25932"/>
    <cellStyle name="Normal 315 2 5" xfId="25933"/>
    <cellStyle name="Normal 315 3" xfId="25934"/>
    <cellStyle name="Normal 315 3 2" xfId="25935"/>
    <cellStyle name="Normal 315 3 2 2" xfId="25936"/>
    <cellStyle name="Normal 315 3 2 2 2" xfId="25937"/>
    <cellStyle name="Normal 315 3 2 3" xfId="25938"/>
    <cellStyle name="Normal 315 3 2 3 2" xfId="25939"/>
    <cellStyle name="Normal 315 3 2 3 2 2" xfId="25940"/>
    <cellStyle name="Normal 315 3 2 3 3" xfId="25941"/>
    <cellStyle name="Normal 315 3 2 4" xfId="25942"/>
    <cellStyle name="Normal 315 3 3" xfId="25943"/>
    <cellStyle name="Normal 315 3 3 2" xfId="25944"/>
    <cellStyle name="Normal 315 3 3 2 2" xfId="25945"/>
    <cellStyle name="Normal 315 3 3 3" xfId="25946"/>
    <cellStyle name="Normal 315 3 4" xfId="25947"/>
    <cellStyle name="Normal 315 3 4 2" xfId="25948"/>
    <cellStyle name="Normal 315 3 4 2 2" xfId="25949"/>
    <cellStyle name="Normal 315 3 4 3" xfId="25950"/>
    <cellStyle name="Normal 315 3 5" xfId="25951"/>
    <cellStyle name="Normal 315 3 5 2" xfId="25952"/>
    <cellStyle name="Normal 315 3 5 2 2" xfId="25953"/>
    <cellStyle name="Normal 315 3 5 3" xfId="25954"/>
    <cellStyle name="Normal 315 3 6" xfId="25955"/>
    <cellStyle name="Normal 315 4" xfId="25956"/>
    <cellStyle name="Normal 315 4 2" xfId="25957"/>
    <cellStyle name="Normal 315 4 2 2" xfId="25958"/>
    <cellStyle name="Normal 315 4 3" xfId="25959"/>
    <cellStyle name="Normal 315 5" xfId="25960"/>
    <cellStyle name="Normal 315 5 2" xfId="25961"/>
    <cellStyle name="Normal 315 5 2 2" xfId="25962"/>
    <cellStyle name="Normal 315 5 3" xfId="25963"/>
    <cellStyle name="Normal 315 6" xfId="25964"/>
    <cellStyle name="Normal 315 6 2" xfId="25965"/>
    <cellStyle name="Normal 315 6 2 2" xfId="25966"/>
    <cellStyle name="Normal 315 6 3" xfId="25967"/>
    <cellStyle name="Normal 315 7" xfId="25968"/>
    <cellStyle name="Normal 316" xfId="25969"/>
    <cellStyle name="Normal 316 2" xfId="25970"/>
    <cellStyle name="Normal 316 2 2" xfId="25971"/>
    <cellStyle name="Normal 316 2 2 2" xfId="25972"/>
    <cellStyle name="Normal 316 2 3" xfId="25973"/>
    <cellStyle name="Normal 316 2 3 2" xfId="25974"/>
    <cellStyle name="Normal 316 2 3 2 2" xfId="25975"/>
    <cellStyle name="Normal 316 2 3 3" xfId="25976"/>
    <cellStyle name="Normal 316 2 4" xfId="25977"/>
    <cellStyle name="Normal 316 2 4 2" xfId="25978"/>
    <cellStyle name="Normal 316 2 4 2 2" xfId="25979"/>
    <cellStyle name="Normal 316 2 4 3" xfId="25980"/>
    <cellStyle name="Normal 316 2 5" xfId="25981"/>
    <cellStyle name="Normal 316 3" xfId="25982"/>
    <cellStyle name="Normal 316 3 2" xfId="25983"/>
    <cellStyle name="Normal 316 3 2 2" xfId="25984"/>
    <cellStyle name="Normal 316 3 2 2 2" xfId="25985"/>
    <cellStyle name="Normal 316 3 2 3" xfId="25986"/>
    <cellStyle name="Normal 316 3 2 3 2" xfId="25987"/>
    <cellStyle name="Normal 316 3 2 3 2 2" xfId="25988"/>
    <cellStyle name="Normal 316 3 2 3 3" xfId="25989"/>
    <cellStyle name="Normal 316 3 2 4" xfId="25990"/>
    <cellStyle name="Normal 316 3 3" xfId="25991"/>
    <cellStyle name="Normal 316 3 3 2" xfId="25992"/>
    <cellStyle name="Normal 316 3 3 2 2" xfId="25993"/>
    <cellStyle name="Normal 316 3 3 3" xfId="25994"/>
    <cellStyle name="Normal 316 3 4" xfId="25995"/>
    <cellStyle name="Normal 316 3 4 2" xfId="25996"/>
    <cellStyle name="Normal 316 3 4 2 2" xfId="25997"/>
    <cellStyle name="Normal 316 3 4 3" xfId="25998"/>
    <cellStyle name="Normal 316 3 5" xfId="25999"/>
    <cellStyle name="Normal 316 3 5 2" xfId="26000"/>
    <cellStyle name="Normal 316 3 5 2 2" xfId="26001"/>
    <cellStyle name="Normal 316 3 5 3" xfId="26002"/>
    <cellStyle name="Normal 316 3 6" xfId="26003"/>
    <cellStyle name="Normal 316 4" xfId="26004"/>
    <cellStyle name="Normal 316 4 2" xfId="26005"/>
    <cellStyle name="Normal 316 4 2 2" xfId="26006"/>
    <cellStyle name="Normal 316 4 3" xfId="26007"/>
    <cellStyle name="Normal 316 5" xfId="26008"/>
    <cellStyle name="Normal 316 5 2" xfId="26009"/>
    <cellStyle name="Normal 316 5 2 2" xfId="26010"/>
    <cellStyle name="Normal 316 5 3" xfId="26011"/>
    <cellStyle name="Normal 316 6" xfId="26012"/>
    <cellStyle name="Normal 316 6 2" xfId="26013"/>
    <cellStyle name="Normal 316 6 2 2" xfId="26014"/>
    <cellStyle name="Normal 316 6 3" xfId="26015"/>
    <cellStyle name="Normal 316 7" xfId="26016"/>
    <cellStyle name="Normal 317" xfId="26017"/>
    <cellStyle name="Normal 317 2" xfId="26018"/>
    <cellStyle name="Normal 317 2 2" xfId="26019"/>
    <cellStyle name="Normal 317 2 2 2" xfId="26020"/>
    <cellStyle name="Normal 317 2 3" xfId="26021"/>
    <cellStyle name="Normal 317 2 3 2" xfId="26022"/>
    <cellStyle name="Normal 317 2 3 2 2" xfId="26023"/>
    <cellStyle name="Normal 317 2 3 3" xfId="26024"/>
    <cellStyle name="Normal 317 2 4" xfId="26025"/>
    <cellStyle name="Normal 317 2 4 2" xfId="26026"/>
    <cellStyle name="Normal 317 2 4 2 2" xfId="26027"/>
    <cellStyle name="Normal 317 2 4 3" xfId="26028"/>
    <cellStyle name="Normal 317 2 5" xfId="26029"/>
    <cellStyle name="Normal 317 3" xfId="26030"/>
    <cellStyle name="Normal 317 3 2" xfId="26031"/>
    <cellStyle name="Normal 317 3 2 2" xfId="26032"/>
    <cellStyle name="Normal 317 3 2 2 2" xfId="26033"/>
    <cellStyle name="Normal 317 3 2 3" xfId="26034"/>
    <cellStyle name="Normal 317 3 2 3 2" xfId="26035"/>
    <cellStyle name="Normal 317 3 2 3 2 2" xfId="26036"/>
    <cellStyle name="Normal 317 3 2 3 3" xfId="26037"/>
    <cellStyle name="Normal 317 3 2 4" xfId="26038"/>
    <cellStyle name="Normal 317 3 3" xfId="26039"/>
    <cellStyle name="Normal 317 3 3 2" xfId="26040"/>
    <cellStyle name="Normal 317 3 3 2 2" xfId="26041"/>
    <cellStyle name="Normal 317 3 3 3" xfId="26042"/>
    <cellStyle name="Normal 317 3 4" xfId="26043"/>
    <cellStyle name="Normal 317 3 4 2" xfId="26044"/>
    <cellStyle name="Normal 317 3 4 2 2" xfId="26045"/>
    <cellStyle name="Normal 317 3 4 3" xfId="26046"/>
    <cellStyle name="Normal 317 3 5" xfId="26047"/>
    <cellStyle name="Normal 317 3 5 2" xfId="26048"/>
    <cellStyle name="Normal 317 3 5 2 2" xfId="26049"/>
    <cellStyle name="Normal 317 3 5 3" xfId="26050"/>
    <cellStyle name="Normal 317 3 6" xfId="26051"/>
    <cellStyle name="Normal 317 4" xfId="26052"/>
    <cellStyle name="Normal 317 4 2" xfId="26053"/>
    <cellStyle name="Normal 317 4 2 2" xfId="26054"/>
    <cellStyle name="Normal 317 4 3" xfId="26055"/>
    <cellStyle name="Normal 317 5" xfId="26056"/>
    <cellStyle name="Normal 317 5 2" xfId="26057"/>
    <cellStyle name="Normal 317 5 2 2" xfId="26058"/>
    <cellStyle name="Normal 317 5 3" xfId="26059"/>
    <cellStyle name="Normal 317 6" xfId="26060"/>
    <cellStyle name="Normal 317 6 2" xfId="26061"/>
    <cellStyle name="Normal 317 6 2 2" xfId="26062"/>
    <cellStyle name="Normal 317 6 3" xfId="26063"/>
    <cellStyle name="Normal 317 7" xfId="26064"/>
    <cellStyle name="Normal 318" xfId="26065"/>
    <cellStyle name="Normal 318 2" xfId="26066"/>
    <cellStyle name="Normal 318 2 2" xfId="26067"/>
    <cellStyle name="Normal 318 2 2 2" xfId="26068"/>
    <cellStyle name="Normal 318 2 3" xfId="26069"/>
    <cellStyle name="Normal 318 2 3 2" xfId="26070"/>
    <cellStyle name="Normal 318 2 3 2 2" xfId="26071"/>
    <cellStyle name="Normal 318 2 3 3" xfId="26072"/>
    <cellStyle name="Normal 318 2 4" xfId="26073"/>
    <cellStyle name="Normal 318 2 4 2" xfId="26074"/>
    <cellStyle name="Normal 318 2 4 2 2" xfId="26075"/>
    <cellStyle name="Normal 318 2 4 3" xfId="26076"/>
    <cellStyle name="Normal 318 2 5" xfId="26077"/>
    <cellStyle name="Normal 318 3" xfId="26078"/>
    <cellStyle name="Normal 318 3 2" xfId="26079"/>
    <cellStyle name="Normal 318 3 2 2" xfId="26080"/>
    <cellStyle name="Normal 318 3 2 2 2" xfId="26081"/>
    <cellStyle name="Normal 318 3 2 3" xfId="26082"/>
    <cellStyle name="Normal 318 3 2 3 2" xfId="26083"/>
    <cellStyle name="Normal 318 3 2 3 2 2" xfId="26084"/>
    <cellStyle name="Normal 318 3 2 3 3" xfId="26085"/>
    <cellStyle name="Normal 318 3 2 4" xfId="26086"/>
    <cellStyle name="Normal 318 3 3" xfId="26087"/>
    <cellStyle name="Normal 318 3 3 2" xfId="26088"/>
    <cellStyle name="Normal 318 3 3 2 2" xfId="26089"/>
    <cellStyle name="Normal 318 3 3 3" xfId="26090"/>
    <cellStyle name="Normal 318 3 4" xfId="26091"/>
    <cellStyle name="Normal 318 3 4 2" xfId="26092"/>
    <cellStyle name="Normal 318 3 4 2 2" xfId="26093"/>
    <cellStyle name="Normal 318 3 4 3" xfId="26094"/>
    <cellStyle name="Normal 318 3 5" xfId="26095"/>
    <cellStyle name="Normal 318 3 5 2" xfId="26096"/>
    <cellStyle name="Normal 318 3 5 2 2" xfId="26097"/>
    <cellStyle name="Normal 318 3 5 3" xfId="26098"/>
    <cellStyle name="Normal 318 3 6" xfId="26099"/>
    <cellStyle name="Normal 318 4" xfId="26100"/>
    <cellStyle name="Normal 318 4 2" xfId="26101"/>
    <cellStyle name="Normal 318 4 2 2" xfId="26102"/>
    <cellStyle name="Normal 318 4 3" xfId="26103"/>
    <cellStyle name="Normal 318 5" xfId="26104"/>
    <cellStyle name="Normal 318 5 2" xfId="26105"/>
    <cellStyle name="Normal 318 5 2 2" xfId="26106"/>
    <cellStyle name="Normal 318 5 3" xfId="26107"/>
    <cellStyle name="Normal 318 6" xfId="26108"/>
    <cellStyle name="Normal 318 6 2" xfId="26109"/>
    <cellStyle name="Normal 318 6 2 2" xfId="26110"/>
    <cellStyle name="Normal 318 6 3" xfId="26111"/>
    <cellStyle name="Normal 318 7" xfId="26112"/>
    <cellStyle name="Normal 319" xfId="26113"/>
    <cellStyle name="Normal 319 2" xfId="26114"/>
    <cellStyle name="Normal 319 2 2" xfId="26115"/>
    <cellStyle name="Normal 319 2 2 2" xfId="26116"/>
    <cellStyle name="Normal 319 2 3" xfId="26117"/>
    <cellStyle name="Normal 319 2 3 2" xfId="26118"/>
    <cellStyle name="Normal 319 2 3 2 2" xfId="26119"/>
    <cellStyle name="Normal 319 2 3 3" xfId="26120"/>
    <cellStyle name="Normal 319 2 4" xfId="26121"/>
    <cellStyle name="Normal 319 2 4 2" xfId="26122"/>
    <cellStyle name="Normal 319 2 4 2 2" xfId="26123"/>
    <cellStyle name="Normal 319 2 4 3" xfId="26124"/>
    <cellStyle name="Normal 319 2 5" xfId="26125"/>
    <cellStyle name="Normal 319 3" xfId="26126"/>
    <cellStyle name="Normal 319 3 2" xfId="26127"/>
    <cellStyle name="Normal 319 3 2 2" xfId="26128"/>
    <cellStyle name="Normal 319 3 2 2 2" xfId="26129"/>
    <cellStyle name="Normal 319 3 2 3" xfId="26130"/>
    <cellStyle name="Normal 319 3 2 3 2" xfId="26131"/>
    <cellStyle name="Normal 319 3 2 3 2 2" xfId="26132"/>
    <cellStyle name="Normal 319 3 2 3 3" xfId="26133"/>
    <cellStyle name="Normal 319 3 2 4" xfId="26134"/>
    <cellStyle name="Normal 319 3 3" xfId="26135"/>
    <cellStyle name="Normal 319 3 3 2" xfId="26136"/>
    <cellStyle name="Normal 319 3 3 2 2" xfId="26137"/>
    <cellStyle name="Normal 319 3 3 3" xfId="26138"/>
    <cellStyle name="Normal 319 3 4" xfId="26139"/>
    <cellStyle name="Normal 319 3 4 2" xfId="26140"/>
    <cellStyle name="Normal 319 3 4 2 2" xfId="26141"/>
    <cellStyle name="Normal 319 3 4 3" xfId="26142"/>
    <cellStyle name="Normal 319 3 5" xfId="26143"/>
    <cellStyle name="Normal 319 3 5 2" xfId="26144"/>
    <cellStyle name="Normal 319 3 5 2 2" xfId="26145"/>
    <cellStyle name="Normal 319 3 5 3" xfId="26146"/>
    <cellStyle name="Normal 319 3 6" xfId="26147"/>
    <cellStyle name="Normal 319 4" xfId="26148"/>
    <cellStyle name="Normal 319 4 2" xfId="26149"/>
    <cellStyle name="Normal 319 4 2 2" xfId="26150"/>
    <cellStyle name="Normal 319 4 3" xfId="26151"/>
    <cellStyle name="Normal 319 5" xfId="26152"/>
    <cellStyle name="Normal 319 5 2" xfId="26153"/>
    <cellStyle name="Normal 319 5 2 2" xfId="26154"/>
    <cellStyle name="Normal 319 5 3" xfId="26155"/>
    <cellStyle name="Normal 319 6" xfId="26156"/>
    <cellStyle name="Normal 319 6 2" xfId="26157"/>
    <cellStyle name="Normal 319 6 2 2" xfId="26158"/>
    <cellStyle name="Normal 319 6 3" xfId="26159"/>
    <cellStyle name="Normal 319 7" xfId="26160"/>
    <cellStyle name="Normal 32" xfId="26161"/>
    <cellStyle name="Normal 32 2" xfId="26162"/>
    <cellStyle name="Normal 32 2 2" xfId="26163"/>
    <cellStyle name="Normal 32 2 2 2" xfId="26164"/>
    <cellStyle name="Normal 32 2 2 2 2" xfId="26165"/>
    <cellStyle name="Normal 32 2 2 3" xfId="26166"/>
    <cellStyle name="Normal 32 2 2 3 2" xfId="26167"/>
    <cellStyle name="Normal 32 2 2 3 2 2" xfId="26168"/>
    <cellStyle name="Normal 32 2 2 3 3" xfId="26169"/>
    <cellStyle name="Normal 32 2 2 4" xfId="26170"/>
    <cellStyle name="Normal 32 2 2 4 2" xfId="26171"/>
    <cellStyle name="Normal 32 2 2 4 2 2" xfId="26172"/>
    <cellStyle name="Normal 32 2 2 4 3" xfId="26173"/>
    <cellStyle name="Normal 32 2 2 5" xfId="26174"/>
    <cellStyle name="Normal 32 2 3" xfId="26175"/>
    <cellStyle name="Normal 32 2 3 2" xfId="26176"/>
    <cellStyle name="Normal 32 2 3 2 2" xfId="26177"/>
    <cellStyle name="Normal 32 2 3 3" xfId="26178"/>
    <cellStyle name="Normal 32 2 4" xfId="26179"/>
    <cellStyle name="Normal 32 2 4 2" xfId="26180"/>
    <cellStyle name="Normal 32 2 4 2 2" xfId="26181"/>
    <cellStyle name="Normal 32 2 4 3" xfId="26182"/>
    <cellStyle name="Normal 32 2 5" xfId="26183"/>
    <cellStyle name="Normal 32 2 5 2" xfId="26184"/>
    <cellStyle name="Normal 32 2 5 2 2" xfId="26185"/>
    <cellStyle name="Normal 32 2 5 3" xfId="26186"/>
    <cellStyle name="Normal 32 2 6" xfId="26187"/>
    <cellStyle name="Normal 32 3" xfId="26188"/>
    <cellStyle name="Normal 32 3 2" xfId="26189"/>
    <cellStyle name="Normal 32 3 2 2" xfId="26190"/>
    <cellStyle name="Normal 32 3 3" xfId="26191"/>
    <cellStyle name="Normal 32 3 3 2" xfId="26192"/>
    <cellStyle name="Normal 32 3 3 2 2" xfId="26193"/>
    <cellStyle name="Normal 32 3 3 3" xfId="26194"/>
    <cellStyle name="Normal 32 3 4" xfId="26195"/>
    <cellStyle name="Normal 32 3 4 2" xfId="26196"/>
    <cellStyle name="Normal 32 3 4 2 2" xfId="26197"/>
    <cellStyle name="Normal 32 3 4 3" xfId="26198"/>
    <cellStyle name="Normal 32 3 5" xfId="26199"/>
    <cellStyle name="Normal 32 4" xfId="26200"/>
    <cellStyle name="Normal 32 4 2" xfId="26201"/>
    <cellStyle name="Normal 32 4 2 2" xfId="26202"/>
    <cellStyle name="Normal 32 4 3" xfId="26203"/>
    <cellStyle name="Normal 32 5" xfId="26204"/>
    <cellStyle name="Normal 32 5 2" xfId="26205"/>
    <cellStyle name="Normal 32 5 2 2" xfId="26206"/>
    <cellStyle name="Normal 32 5 3" xfId="26207"/>
    <cellStyle name="Normal 32 6" xfId="26208"/>
    <cellStyle name="Normal 32 6 2" xfId="26209"/>
    <cellStyle name="Normal 32 6 2 2" xfId="26210"/>
    <cellStyle name="Normal 32 6 3" xfId="26211"/>
    <cellStyle name="Normal 32 7" xfId="26212"/>
    <cellStyle name="Normal 320" xfId="26213"/>
    <cellStyle name="Normal 320 2" xfId="26214"/>
    <cellStyle name="Normal 320 2 2" xfId="26215"/>
    <cellStyle name="Normal 320 2 2 2" xfId="26216"/>
    <cellStyle name="Normal 320 2 3" xfId="26217"/>
    <cellStyle name="Normal 320 2 3 2" xfId="26218"/>
    <cellStyle name="Normal 320 2 3 2 2" xfId="26219"/>
    <cellStyle name="Normal 320 2 3 3" xfId="26220"/>
    <cellStyle name="Normal 320 2 4" xfId="26221"/>
    <cellStyle name="Normal 320 2 4 2" xfId="26222"/>
    <cellStyle name="Normal 320 2 4 2 2" xfId="26223"/>
    <cellStyle name="Normal 320 2 4 3" xfId="26224"/>
    <cellStyle name="Normal 320 2 5" xfId="26225"/>
    <cellStyle name="Normal 320 3" xfId="26226"/>
    <cellStyle name="Normal 320 3 2" xfId="26227"/>
    <cellStyle name="Normal 320 3 2 2" xfId="26228"/>
    <cellStyle name="Normal 320 3 2 2 2" xfId="26229"/>
    <cellStyle name="Normal 320 3 2 3" xfId="26230"/>
    <cellStyle name="Normal 320 3 2 3 2" xfId="26231"/>
    <cellStyle name="Normal 320 3 2 3 2 2" xfId="26232"/>
    <cellStyle name="Normal 320 3 2 3 3" xfId="26233"/>
    <cellStyle name="Normal 320 3 2 4" xfId="26234"/>
    <cellStyle name="Normal 320 3 3" xfId="26235"/>
    <cellStyle name="Normal 320 3 3 2" xfId="26236"/>
    <cellStyle name="Normal 320 3 3 2 2" xfId="26237"/>
    <cellStyle name="Normal 320 3 3 3" xfId="26238"/>
    <cellStyle name="Normal 320 3 4" xfId="26239"/>
    <cellStyle name="Normal 320 3 4 2" xfId="26240"/>
    <cellStyle name="Normal 320 3 4 2 2" xfId="26241"/>
    <cellStyle name="Normal 320 3 4 3" xfId="26242"/>
    <cellStyle name="Normal 320 3 5" xfId="26243"/>
    <cellStyle name="Normal 320 3 5 2" xfId="26244"/>
    <cellStyle name="Normal 320 3 5 2 2" xfId="26245"/>
    <cellStyle name="Normal 320 3 5 3" xfId="26246"/>
    <cellStyle name="Normal 320 3 6" xfId="26247"/>
    <cellStyle name="Normal 320 4" xfId="26248"/>
    <cellStyle name="Normal 320 4 2" xfId="26249"/>
    <cellStyle name="Normal 320 4 2 2" xfId="26250"/>
    <cellStyle name="Normal 320 4 3" xfId="26251"/>
    <cellStyle name="Normal 320 5" xfId="26252"/>
    <cellStyle name="Normal 320 5 2" xfId="26253"/>
    <cellStyle name="Normal 320 5 2 2" xfId="26254"/>
    <cellStyle name="Normal 320 5 3" xfId="26255"/>
    <cellStyle name="Normal 320 6" xfId="26256"/>
    <cellStyle name="Normal 320 6 2" xfId="26257"/>
    <cellStyle name="Normal 320 6 2 2" xfId="26258"/>
    <cellStyle name="Normal 320 6 3" xfId="26259"/>
    <cellStyle name="Normal 320 7" xfId="26260"/>
    <cellStyle name="Normal 321" xfId="26261"/>
    <cellStyle name="Normal 321 2" xfId="26262"/>
    <cellStyle name="Normal 321 2 2" xfId="26263"/>
    <cellStyle name="Normal 321 2 2 2" xfId="26264"/>
    <cellStyle name="Normal 321 2 3" xfId="26265"/>
    <cellStyle name="Normal 321 2 3 2" xfId="26266"/>
    <cellStyle name="Normal 321 2 3 2 2" xfId="26267"/>
    <cellStyle name="Normal 321 2 3 3" xfId="26268"/>
    <cellStyle name="Normal 321 2 4" xfId="26269"/>
    <cellStyle name="Normal 321 2 4 2" xfId="26270"/>
    <cellStyle name="Normal 321 2 4 2 2" xfId="26271"/>
    <cellStyle name="Normal 321 2 4 3" xfId="26272"/>
    <cellStyle name="Normal 321 2 5" xfId="26273"/>
    <cellStyle name="Normal 321 3" xfId="26274"/>
    <cellStyle name="Normal 321 3 2" xfId="26275"/>
    <cellStyle name="Normal 321 3 2 2" xfId="26276"/>
    <cellStyle name="Normal 321 3 2 2 2" xfId="26277"/>
    <cellStyle name="Normal 321 3 2 3" xfId="26278"/>
    <cellStyle name="Normal 321 3 2 3 2" xfId="26279"/>
    <cellStyle name="Normal 321 3 2 3 2 2" xfId="26280"/>
    <cellStyle name="Normal 321 3 2 3 3" xfId="26281"/>
    <cellStyle name="Normal 321 3 2 4" xfId="26282"/>
    <cellStyle name="Normal 321 3 3" xfId="26283"/>
    <cellStyle name="Normal 321 3 3 2" xfId="26284"/>
    <cellStyle name="Normal 321 3 3 2 2" xfId="26285"/>
    <cellStyle name="Normal 321 3 3 3" xfId="26286"/>
    <cellStyle name="Normal 321 3 4" xfId="26287"/>
    <cellStyle name="Normal 321 3 4 2" xfId="26288"/>
    <cellStyle name="Normal 321 3 4 2 2" xfId="26289"/>
    <cellStyle name="Normal 321 3 4 3" xfId="26290"/>
    <cellStyle name="Normal 321 3 5" xfId="26291"/>
    <cellStyle name="Normal 321 3 5 2" xfId="26292"/>
    <cellStyle name="Normal 321 3 5 2 2" xfId="26293"/>
    <cellStyle name="Normal 321 3 5 3" xfId="26294"/>
    <cellStyle name="Normal 321 3 6" xfId="26295"/>
    <cellStyle name="Normal 321 4" xfId="26296"/>
    <cellStyle name="Normal 321 4 2" xfId="26297"/>
    <cellStyle name="Normal 321 4 2 2" xfId="26298"/>
    <cellStyle name="Normal 321 4 3" xfId="26299"/>
    <cellStyle name="Normal 321 5" xfId="26300"/>
    <cellStyle name="Normal 321 5 2" xfId="26301"/>
    <cellStyle name="Normal 321 5 2 2" xfId="26302"/>
    <cellStyle name="Normal 321 5 3" xfId="26303"/>
    <cellStyle name="Normal 321 6" xfId="26304"/>
    <cellStyle name="Normal 321 6 2" xfId="26305"/>
    <cellStyle name="Normal 321 6 2 2" xfId="26306"/>
    <cellStyle name="Normal 321 6 3" xfId="26307"/>
    <cellStyle name="Normal 321 7" xfId="26308"/>
    <cellStyle name="Normal 322" xfId="26309"/>
    <cellStyle name="Normal 322 2" xfId="26310"/>
    <cellStyle name="Normal 322 2 2" xfId="26311"/>
    <cellStyle name="Normal 322 2 2 2" xfId="26312"/>
    <cellStyle name="Normal 322 2 3" xfId="26313"/>
    <cellStyle name="Normal 322 2 3 2" xfId="26314"/>
    <cellStyle name="Normal 322 2 3 2 2" xfId="26315"/>
    <cellStyle name="Normal 322 2 3 3" xfId="26316"/>
    <cellStyle name="Normal 322 2 4" xfId="26317"/>
    <cellStyle name="Normal 322 2 4 2" xfId="26318"/>
    <cellStyle name="Normal 322 2 4 2 2" xfId="26319"/>
    <cellStyle name="Normal 322 2 4 3" xfId="26320"/>
    <cellStyle name="Normal 322 2 5" xfId="26321"/>
    <cellStyle name="Normal 322 3" xfId="26322"/>
    <cellStyle name="Normal 322 3 2" xfId="26323"/>
    <cellStyle name="Normal 322 3 2 2" xfId="26324"/>
    <cellStyle name="Normal 322 3 2 2 2" xfId="26325"/>
    <cellStyle name="Normal 322 3 2 3" xfId="26326"/>
    <cellStyle name="Normal 322 3 2 3 2" xfId="26327"/>
    <cellStyle name="Normal 322 3 2 3 2 2" xfId="26328"/>
    <cellStyle name="Normal 322 3 2 3 3" xfId="26329"/>
    <cellStyle name="Normal 322 3 2 4" xfId="26330"/>
    <cellStyle name="Normal 322 3 3" xfId="26331"/>
    <cellStyle name="Normal 322 3 3 2" xfId="26332"/>
    <cellStyle name="Normal 322 3 3 2 2" xfId="26333"/>
    <cellStyle name="Normal 322 3 3 3" xfId="26334"/>
    <cellStyle name="Normal 322 3 4" xfId="26335"/>
    <cellStyle name="Normal 322 3 4 2" xfId="26336"/>
    <cellStyle name="Normal 322 3 4 2 2" xfId="26337"/>
    <cellStyle name="Normal 322 3 4 3" xfId="26338"/>
    <cellStyle name="Normal 322 3 5" xfId="26339"/>
    <cellStyle name="Normal 322 3 5 2" xfId="26340"/>
    <cellStyle name="Normal 322 3 5 2 2" xfId="26341"/>
    <cellStyle name="Normal 322 3 5 3" xfId="26342"/>
    <cellStyle name="Normal 322 3 6" xfId="26343"/>
    <cellStyle name="Normal 322 4" xfId="26344"/>
    <cellStyle name="Normal 322 4 2" xfId="26345"/>
    <cellStyle name="Normal 322 4 2 2" xfId="26346"/>
    <cellStyle name="Normal 322 4 3" xfId="26347"/>
    <cellStyle name="Normal 322 5" xfId="26348"/>
    <cellStyle name="Normal 322 5 2" xfId="26349"/>
    <cellStyle name="Normal 322 5 2 2" xfId="26350"/>
    <cellStyle name="Normal 322 5 3" xfId="26351"/>
    <cellStyle name="Normal 322 6" xfId="26352"/>
    <cellStyle name="Normal 322 6 2" xfId="26353"/>
    <cellStyle name="Normal 322 6 2 2" xfId="26354"/>
    <cellStyle name="Normal 322 6 3" xfId="26355"/>
    <cellStyle name="Normal 322 7" xfId="26356"/>
    <cellStyle name="Normal 323" xfId="26357"/>
    <cellStyle name="Normal 323 2" xfId="26358"/>
    <cellStyle name="Normal 323 2 2" xfId="26359"/>
    <cellStyle name="Normal 323 2 2 2" xfId="26360"/>
    <cellStyle name="Normal 323 2 3" xfId="26361"/>
    <cellStyle name="Normal 323 2 3 2" xfId="26362"/>
    <cellStyle name="Normal 323 2 3 2 2" xfId="26363"/>
    <cellStyle name="Normal 323 2 3 3" xfId="26364"/>
    <cellStyle name="Normal 323 2 4" xfId="26365"/>
    <cellStyle name="Normal 323 2 4 2" xfId="26366"/>
    <cellStyle name="Normal 323 2 4 2 2" xfId="26367"/>
    <cellStyle name="Normal 323 2 4 3" xfId="26368"/>
    <cellStyle name="Normal 323 2 5" xfId="26369"/>
    <cellStyle name="Normal 323 3" xfId="26370"/>
    <cellStyle name="Normal 323 3 2" xfId="26371"/>
    <cellStyle name="Normal 323 3 2 2" xfId="26372"/>
    <cellStyle name="Normal 323 3 2 2 2" xfId="26373"/>
    <cellStyle name="Normal 323 3 2 3" xfId="26374"/>
    <cellStyle name="Normal 323 3 2 3 2" xfId="26375"/>
    <cellStyle name="Normal 323 3 2 3 2 2" xfId="26376"/>
    <cellStyle name="Normal 323 3 2 3 3" xfId="26377"/>
    <cellStyle name="Normal 323 3 2 4" xfId="26378"/>
    <cellStyle name="Normal 323 3 3" xfId="26379"/>
    <cellStyle name="Normal 323 3 3 2" xfId="26380"/>
    <cellStyle name="Normal 323 3 3 2 2" xfId="26381"/>
    <cellStyle name="Normal 323 3 3 3" xfId="26382"/>
    <cellStyle name="Normal 323 3 4" xfId="26383"/>
    <cellStyle name="Normal 323 3 4 2" xfId="26384"/>
    <cellStyle name="Normal 323 3 4 2 2" xfId="26385"/>
    <cellStyle name="Normal 323 3 4 3" xfId="26386"/>
    <cellStyle name="Normal 323 3 5" xfId="26387"/>
    <cellStyle name="Normal 323 3 5 2" xfId="26388"/>
    <cellStyle name="Normal 323 3 5 2 2" xfId="26389"/>
    <cellStyle name="Normal 323 3 5 3" xfId="26390"/>
    <cellStyle name="Normal 323 3 6" xfId="26391"/>
    <cellStyle name="Normal 323 4" xfId="26392"/>
    <cellStyle name="Normal 323 4 2" xfId="26393"/>
    <cellStyle name="Normal 323 4 2 2" xfId="26394"/>
    <cellStyle name="Normal 323 4 3" xfId="26395"/>
    <cellStyle name="Normal 323 5" xfId="26396"/>
    <cellStyle name="Normal 323 5 2" xfId="26397"/>
    <cellStyle name="Normal 323 5 2 2" xfId="26398"/>
    <cellStyle name="Normal 323 5 3" xfId="26399"/>
    <cellStyle name="Normal 323 6" xfId="26400"/>
    <cellStyle name="Normal 323 6 2" xfId="26401"/>
    <cellStyle name="Normal 323 6 2 2" xfId="26402"/>
    <cellStyle name="Normal 323 6 3" xfId="26403"/>
    <cellStyle name="Normal 323 7" xfId="26404"/>
    <cellStyle name="Normal 324" xfId="26405"/>
    <cellStyle name="Normal 324 2" xfId="26406"/>
    <cellStyle name="Normal 324 2 2" xfId="26407"/>
    <cellStyle name="Normal 324 2 2 2" xfId="26408"/>
    <cellStyle name="Normal 324 2 3" xfId="26409"/>
    <cellStyle name="Normal 324 2 3 2" xfId="26410"/>
    <cellStyle name="Normal 324 2 3 2 2" xfId="26411"/>
    <cellStyle name="Normal 324 2 3 3" xfId="26412"/>
    <cellStyle name="Normal 324 2 4" xfId="26413"/>
    <cellStyle name="Normal 324 2 4 2" xfId="26414"/>
    <cellStyle name="Normal 324 2 4 2 2" xfId="26415"/>
    <cellStyle name="Normal 324 2 4 3" xfId="26416"/>
    <cellStyle name="Normal 324 2 5" xfId="26417"/>
    <cellStyle name="Normal 324 3" xfId="26418"/>
    <cellStyle name="Normal 324 3 2" xfId="26419"/>
    <cellStyle name="Normal 324 3 2 2" xfId="26420"/>
    <cellStyle name="Normal 324 3 2 2 2" xfId="26421"/>
    <cellStyle name="Normal 324 3 2 3" xfId="26422"/>
    <cellStyle name="Normal 324 3 2 3 2" xfId="26423"/>
    <cellStyle name="Normal 324 3 2 3 2 2" xfId="26424"/>
    <cellStyle name="Normal 324 3 2 3 3" xfId="26425"/>
    <cellStyle name="Normal 324 3 2 4" xfId="26426"/>
    <cellStyle name="Normal 324 3 3" xfId="26427"/>
    <cellStyle name="Normal 324 3 3 2" xfId="26428"/>
    <cellStyle name="Normal 324 3 3 2 2" xfId="26429"/>
    <cellStyle name="Normal 324 3 3 3" xfId="26430"/>
    <cellStyle name="Normal 324 3 4" xfId="26431"/>
    <cellStyle name="Normal 324 3 4 2" xfId="26432"/>
    <cellStyle name="Normal 324 3 4 2 2" xfId="26433"/>
    <cellStyle name="Normal 324 3 4 3" xfId="26434"/>
    <cellStyle name="Normal 324 3 5" xfId="26435"/>
    <cellStyle name="Normal 324 3 5 2" xfId="26436"/>
    <cellStyle name="Normal 324 3 5 2 2" xfId="26437"/>
    <cellStyle name="Normal 324 3 5 3" xfId="26438"/>
    <cellStyle name="Normal 324 3 6" xfId="26439"/>
    <cellStyle name="Normal 324 4" xfId="26440"/>
    <cellStyle name="Normal 324 4 2" xfId="26441"/>
    <cellStyle name="Normal 324 4 2 2" xfId="26442"/>
    <cellStyle name="Normal 324 4 3" xfId="26443"/>
    <cellStyle name="Normal 324 5" xfId="26444"/>
    <cellStyle name="Normal 324 5 2" xfId="26445"/>
    <cellStyle name="Normal 324 5 2 2" xfId="26446"/>
    <cellStyle name="Normal 324 5 3" xfId="26447"/>
    <cellStyle name="Normal 324 6" xfId="26448"/>
    <cellStyle name="Normal 324 6 2" xfId="26449"/>
    <cellStyle name="Normal 324 6 2 2" xfId="26450"/>
    <cellStyle name="Normal 324 6 3" xfId="26451"/>
    <cellStyle name="Normal 324 7" xfId="26452"/>
    <cellStyle name="Normal 325" xfId="26453"/>
    <cellStyle name="Normal 325 2" xfId="26454"/>
    <cellStyle name="Normal 325 2 2" xfId="26455"/>
    <cellStyle name="Normal 325 2 2 2" xfId="26456"/>
    <cellStyle name="Normal 325 2 3" xfId="26457"/>
    <cellStyle name="Normal 325 2 3 2" xfId="26458"/>
    <cellStyle name="Normal 325 2 3 2 2" xfId="26459"/>
    <cellStyle name="Normal 325 2 3 3" xfId="26460"/>
    <cellStyle name="Normal 325 2 4" xfId="26461"/>
    <cellStyle name="Normal 325 2 4 2" xfId="26462"/>
    <cellStyle name="Normal 325 2 4 2 2" xfId="26463"/>
    <cellStyle name="Normal 325 2 4 3" xfId="26464"/>
    <cellStyle name="Normal 325 2 5" xfId="26465"/>
    <cellStyle name="Normal 325 3" xfId="26466"/>
    <cellStyle name="Normal 325 3 2" xfId="26467"/>
    <cellStyle name="Normal 325 3 2 2" xfId="26468"/>
    <cellStyle name="Normal 325 3 2 2 2" xfId="26469"/>
    <cellStyle name="Normal 325 3 2 3" xfId="26470"/>
    <cellStyle name="Normal 325 3 2 3 2" xfId="26471"/>
    <cellStyle name="Normal 325 3 2 3 2 2" xfId="26472"/>
    <cellStyle name="Normal 325 3 2 3 3" xfId="26473"/>
    <cellStyle name="Normal 325 3 2 4" xfId="26474"/>
    <cellStyle name="Normal 325 3 3" xfId="26475"/>
    <cellStyle name="Normal 325 3 3 2" xfId="26476"/>
    <cellStyle name="Normal 325 3 3 2 2" xfId="26477"/>
    <cellStyle name="Normal 325 3 3 3" xfId="26478"/>
    <cellStyle name="Normal 325 3 4" xfId="26479"/>
    <cellStyle name="Normal 325 3 4 2" xfId="26480"/>
    <cellStyle name="Normal 325 3 4 2 2" xfId="26481"/>
    <cellStyle name="Normal 325 3 4 3" xfId="26482"/>
    <cellStyle name="Normal 325 3 5" xfId="26483"/>
    <cellStyle name="Normal 325 3 5 2" xfId="26484"/>
    <cellStyle name="Normal 325 3 5 2 2" xfId="26485"/>
    <cellStyle name="Normal 325 3 5 3" xfId="26486"/>
    <cellStyle name="Normal 325 3 6" xfId="26487"/>
    <cellStyle name="Normal 325 4" xfId="26488"/>
    <cellStyle name="Normal 325 4 2" xfId="26489"/>
    <cellStyle name="Normal 325 4 2 2" xfId="26490"/>
    <cellStyle name="Normal 325 4 3" xfId="26491"/>
    <cellStyle name="Normal 325 5" xfId="26492"/>
    <cellStyle name="Normal 325 5 2" xfId="26493"/>
    <cellStyle name="Normal 325 5 2 2" xfId="26494"/>
    <cellStyle name="Normal 325 5 3" xfId="26495"/>
    <cellStyle name="Normal 325 6" xfId="26496"/>
    <cellStyle name="Normal 325 6 2" xfId="26497"/>
    <cellStyle name="Normal 325 6 2 2" xfId="26498"/>
    <cellStyle name="Normal 325 6 3" xfId="26499"/>
    <cellStyle name="Normal 325 7" xfId="26500"/>
    <cellStyle name="Normal 326" xfId="26501"/>
    <cellStyle name="Normal 326 2" xfId="26502"/>
    <cellStyle name="Normal 326 2 2" xfId="26503"/>
    <cellStyle name="Normal 326 2 2 2" xfId="26504"/>
    <cellStyle name="Normal 326 2 3" xfId="26505"/>
    <cellStyle name="Normal 326 2 3 2" xfId="26506"/>
    <cellStyle name="Normal 326 2 3 2 2" xfId="26507"/>
    <cellStyle name="Normal 326 2 3 3" xfId="26508"/>
    <cellStyle name="Normal 326 2 4" xfId="26509"/>
    <cellStyle name="Normal 326 2 4 2" xfId="26510"/>
    <cellStyle name="Normal 326 2 4 2 2" xfId="26511"/>
    <cellStyle name="Normal 326 2 4 3" xfId="26512"/>
    <cellStyle name="Normal 326 2 5" xfId="26513"/>
    <cellStyle name="Normal 326 3" xfId="26514"/>
    <cellStyle name="Normal 326 3 2" xfId="26515"/>
    <cellStyle name="Normal 326 3 2 2" xfId="26516"/>
    <cellStyle name="Normal 326 3 2 2 2" xfId="26517"/>
    <cellStyle name="Normal 326 3 2 3" xfId="26518"/>
    <cellStyle name="Normal 326 3 2 3 2" xfId="26519"/>
    <cellStyle name="Normal 326 3 2 3 2 2" xfId="26520"/>
    <cellStyle name="Normal 326 3 2 3 3" xfId="26521"/>
    <cellStyle name="Normal 326 3 2 4" xfId="26522"/>
    <cellStyle name="Normal 326 3 3" xfId="26523"/>
    <cellStyle name="Normal 326 3 3 2" xfId="26524"/>
    <cellStyle name="Normal 326 3 3 2 2" xfId="26525"/>
    <cellStyle name="Normal 326 3 3 3" xfId="26526"/>
    <cellStyle name="Normal 326 3 4" xfId="26527"/>
    <cellStyle name="Normal 326 3 4 2" xfId="26528"/>
    <cellStyle name="Normal 326 3 4 2 2" xfId="26529"/>
    <cellStyle name="Normal 326 3 4 3" xfId="26530"/>
    <cellStyle name="Normal 326 3 5" xfId="26531"/>
    <cellStyle name="Normal 326 3 5 2" xfId="26532"/>
    <cellStyle name="Normal 326 3 5 2 2" xfId="26533"/>
    <cellStyle name="Normal 326 3 5 3" xfId="26534"/>
    <cellStyle name="Normal 326 3 6" xfId="26535"/>
    <cellStyle name="Normal 326 4" xfId="26536"/>
    <cellStyle name="Normal 326 4 2" xfId="26537"/>
    <cellStyle name="Normal 326 4 2 2" xfId="26538"/>
    <cellStyle name="Normal 326 4 3" xfId="26539"/>
    <cellStyle name="Normal 326 5" xfId="26540"/>
    <cellStyle name="Normal 326 5 2" xfId="26541"/>
    <cellStyle name="Normal 326 5 2 2" xfId="26542"/>
    <cellStyle name="Normal 326 5 3" xfId="26543"/>
    <cellStyle name="Normal 326 6" xfId="26544"/>
    <cellStyle name="Normal 326 6 2" xfId="26545"/>
    <cellStyle name="Normal 326 6 2 2" xfId="26546"/>
    <cellStyle name="Normal 326 6 3" xfId="26547"/>
    <cellStyle name="Normal 326 7" xfId="26548"/>
    <cellStyle name="Normal 327" xfId="26549"/>
    <cellStyle name="Normal 327 2" xfId="26550"/>
    <cellStyle name="Normal 327 2 2" xfId="26551"/>
    <cellStyle name="Normal 327 2 2 2" xfId="26552"/>
    <cellStyle name="Normal 327 2 3" xfId="26553"/>
    <cellStyle name="Normal 327 2 3 2" xfId="26554"/>
    <cellStyle name="Normal 327 2 3 2 2" xfId="26555"/>
    <cellStyle name="Normal 327 2 3 3" xfId="26556"/>
    <cellStyle name="Normal 327 2 4" xfId="26557"/>
    <cellStyle name="Normal 327 2 4 2" xfId="26558"/>
    <cellStyle name="Normal 327 2 4 2 2" xfId="26559"/>
    <cellStyle name="Normal 327 2 4 3" xfId="26560"/>
    <cellStyle name="Normal 327 2 5" xfId="26561"/>
    <cellStyle name="Normal 327 3" xfId="26562"/>
    <cellStyle name="Normal 327 3 2" xfId="26563"/>
    <cellStyle name="Normal 327 3 2 2" xfId="26564"/>
    <cellStyle name="Normal 327 3 2 2 2" xfId="26565"/>
    <cellStyle name="Normal 327 3 2 3" xfId="26566"/>
    <cellStyle name="Normal 327 3 2 3 2" xfId="26567"/>
    <cellStyle name="Normal 327 3 2 3 2 2" xfId="26568"/>
    <cellStyle name="Normal 327 3 2 3 3" xfId="26569"/>
    <cellStyle name="Normal 327 3 2 4" xfId="26570"/>
    <cellStyle name="Normal 327 3 3" xfId="26571"/>
    <cellStyle name="Normal 327 3 3 2" xfId="26572"/>
    <cellStyle name="Normal 327 3 3 2 2" xfId="26573"/>
    <cellStyle name="Normal 327 3 3 3" xfId="26574"/>
    <cellStyle name="Normal 327 3 4" xfId="26575"/>
    <cellStyle name="Normal 327 3 4 2" xfId="26576"/>
    <cellStyle name="Normal 327 3 4 2 2" xfId="26577"/>
    <cellStyle name="Normal 327 3 4 3" xfId="26578"/>
    <cellStyle name="Normal 327 3 5" xfId="26579"/>
    <cellStyle name="Normal 327 3 5 2" xfId="26580"/>
    <cellStyle name="Normal 327 3 5 2 2" xfId="26581"/>
    <cellStyle name="Normal 327 3 5 3" xfId="26582"/>
    <cellStyle name="Normal 327 3 6" xfId="26583"/>
    <cellStyle name="Normal 327 4" xfId="26584"/>
    <cellStyle name="Normal 327 4 2" xfId="26585"/>
    <cellStyle name="Normal 327 4 2 2" xfId="26586"/>
    <cellStyle name="Normal 327 4 3" xfId="26587"/>
    <cellStyle name="Normal 327 5" xfId="26588"/>
    <cellStyle name="Normal 327 5 2" xfId="26589"/>
    <cellStyle name="Normal 327 5 2 2" xfId="26590"/>
    <cellStyle name="Normal 327 5 3" xfId="26591"/>
    <cellStyle name="Normal 327 6" xfId="26592"/>
    <cellStyle name="Normal 327 6 2" xfId="26593"/>
    <cellStyle name="Normal 327 6 2 2" xfId="26594"/>
    <cellStyle name="Normal 327 6 3" xfId="26595"/>
    <cellStyle name="Normal 327 7" xfId="26596"/>
    <cellStyle name="Normal 328" xfId="26597"/>
    <cellStyle name="Normal 328 2" xfId="26598"/>
    <cellStyle name="Normal 328 2 2" xfId="26599"/>
    <cellStyle name="Normal 328 2 2 2" xfId="26600"/>
    <cellStyle name="Normal 328 2 3" xfId="26601"/>
    <cellStyle name="Normal 328 2 3 2" xfId="26602"/>
    <cellStyle name="Normal 328 2 3 2 2" xfId="26603"/>
    <cellStyle name="Normal 328 2 3 3" xfId="26604"/>
    <cellStyle name="Normal 328 2 4" xfId="26605"/>
    <cellStyle name="Normal 328 2 4 2" xfId="26606"/>
    <cellStyle name="Normal 328 2 4 2 2" xfId="26607"/>
    <cellStyle name="Normal 328 2 4 3" xfId="26608"/>
    <cellStyle name="Normal 328 2 5" xfId="26609"/>
    <cellStyle name="Normal 328 3" xfId="26610"/>
    <cellStyle name="Normal 328 3 2" xfId="26611"/>
    <cellStyle name="Normal 328 3 2 2" xfId="26612"/>
    <cellStyle name="Normal 328 3 2 2 2" xfId="26613"/>
    <cellStyle name="Normal 328 3 2 3" xfId="26614"/>
    <cellStyle name="Normal 328 3 2 3 2" xfId="26615"/>
    <cellStyle name="Normal 328 3 2 3 2 2" xfId="26616"/>
    <cellStyle name="Normal 328 3 2 3 3" xfId="26617"/>
    <cellStyle name="Normal 328 3 2 4" xfId="26618"/>
    <cellStyle name="Normal 328 3 3" xfId="26619"/>
    <cellStyle name="Normal 328 3 3 2" xfId="26620"/>
    <cellStyle name="Normal 328 3 3 2 2" xfId="26621"/>
    <cellStyle name="Normal 328 3 3 3" xfId="26622"/>
    <cellStyle name="Normal 328 3 4" xfId="26623"/>
    <cellStyle name="Normal 328 3 4 2" xfId="26624"/>
    <cellStyle name="Normal 328 3 4 2 2" xfId="26625"/>
    <cellStyle name="Normal 328 3 4 3" xfId="26626"/>
    <cellStyle name="Normal 328 3 5" xfId="26627"/>
    <cellStyle name="Normal 328 3 5 2" xfId="26628"/>
    <cellStyle name="Normal 328 3 5 2 2" xfId="26629"/>
    <cellStyle name="Normal 328 3 5 3" xfId="26630"/>
    <cellStyle name="Normal 328 3 6" xfId="26631"/>
    <cellStyle name="Normal 328 4" xfId="26632"/>
    <cellStyle name="Normal 328 4 2" xfId="26633"/>
    <cellStyle name="Normal 328 4 2 2" xfId="26634"/>
    <cellStyle name="Normal 328 4 3" xfId="26635"/>
    <cellStyle name="Normal 328 5" xfId="26636"/>
    <cellStyle name="Normal 328 5 2" xfId="26637"/>
    <cellStyle name="Normal 328 5 2 2" xfId="26638"/>
    <cellStyle name="Normal 328 5 3" xfId="26639"/>
    <cellStyle name="Normal 328 6" xfId="26640"/>
    <cellStyle name="Normal 328 6 2" xfId="26641"/>
    <cellStyle name="Normal 328 6 2 2" xfId="26642"/>
    <cellStyle name="Normal 328 6 3" xfId="26643"/>
    <cellStyle name="Normal 328 7" xfId="26644"/>
    <cellStyle name="Normal 329" xfId="26645"/>
    <cellStyle name="Normal 329 2" xfId="26646"/>
    <cellStyle name="Normal 329 2 2" xfId="26647"/>
    <cellStyle name="Normal 329 2 2 2" xfId="26648"/>
    <cellStyle name="Normal 329 2 3" xfId="26649"/>
    <cellStyle name="Normal 329 2 3 2" xfId="26650"/>
    <cellStyle name="Normal 329 2 3 2 2" xfId="26651"/>
    <cellStyle name="Normal 329 2 3 3" xfId="26652"/>
    <cellStyle name="Normal 329 2 4" xfId="26653"/>
    <cellStyle name="Normal 329 2 4 2" xfId="26654"/>
    <cellStyle name="Normal 329 2 4 2 2" xfId="26655"/>
    <cellStyle name="Normal 329 2 4 3" xfId="26656"/>
    <cellStyle name="Normal 329 2 5" xfId="26657"/>
    <cellStyle name="Normal 329 3" xfId="26658"/>
    <cellStyle name="Normal 329 3 2" xfId="26659"/>
    <cellStyle name="Normal 329 3 2 2" xfId="26660"/>
    <cellStyle name="Normal 329 3 2 2 2" xfId="26661"/>
    <cellStyle name="Normal 329 3 2 3" xfId="26662"/>
    <cellStyle name="Normal 329 3 2 3 2" xfId="26663"/>
    <cellStyle name="Normal 329 3 2 3 2 2" xfId="26664"/>
    <cellStyle name="Normal 329 3 2 3 3" xfId="26665"/>
    <cellStyle name="Normal 329 3 2 4" xfId="26666"/>
    <cellStyle name="Normal 329 3 3" xfId="26667"/>
    <cellStyle name="Normal 329 3 3 2" xfId="26668"/>
    <cellStyle name="Normal 329 3 3 2 2" xfId="26669"/>
    <cellStyle name="Normal 329 3 3 3" xfId="26670"/>
    <cellStyle name="Normal 329 3 4" xfId="26671"/>
    <cellStyle name="Normal 329 3 4 2" xfId="26672"/>
    <cellStyle name="Normal 329 3 4 2 2" xfId="26673"/>
    <cellStyle name="Normal 329 3 4 3" xfId="26674"/>
    <cellStyle name="Normal 329 3 5" xfId="26675"/>
    <cellStyle name="Normal 329 3 5 2" xfId="26676"/>
    <cellStyle name="Normal 329 3 5 2 2" xfId="26677"/>
    <cellStyle name="Normal 329 3 5 3" xfId="26678"/>
    <cellStyle name="Normal 329 3 6" xfId="26679"/>
    <cellStyle name="Normal 329 4" xfId="26680"/>
    <cellStyle name="Normal 329 4 2" xfId="26681"/>
    <cellStyle name="Normal 329 4 2 2" xfId="26682"/>
    <cellStyle name="Normal 329 4 3" xfId="26683"/>
    <cellStyle name="Normal 329 5" xfId="26684"/>
    <cellStyle name="Normal 329 5 2" xfId="26685"/>
    <cellStyle name="Normal 329 5 2 2" xfId="26686"/>
    <cellStyle name="Normal 329 5 3" xfId="26687"/>
    <cellStyle name="Normal 329 6" xfId="26688"/>
    <cellStyle name="Normal 329 6 2" xfId="26689"/>
    <cellStyle name="Normal 329 6 2 2" xfId="26690"/>
    <cellStyle name="Normal 329 6 3" xfId="26691"/>
    <cellStyle name="Normal 329 7" xfId="26692"/>
    <cellStyle name="Normal 33" xfId="26693"/>
    <cellStyle name="Normal 33 2" xfId="26694"/>
    <cellStyle name="Normal 33 2 2" xfId="26695"/>
    <cellStyle name="Normal 33 2 2 2" xfId="26696"/>
    <cellStyle name="Normal 33 2 2 2 2" xfId="26697"/>
    <cellStyle name="Normal 33 2 2 3" xfId="26698"/>
    <cellStyle name="Normal 33 2 2 3 2" xfId="26699"/>
    <cellStyle name="Normal 33 2 2 3 2 2" xfId="26700"/>
    <cellStyle name="Normal 33 2 2 3 3" xfId="26701"/>
    <cellStyle name="Normal 33 2 2 4" xfId="26702"/>
    <cellStyle name="Normal 33 2 2 4 2" xfId="26703"/>
    <cellStyle name="Normal 33 2 2 4 2 2" xfId="26704"/>
    <cellStyle name="Normal 33 2 2 4 3" xfId="26705"/>
    <cellStyle name="Normal 33 2 2 5" xfId="26706"/>
    <cellStyle name="Normal 33 2 3" xfId="26707"/>
    <cellStyle name="Normal 33 2 3 2" xfId="26708"/>
    <cellStyle name="Normal 33 2 3 2 2" xfId="26709"/>
    <cellStyle name="Normal 33 2 3 2 2 2" xfId="26710"/>
    <cellStyle name="Normal 33 2 3 2 3" xfId="26711"/>
    <cellStyle name="Normal 33 2 3 2 3 2" xfId="26712"/>
    <cellStyle name="Normal 33 2 3 2 3 2 2" xfId="26713"/>
    <cellStyle name="Normal 33 2 3 2 3 3" xfId="26714"/>
    <cellStyle name="Normal 33 2 3 2 4" xfId="26715"/>
    <cellStyle name="Normal 33 2 3 3" xfId="26716"/>
    <cellStyle name="Normal 33 2 3 3 2" xfId="26717"/>
    <cellStyle name="Normal 33 2 3 3 2 2" xfId="26718"/>
    <cellStyle name="Normal 33 2 3 3 3" xfId="26719"/>
    <cellStyle name="Normal 33 2 3 4" xfId="26720"/>
    <cellStyle name="Normal 33 2 3 4 2" xfId="26721"/>
    <cellStyle name="Normal 33 2 3 4 2 2" xfId="26722"/>
    <cellStyle name="Normal 33 2 3 4 3" xfId="26723"/>
    <cellStyle name="Normal 33 2 3 5" xfId="26724"/>
    <cellStyle name="Normal 33 2 3 5 2" xfId="26725"/>
    <cellStyle name="Normal 33 2 3 5 2 2" xfId="26726"/>
    <cellStyle name="Normal 33 2 3 5 3" xfId="26727"/>
    <cellStyle name="Normal 33 2 3 6" xfId="26728"/>
    <cellStyle name="Normal 33 2 4" xfId="26729"/>
    <cellStyle name="Normal 33 3" xfId="26730"/>
    <cellStyle name="Normal 33 3 2" xfId="26731"/>
    <cellStyle name="Normal 33 3 2 2" xfId="26732"/>
    <cellStyle name="Normal 33 3 2 2 2" xfId="26733"/>
    <cellStyle name="Normal 33 3 2 3" xfId="26734"/>
    <cellStyle name="Normal 33 3 2 3 2" xfId="26735"/>
    <cellStyle name="Normal 33 3 2 3 2 2" xfId="26736"/>
    <cellStyle name="Normal 33 3 2 3 3" xfId="26737"/>
    <cellStyle name="Normal 33 3 2 4" xfId="26738"/>
    <cellStyle name="Normal 33 3 2 4 2" xfId="26739"/>
    <cellStyle name="Normal 33 3 2 4 2 2" xfId="26740"/>
    <cellStyle name="Normal 33 3 2 4 3" xfId="26741"/>
    <cellStyle name="Normal 33 3 2 5" xfId="26742"/>
    <cellStyle name="Normal 33 3 3" xfId="26743"/>
    <cellStyle name="Normal 33 3 3 2" xfId="26744"/>
    <cellStyle name="Normal 33 3 3 2 2" xfId="26745"/>
    <cellStyle name="Normal 33 3 3 3" xfId="26746"/>
    <cellStyle name="Normal 33 3 4" xfId="26747"/>
    <cellStyle name="Normal 33 3 4 2" xfId="26748"/>
    <cellStyle name="Normal 33 3 4 2 2" xfId="26749"/>
    <cellStyle name="Normal 33 3 4 3" xfId="26750"/>
    <cellStyle name="Normal 33 3 5" xfId="26751"/>
    <cellStyle name="Normal 33 3 5 2" xfId="26752"/>
    <cellStyle name="Normal 33 3 5 2 2" xfId="26753"/>
    <cellStyle name="Normal 33 3 5 3" xfId="26754"/>
    <cellStyle name="Normal 33 3 6" xfId="26755"/>
    <cellStyle name="Normal 33 4" xfId="26756"/>
    <cellStyle name="Normal 33 4 2" xfId="26757"/>
    <cellStyle name="Normal 33 4 2 2" xfId="26758"/>
    <cellStyle name="Normal 33 4 3" xfId="26759"/>
    <cellStyle name="Normal 33 4 3 2" xfId="26760"/>
    <cellStyle name="Normal 33 4 3 2 2" xfId="26761"/>
    <cellStyle name="Normal 33 4 3 3" xfId="26762"/>
    <cellStyle name="Normal 33 4 4" xfId="26763"/>
    <cellStyle name="Normal 33 4 4 2" xfId="26764"/>
    <cellStyle name="Normal 33 4 4 2 2" xfId="26765"/>
    <cellStyle name="Normal 33 4 4 3" xfId="26766"/>
    <cellStyle name="Normal 33 4 5" xfId="26767"/>
    <cellStyle name="Normal 33 5" xfId="26768"/>
    <cellStyle name="Normal 33 5 2" xfId="26769"/>
    <cellStyle name="Normal 33 5 2 2" xfId="26770"/>
    <cellStyle name="Normal 33 5 3" xfId="26771"/>
    <cellStyle name="Normal 33 6" xfId="26772"/>
    <cellStyle name="Normal 330" xfId="26773"/>
    <cellStyle name="Normal 330 2" xfId="26774"/>
    <cellStyle name="Normal 330 2 2" xfId="26775"/>
    <cellStyle name="Normal 330 2 2 2" xfId="26776"/>
    <cellStyle name="Normal 330 2 3" xfId="26777"/>
    <cellStyle name="Normal 330 2 3 2" xfId="26778"/>
    <cellStyle name="Normal 330 2 3 2 2" xfId="26779"/>
    <cellStyle name="Normal 330 2 3 3" xfId="26780"/>
    <cellStyle name="Normal 330 2 4" xfId="26781"/>
    <cellStyle name="Normal 330 2 4 2" xfId="26782"/>
    <cellStyle name="Normal 330 2 4 2 2" xfId="26783"/>
    <cellStyle name="Normal 330 2 4 3" xfId="26784"/>
    <cellStyle name="Normal 330 2 5" xfId="26785"/>
    <cellStyle name="Normal 330 3" xfId="26786"/>
    <cellStyle name="Normal 330 3 2" xfId="26787"/>
    <cellStyle name="Normal 330 3 2 2" xfId="26788"/>
    <cellStyle name="Normal 330 3 2 2 2" xfId="26789"/>
    <cellStyle name="Normal 330 3 2 3" xfId="26790"/>
    <cellStyle name="Normal 330 3 2 3 2" xfId="26791"/>
    <cellStyle name="Normal 330 3 2 3 2 2" xfId="26792"/>
    <cellStyle name="Normal 330 3 2 3 3" xfId="26793"/>
    <cellStyle name="Normal 330 3 2 4" xfId="26794"/>
    <cellStyle name="Normal 330 3 3" xfId="26795"/>
    <cellStyle name="Normal 330 3 3 2" xfId="26796"/>
    <cellStyle name="Normal 330 3 3 2 2" xfId="26797"/>
    <cellStyle name="Normal 330 3 3 3" xfId="26798"/>
    <cellStyle name="Normal 330 3 4" xfId="26799"/>
    <cellStyle name="Normal 330 3 4 2" xfId="26800"/>
    <cellStyle name="Normal 330 3 4 2 2" xfId="26801"/>
    <cellStyle name="Normal 330 3 4 3" xfId="26802"/>
    <cellStyle name="Normal 330 3 5" xfId="26803"/>
    <cellStyle name="Normal 330 3 5 2" xfId="26804"/>
    <cellStyle name="Normal 330 3 5 2 2" xfId="26805"/>
    <cellStyle name="Normal 330 3 5 3" xfId="26806"/>
    <cellStyle name="Normal 330 3 6" xfId="26807"/>
    <cellStyle name="Normal 330 4" xfId="26808"/>
    <cellStyle name="Normal 330 4 2" xfId="26809"/>
    <cellStyle name="Normal 330 4 2 2" xfId="26810"/>
    <cellStyle name="Normal 330 4 3" xfId="26811"/>
    <cellStyle name="Normal 330 5" xfId="26812"/>
    <cellStyle name="Normal 330 5 2" xfId="26813"/>
    <cellStyle name="Normal 330 5 2 2" xfId="26814"/>
    <cellStyle name="Normal 330 5 3" xfId="26815"/>
    <cellStyle name="Normal 330 6" xfId="26816"/>
    <cellStyle name="Normal 330 6 2" xfId="26817"/>
    <cellStyle name="Normal 330 6 2 2" xfId="26818"/>
    <cellStyle name="Normal 330 6 3" xfId="26819"/>
    <cellStyle name="Normal 330 7" xfId="26820"/>
    <cellStyle name="Normal 331" xfId="26821"/>
    <cellStyle name="Normal 331 2" xfId="26822"/>
    <cellStyle name="Normal 331 2 2" xfId="26823"/>
    <cellStyle name="Normal 331 2 2 2" xfId="26824"/>
    <cellStyle name="Normal 331 2 3" xfId="26825"/>
    <cellStyle name="Normal 331 2 3 2" xfId="26826"/>
    <cellStyle name="Normal 331 2 3 2 2" xfId="26827"/>
    <cellStyle name="Normal 331 2 3 3" xfId="26828"/>
    <cellStyle name="Normal 331 2 4" xfId="26829"/>
    <cellStyle name="Normal 331 2 4 2" xfId="26830"/>
    <cellStyle name="Normal 331 2 4 2 2" xfId="26831"/>
    <cellStyle name="Normal 331 2 4 3" xfId="26832"/>
    <cellStyle name="Normal 331 2 5" xfId="26833"/>
    <cellStyle name="Normal 331 3" xfId="26834"/>
    <cellStyle name="Normal 331 3 2" xfId="26835"/>
    <cellStyle name="Normal 331 3 2 2" xfId="26836"/>
    <cellStyle name="Normal 331 3 2 2 2" xfId="26837"/>
    <cellStyle name="Normal 331 3 2 3" xfId="26838"/>
    <cellStyle name="Normal 331 3 2 3 2" xfId="26839"/>
    <cellStyle name="Normal 331 3 2 3 2 2" xfId="26840"/>
    <cellStyle name="Normal 331 3 2 3 3" xfId="26841"/>
    <cellStyle name="Normal 331 3 2 4" xfId="26842"/>
    <cellStyle name="Normal 331 3 3" xfId="26843"/>
    <cellStyle name="Normal 331 3 3 2" xfId="26844"/>
    <cellStyle name="Normal 331 3 3 2 2" xfId="26845"/>
    <cellStyle name="Normal 331 3 3 3" xfId="26846"/>
    <cellStyle name="Normal 331 3 4" xfId="26847"/>
    <cellStyle name="Normal 331 3 4 2" xfId="26848"/>
    <cellStyle name="Normal 331 3 4 2 2" xfId="26849"/>
    <cellStyle name="Normal 331 3 4 3" xfId="26850"/>
    <cellStyle name="Normal 331 3 5" xfId="26851"/>
    <cellStyle name="Normal 331 3 5 2" xfId="26852"/>
    <cellStyle name="Normal 331 3 5 2 2" xfId="26853"/>
    <cellStyle name="Normal 331 3 5 3" xfId="26854"/>
    <cellStyle name="Normal 331 3 6" xfId="26855"/>
    <cellStyle name="Normal 331 4" xfId="26856"/>
    <cellStyle name="Normal 331 4 2" xfId="26857"/>
    <cellStyle name="Normal 331 4 2 2" xfId="26858"/>
    <cellStyle name="Normal 331 4 3" xfId="26859"/>
    <cellStyle name="Normal 331 5" xfId="26860"/>
    <cellStyle name="Normal 331 5 2" xfId="26861"/>
    <cellStyle name="Normal 331 5 2 2" xfId="26862"/>
    <cellStyle name="Normal 331 5 3" xfId="26863"/>
    <cellStyle name="Normal 331 6" xfId="26864"/>
    <cellStyle name="Normal 331 6 2" xfId="26865"/>
    <cellStyle name="Normal 331 6 2 2" xfId="26866"/>
    <cellStyle name="Normal 331 6 3" xfId="26867"/>
    <cellStyle name="Normal 331 7" xfId="26868"/>
    <cellStyle name="Normal 332" xfId="26869"/>
    <cellStyle name="Normal 332 2" xfId="26870"/>
    <cellStyle name="Normal 332 2 2" xfId="26871"/>
    <cellStyle name="Normal 332 2 2 2" xfId="26872"/>
    <cellStyle name="Normal 332 2 3" xfId="26873"/>
    <cellStyle name="Normal 332 2 3 2" xfId="26874"/>
    <cellStyle name="Normal 332 2 3 2 2" xfId="26875"/>
    <cellStyle name="Normal 332 2 3 3" xfId="26876"/>
    <cellStyle name="Normal 332 2 4" xfId="26877"/>
    <cellStyle name="Normal 332 2 4 2" xfId="26878"/>
    <cellStyle name="Normal 332 2 4 2 2" xfId="26879"/>
    <cellStyle name="Normal 332 2 4 3" xfId="26880"/>
    <cellStyle name="Normal 332 2 5" xfId="26881"/>
    <cellStyle name="Normal 332 3" xfId="26882"/>
    <cellStyle name="Normal 332 3 2" xfId="26883"/>
    <cellStyle name="Normal 332 3 2 2" xfId="26884"/>
    <cellStyle name="Normal 332 3 2 2 2" xfId="26885"/>
    <cellStyle name="Normal 332 3 2 3" xfId="26886"/>
    <cellStyle name="Normal 332 3 2 3 2" xfId="26887"/>
    <cellStyle name="Normal 332 3 2 3 2 2" xfId="26888"/>
    <cellStyle name="Normal 332 3 2 3 3" xfId="26889"/>
    <cellStyle name="Normal 332 3 2 4" xfId="26890"/>
    <cellStyle name="Normal 332 3 3" xfId="26891"/>
    <cellStyle name="Normal 332 3 3 2" xfId="26892"/>
    <cellStyle name="Normal 332 3 3 2 2" xfId="26893"/>
    <cellStyle name="Normal 332 3 3 3" xfId="26894"/>
    <cellStyle name="Normal 332 3 4" xfId="26895"/>
    <cellStyle name="Normal 332 3 4 2" xfId="26896"/>
    <cellStyle name="Normal 332 3 4 2 2" xfId="26897"/>
    <cellStyle name="Normal 332 3 4 3" xfId="26898"/>
    <cellStyle name="Normal 332 3 5" xfId="26899"/>
    <cellStyle name="Normal 332 3 5 2" xfId="26900"/>
    <cellStyle name="Normal 332 3 5 2 2" xfId="26901"/>
    <cellStyle name="Normal 332 3 5 3" xfId="26902"/>
    <cellStyle name="Normal 332 3 6" xfId="26903"/>
    <cellStyle name="Normal 332 4" xfId="26904"/>
    <cellStyle name="Normal 332 4 2" xfId="26905"/>
    <cellStyle name="Normal 332 4 2 2" xfId="26906"/>
    <cellStyle name="Normal 332 4 3" xfId="26907"/>
    <cellStyle name="Normal 332 5" xfId="26908"/>
    <cellStyle name="Normal 332 5 2" xfId="26909"/>
    <cellStyle name="Normal 332 5 2 2" xfId="26910"/>
    <cellStyle name="Normal 332 5 3" xfId="26911"/>
    <cellStyle name="Normal 332 6" xfId="26912"/>
    <cellStyle name="Normal 332 6 2" xfId="26913"/>
    <cellStyle name="Normal 332 6 2 2" xfId="26914"/>
    <cellStyle name="Normal 332 6 3" xfId="26915"/>
    <cellStyle name="Normal 332 7" xfId="26916"/>
    <cellStyle name="Normal 333" xfId="26917"/>
    <cellStyle name="Normal 333 2" xfId="26918"/>
    <cellStyle name="Normal 333 2 2" xfId="26919"/>
    <cellStyle name="Normal 333 2 2 2" xfId="26920"/>
    <cellStyle name="Normal 333 2 3" xfId="26921"/>
    <cellStyle name="Normal 333 2 3 2" xfId="26922"/>
    <cellStyle name="Normal 333 2 3 2 2" xfId="26923"/>
    <cellStyle name="Normal 333 2 3 3" xfId="26924"/>
    <cellStyle name="Normal 333 2 4" xfId="26925"/>
    <cellStyle name="Normal 333 2 4 2" xfId="26926"/>
    <cellStyle name="Normal 333 2 4 2 2" xfId="26927"/>
    <cellStyle name="Normal 333 2 4 3" xfId="26928"/>
    <cellStyle name="Normal 333 2 5" xfId="26929"/>
    <cellStyle name="Normal 333 3" xfId="26930"/>
    <cellStyle name="Normal 333 3 2" xfId="26931"/>
    <cellStyle name="Normal 333 3 2 2" xfId="26932"/>
    <cellStyle name="Normal 333 3 2 2 2" xfId="26933"/>
    <cellStyle name="Normal 333 3 2 3" xfId="26934"/>
    <cellStyle name="Normal 333 3 2 3 2" xfId="26935"/>
    <cellStyle name="Normal 333 3 2 3 2 2" xfId="26936"/>
    <cellStyle name="Normal 333 3 2 3 3" xfId="26937"/>
    <cellStyle name="Normal 333 3 2 4" xfId="26938"/>
    <cellStyle name="Normal 333 3 3" xfId="26939"/>
    <cellStyle name="Normal 333 3 3 2" xfId="26940"/>
    <cellStyle name="Normal 333 3 3 2 2" xfId="26941"/>
    <cellStyle name="Normal 333 3 3 3" xfId="26942"/>
    <cellStyle name="Normal 333 3 4" xfId="26943"/>
    <cellStyle name="Normal 333 3 4 2" xfId="26944"/>
    <cellStyle name="Normal 333 3 4 2 2" xfId="26945"/>
    <cellStyle name="Normal 333 3 4 3" xfId="26946"/>
    <cellStyle name="Normal 333 3 5" xfId="26947"/>
    <cellStyle name="Normal 333 3 5 2" xfId="26948"/>
    <cellStyle name="Normal 333 3 5 2 2" xfId="26949"/>
    <cellStyle name="Normal 333 3 5 3" xfId="26950"/>
    <cellStyle name="Normal 333 3 6" xfId="26951"/>
    <cellStyle name="Normal 333 4" xfId="26952"/>
    <cellStyle name="Normal 333 4 2" xfId="26953"/>
    <cellStyle name="Normal 333 4 2 2" xfId="26954"/>
    <cellStyle name="Normal 333 4 3" xfId="26955"/>
    <cellStyle name="Normal 333 5" xfId="26956"/>
    <cellStyle name="Normal 333 5 2" xfId="26957"/>
    <cellStyle name="Normal 333 5 2 2" xfId="26958"/>
    <cellStyle name="Normal 333 5 3" xfId="26959"/>
    <cellStyle name="Normal 333 6" xfId="26960"/>
    <cellStyle name="Normal 333 6 2" xfId="26961"/>
    <cellStyle name="Normal 333 6 2 2" xfId="26962"/>
    <cellStyle name="Normal 333 6 3" xfId="26963"/>
    <cellStyle name="Normal 333 7" xfId="26964"/>
    <cellStyle name="Normal 334" xfId="26965"/>
    <cellStyle name="Normal 334 2" xfId="26966"/>
    <cellStyle name="Normal 334 2 2" xfId="26967"/>
    <cellStyle name="Normal 334 2 2 2" xfId="26968"/>
    <cellStyle name="Normal 334 2 3" xfId="26969"/>
    <cellStyle name="Normal 334 2 3 2" xfId="26970"/>
    <cellStyle name="Normal 334 2 3 2 2" xfId="26971"/>
    <cellStyle name="Normal 334 2 3 3" xfId="26972"/>
    <cellStyle name="Normal 334 2 4" xfId="26973"/>
    <cellStyle name="Normal 334 2 4 2" xfId="26974"/>
    <cellStyle name="Normal 334 2 4 2 2" xfId="26975"/>
    <cellStyle name="Normal 334 2 4 3" xfId="26976"/>
    <cellStyle name="Normal 334 2 5" xfId="26977"/>
    <cellStyle name="Normal 334 3" xfId="26978"/>
    <cellStyle name="Normal 334 3 2" xfId="26979"/>
    <cellStyle name="Normal 334 3 2 2" xfId="26980"/>
    <cellStyle name="Normal 334 3 2 2 2" xfId="26981"/>
    <cellStyle name="Normal 334 3 2 3" xfId="26982"/>
    <cellStyle name="Normal 334 3 2 3 2" xfId="26983"/>
    <cellStyle name="Normal 334 3 2 3 2 2" xfId="26984"/>
    <cellStyle name="Normal 334 3 2 3 3" xfId="26985"/>
    <cellStyle name="Normal 334 3 2 4" xfId="26986"/>
    <cellStyle name="Normal 334 3 3" xfId="26987"/>
    <cellStyle name="Normal 334 3 3 2" xfId="26988"/>
    <cellStyle name="Normal 334 3 3 2 2" xfId="26989"/>
    <cellStyle name="Normal 334 3 3 3" xfId="26990"/>
    <cellStyle name="Normal 334 3 4" xfId="26991"/>
    <cellStyle name="Normal 334 3 4 2" xfId="26992"/>
    <cellStyle name="Normal 334 3 4 2 2" xfId="26993"/>
    <cellStyle name="Normal 334 3 4 3" xfId="26994"/>
    <cellStyle name="Normal 334 3 5" xfId="26995"/>
    <cellStyle name="Normal 334 3 5 2" xfId="26996"/>
    <cellStyle name="Normal 334 3 5 2 2" xfId="26997"/>
    <cellStyle name="Normal 334 3 5 3" xfId="26998"/>
    <cellStyle name="Normal 334 3 6" xfId="26999"/>
    <cellStyle name="Normal 334 4" xfId="27000"/>
    <cellStyle name="Normal 334 4 2" xfId="27001"/>
    <cellStyle name="Normal 334 4 2 2" xfId="27002"/>
    <cellStyle name="Normal 334 4 3" xfId="27003"/>
    <cellStyle name="Normal 334 5" xfId="27004"/>
    <cellStyle name="Normal 334 5 2" xfId="27005"/>
    <cellStyle name="Normal 334 5 2 2" xfId="27006"/>
    <cellStyle name="Normal 334 5 3" xfId="27007"/>
    <cellStyle name="Normal 334 6" xfId="27008"/>
    <cellStyle name="Normal 334 6 2" xfId="27009"/>
    <cellStyle name="Normal 334 6 2 2" xfId="27010"/>
    <cellStyle name="Normal 334 6 3" xfId="27011"/>
    <cellStyle name="Normal 334 7" xfId="27012"/>
    <cellStyle name="Normal 335" xfId="27013"/>
    <cellStyle name="Normal 335 2" xfId="27014"/>
    <cellStyle name="Normal 335 2 2" xfId="27015"/>
    <cellStyle name="Normal 335 2 2 2" xfId="27016"/>
    <cellStyle name="Normal 335 2 3" xfId="27017"/>
    <cellStyle name="Normal 335 2 3 2" xfId="27018"/>
    <cellStyle name="Normal 335 2 3 2 2" xfId="27019"/>
    <cellStyle name="Normal 335 2 3 3" xfId="27020"/>
    <cellStyle name="Normal 335 2 4" xfId="27021"/>
    <cellStyle name="Normal 335 2 4 2" xfId="27022"/>
    <cellStyle name="Normal 335 2 4 2 2" xfId="27023"/>
    <cellStyle name="Normal 335 2 4 3" xfId="27024"/>
    <cellStyle name="Normal 335 2 5" xfId="27025"/>
    <cellStyle name="Normal 335 3" xfId="27026"/>
    <cellStyle name="Normal 335 3 2" xfId="27027"/>
    <cellStyle name="Normal 335 3 2 2" xfId="27028"/>
    <cellStyle name="Normal 335 3 2 2 2" xfId="27029"/>
    <cellStyle name="Normal 335 3 2 3" xfId="27030"/>
    <cellStyle name="Normal 335 3 2 3 2" xfId="27031"/>
    <cellStyle name="Normal 335 3 2 3 2 2" xfId="27032"/>
    <cellStyle name="Normal 335 3 2 3 3" xfId="27033"/>
    <cellStyle name="Normal 335 3 2 4" xfId="27034"/>
    <cellStyle name="Normal 335 3 3" xfId="27035"/>
    <cellStyle name="Normal 335 3 3 2" xfId="27036"/>
    <cellStyle name="Normal 335 3 3 2 2" xfId="27037"/>
    <cellStyle name="Normal 335 3 3 3" xfId="27038"/>
    <cellStyle name="Normal 335 3 4" xfId="27039"/>
    <cellStyle name="Normal 335 3 4 2" xfId="27040"/>
    <cellStyle name="Normal 335 3 4 2 2" xfId="27041"/>
    <cellStyle name="Normal 335 3 4 3" xfId="27042"/>
    <cellStyle name="Normal 335 3 5" xfId="27043"/>
    <cellStyle name="Normal 335 3 5 2" xfId="27044"/>
    <cellStyle name="Normal 335 3 5 2 2" xfId="27045"/>
    <cellStyle name="Normal 335 3 5 3" xfId="27046"/>
    <cellStyle name="Normal 335 3 6" xfId="27047"/>
    <cellStyle name="Normal 335 4" xfId="27048"/>
    <cellStyle name="Normal 335 4 2" xfId="27049"/>
    <cellStyle name="Normal 335 4 2 2" xfId="27050"/>
    <cellStyle name="Normal 335 4 3" xfId="27051"/>
    <cellStyle name="Normal 335 5" xfId="27052"/>
    <cellStyle name="Normal 335 5 2" xfId="27053"/>
    <cellStyle name="Normal 335 5 2 2" xfId="27054"/>
    <cellStyle name="Normal 335 5 3" xfId="27055"/>
    <cellStyle name="Normal 335 6" xfId="27056"/>
    <cellStyle name="Normal 335 6 2" xfId="27057"/>
    <cellStyle name="Normal 335 6 2 2" xfId="27058"/>
    <cellStyle name="Normal 335 6 3" xfId="27059"/>
    <cellStyle name="Normal 335 7" xfId="27060"/>
    <cellStyle name="Normal 336" xfId="27061"/>
    <cellStyle name="Normal 336 2" xfId="27062"/>
    <cellStyle name="Normal 336 2 2" xfId="27063"/>
    <cellStyle name="Normal 336 2 2 2" xfId="27064"/>
    <cellStyle name="Normal 336 2 3" xfId="27065"/>
    <cellStyle name="Normal 336 2 3 2" xfId="27066"/>
    <cellStyle name="Normal 336 2 3 2 2" xfId="27067"/>
    <cellStyle name="Normal 336 2 3 3" xfId="27068"/>
    <cellStyle name="Normal 336 2 4" xfId="27069"/>
    <cellStyle name="Normal 336 2 4 2" xfId="27070"/>
    <cellStyle name="Normal 336 2 4 2 2" xfId="27071"/>
    <cellStyle name="Normal 336 2 4 3" xfId="27072"/>
    <cellStyle name="Normal 336 2 5" xfId="27073"/>
    <cellStyle name="Normal 336 3" xfId="27074"/>
    <cellStyle name="Normal 336 3 2" xfId="27075"/>
    <cellStyle name="Normal 336 3 2 2" xfId="27076"/>
    <cellStyle name="Normal 336 3 2 2 2" xfId="27077"/>
    <cellStyle name="Normal 336 3 2 3" xfId="27078"/>
    <cellStyle name="Normal 336 3 2 3 2" xfId="27079"/>
    <cellStyle name="Normal 336 3 2 3 2 2" xfId="27080"/>
    <cellStyle name="Normal 336 3 2 3 3" xfId="27081"/>
    <cellStyle name="Normal 336 3 2 4" xfId="27082"/>
    <cellStyle name="Normal 336 3 3" xfId="27083"/>
    <cellStyle name="Normal 336 3 3 2" xfId="27084"/>
    <cellStyle name="Normal 336 3 3 2 2" xfId="27085"/>
    <cellStyle name="Normal 336 3 3 3" xfId="27086"/>
    <cellStyle name="Normal 336 3 4" xfId="27087"/>
    <cellStyle name="Normal 336 3 4 2" xfId="27088"/>
    <cellStyle name="Normal 336 3 4 2 2" xfId="27089"/>
    <cellStyle name="Normal 336 3 4 3" xfId="27090"/>
    <cellStyle name="Normal 336 3 5" xfId="27091"/>
    <cellStyle name="Normal 336 3 5 2" xfId="27092"/>
    <cellStyle name="Normal 336 3 5 2 2" xfId="27093"/>
    <cellStyle name="Normal 336 3 5 3" xfId="27094"/>
    <cellStyle name="Normal 336 3 6" xfId="27095"/>
    <cellStyle name="Normal 336 4" xfId="27096"/>
    <cellStyle name="Normal 336 4 2" xfId="27097"/>
    <cellStyle name="Normal 336 4 2 2" xfId="27098"/>
    <cellStyle name="Normal 336 4 3" xfId="27099"/>
    <cellStyle name="Normal 336 5" xfId="27100"/>
    <cellStyle name="Normal 336 5 2" xfId="27101"/>
    <cellStyle name="Normal 336 5 2 2" xfId="27102"/>
    <cellStyle name="Normal 336 5 3" xfId="27103"/>
    <cellStyle name="Normal 336 6" xfId="27104"/>
    <cellStyle name="Normal 336 6 2" xfId="27105"/>
    <cellStyle name="Normal 336 6 2 2" xfId="27106"/>
    <cellStyle name="Normal 336 6 3" xfId="27107"/>
    <cellStyle name="Normal 336 7" xfId="27108"/>
    <cellStyle name="Normal 337" xfId="27109"/>
    <cellStyle name="Normal 337 2" xfId="27110"/>
    <cellStyle name="Normal 337 2 2" xfId="27111"/>
    <cellStyle name="Normal 337 2 2 2" xfId="27112"/>
    <cellStyle name="Normal 337 2 3" xfId="27113"/>
    <cellStyle name="Normal 337 2 3 2" xfId="27114"/>
    <cellStyle name="Normal 337 2 3 2 2" xfId="27115"/>
    <cellStyle name="Normal 337 2 3 3" xfId="27116"/>
    <cellStyle name="Normal 337 2 4" xfId="27117"/>
    <cellStyle name="Normal 337 2 4 2" xfId="27118"/>
    <cellStyle name="Normal 337 2 4 2 2" xfId="27119"/>
    <cellStyle name="Normal 337 2 4 3" xfId="27120"/>
    <cellStyle name="Normal 337 2 5" xfId="27121"/>
    <cellStyle name="Normal 337 3" xfId="27122"/>
    <cellStyle name="Normal 337 3 2" xfId="27123"/>
    <cellStyle name="Normal 337 3 2 2" xfId="27124"/>
    <cellStyle name="Normal 337 3 2 2 2" xfId="27125"/>
    <cellStyle name="Normal 337 3 2 3" xfId="27126"/>
    <cellStyle name="Normal 337 3 2 3 2" xfId="27127"/>
    <cellStyle name="Normal 337 3 2 3 2 2" xfId="27128"/>
    <cellStyle name="Normal 337 3 2 3 3" xfId="27129"/>
    <cellStyle name="Normal 337 3 2 4" xfId="27130"/>
    <cellStyle name="Normal 337 3 3" xfId="27131"/>
    <cellStyle name="Normal 337 3 3 2" xfId="27132"/>
    <cellStyle name="Normal 337 3 3 2 2" xfId="27133"/>
    <cellStyle name="Normal 337 3 3 3" xfId="27134"/>
    <cellStyle name="Normal 337 3 4" xfId="27135"/>
    <cellStyle name="Normal 337 3 4 2" xfId="27136"/>
    <cellStyle name="Normal 337 3 4 2 2" xfId="27137"/>
    <cellStyle name="Normal 337 3 4 3" xfId="27138"/>
    <cellStyle name="Normal 337 3 5" xfId="27139"/>
    <cellStyle name="Normal 337 3 5 2" xfId="27140"/>
    <cellStyle name="Normal 337 3 5 2 2" xfId="27141"/>
    <cellStyle name="Normal 337 3 5 3" xfId="27142"/>
    <cellStyle name="Normal 337 3 6" xfId="27143"/>
    <cellStyle name="Normal 337 4" xfId="27144"/>
    <cellStyle name="Normal 337 4 2" xfId="27145"/>
    <cellStyle name="Normal 337 4 2 2" xfId="27146"/>
    <cellStyle name="Normal 337 4 3" xfId="27147"/>
    <cellStyle name="Normal 337 5" xfId="27148"/>
    <cellStyle name="Normal 337 5 2" xfId="27149"/>
    <cellStyle name="Normal 337 5 2 2" xfId="27150"/>
    <cellStyle name="Normal 337 5 3" xfId="27151"/>
    <cellStyle name="Normal 337 6" xfId="27152"/>
    <cellStyle name="Normal 337 6 2" xfId="27153"/>
    <cellStyle name="Normal 337 6 2 2" xfId="27154"/>
    <cellStyle name="Normal 337 6 3" xfId="27155"/>
    <cellStyle name="Normal 337 7" xfId="27156"/>
    <cellStyle name="Normal 338" xfId="27157"/>
    <cellStyle name="Normal 338 2" xfId="27158"/>
    <cellStyle name="Normal 338 2 2" xfId="27159"/>
    <cellStyle name="Normal 338 2 2 2" xfId="27160"/>
    <cellStyle name="Normal 338 2 3" xfId="27161"/>
    <cellStyle name="Normal 338 2 3 2" xfId="27162"/>
    <cellStyle name="Normal 338 2 3 2 2" xfId="27163"/>
    <cellStyle name="Normal 338 2 3 3" xfId="27164"/>
    <cellStyle name="Normal 338 2 4" xfId="27165"/>
    <cellStyle name="Normal 338 2 4 2" xfId="27166"/>
    <cellStyle name="Normal 338 2 4 2 2" xfId="27167"/>
    <cellStyle name="Normal 338 2 4 3" xfId="27168"/>
    <cellStyle name="Normal 338 2 5" xfId="27169"/>
    <cellStyle name="Normal 338 3" xfId="27170"/>
    <cellStyle name="Normal 338 3 2" xfId="27171"/>
    <cellStyle name="Normal 338 3 2 2" xfId="27172"/>
    <cellStyle name="Normal 338 3 2 2 2" xfId="27173"/>
    <cellStyle name="Normal 338 3 2 3" xfId="27174"/>
    <cellStyle name="Normal 338 3 2 3 2" xfId="27175"/>
    <cellStyle name="Normal 338 3 2 3 2 2" xfId="27176"/>
    <cellStyle name="Normal 338 3 2 3 3" xfId="27177"/>
    <cellStyle name="Normal 338 3 2 4" xfId="27178"/>
    <cellStyle name="Normal 338 3 3" xfId="27179"/>
    <cellStyle name="Normal 338 3 3 2" xfId="27180"/>
    <cellStyle name="Normal 338 3 3 2 2" xfId="27181"/>
    <cellStyle name="Normal 338 3 3 3" xfId="27182"/>
    <cellStyle name="Normal 338 3 4" xfId="27183"/>
    <cellStyle name="Normal 338 3 4 2" xfId="27184"/>
    <cellStyle name="Normal 338 3 4 2 2" xfId="27185"/>
    <cellStyle name="Normal 338 3 4 3" xfId="27186"/>
    <cellStyle name="Normal 338 3 5" xfId="27187"/>
    <cellStyle name="Normal 338 3 5 2" xfId="27188"/>
    <cellStyle name="Normal 338 3 5 2 2" xfId="27189"/>
    <cellStyle name="Normal 338 3 5 3" xfId="27190"/>
    <cellStyle name="Normal 338 3 6" xfId="27191"/>
    <cellStyle name="Normal 338 4" xfId="27192"/>
    <cellStyle name="Normal 338 4 2" xfId="27193"/>
    <cellStyle name="Normal 338 4 2 2" xfId="27194"/>
    <cellStyle name="Normal 338 4 3" xfId="27195"/>
    <cellStyle name="Normal 338 5" xfId="27196"/>
    <cellStyle name="Normal 338 5 2" xfId="27197"/>
    <cellStyle name="Normal 338 5 2 2" xfId="27198"/>
    <cellStyle name="Normal 338 5 3" xfId="27199"/>
    <cellStyle name="Normal 338 6" xfId="27200"/>
    <cellStyle name="Normal 338 6 2" xfId="27201"/>
    <cellStyle name="Normal 338 6 2 2" xfId="27202"/>
    <cellStyle name="Normal 338 6 3" xfId="27203"/>
    <cellStyle name="Normal 338 7" xfId="27204"/>
    <cellStyle name="Normal 339" xfId="27205"/>
    <cellStyle name="Normal 339 2" xfId="27206"/>
    <cellStyle name="Normal 339 2 2" xfId="27207"/>
    <cellStyle name="Normal 339 2 2 2" xfId="27208"/>
    <cellStyle name="Normal 339 2 3" xfId="27209"/>
    <cellStyle name="Normal 339 2 3 2" xfId="27210"/>
    <cellStyle name="Normal 339 2 3 2 2" xfId="27211"/>
    <cellStyle name="Normal 339 2 3 3" xfId="27212"/>
    <cellStyle name="Normal 339 2 4" xfId="27213"/>
    <cellStyle name="Normal 339 2 4 2" xfId="27214"/>
    <cellStyle name="Normal 339 2 4 2 2" xfId="27215"/>
    <cellStyle name="Normal 339 2 4 3" xfId="27216"/>
    <cellStyle name="Normal 339 2 5" xfId="27217"/>
    <cellStyle name="Normal 339 3" xfId="27218"/>
    <cellStyle name="Normal 339 3 2" xfId="27219"/>
    <cellStyle name="Normal 339 3 2 2" xfId="27220"/>
    <cellStyle name="Normal 339 3 2 2 2" xfId="27221"/>
    <cellStyle name="Normal 339 3 2 3" xfId="27222"/>
    <cellStyle name="Normal 339 3 2 3 2" xfId="27223"/>
    <cellStyle name="Normal 339 3 2 3 2 2" xfId="27224"/>
    <cellStyle name="Normal 339 3 2 3 3" xfId="27225"/>
    <cellStyle name="Normal 339 3 2 4" xfId="27226"/>
    <cellStyle name="Normal 339 3 3" xfId="27227"/>
    <cellStyle name="Normal 339 3 3 2" xfId="27228"/>
    <cellStyle name="Normal 339 3 3 2 2" xfId="27229"/>
    <cellStyle name="Normal 339 3 3 3" xfId="27230"/>
    <cellStyle name="Normal 339 3 4" xfId="27231"/>
    <cellStyle name="Normal 339 3 4 2" xfId="27232"/>
    <cellStyle name="Normal 339 3 4 2 2" xfId="27233"/>
    <cellStyle name="Normal 339 3 4 3" xfId="27234"/>
    <cellStyle name="Normal 339 3 5" xfId="27235"/>
    <cellStyle name="Normal 339 3 5 2" xfId="27236"/>
    <cellStyle name="Normal 339 3 5 2 2" xfId="27237"/>
    <cellStyle name="Normal 339 3 5 3" xfId="27238"/>
    <cellStyle name="Normal 339 3 6" xfId="27239"/>
    <cellStyle name="Normal 339 4" xfId="27240"/>
    <cellStyle name="Normal 339 4 2" xfId="27241"/>
    <cellStyle name="Normal 339 4 2 2" xfId="27242"/>
    <cellStyle name="Normal 339 4 3" xfId="27243"/>
    <cellStyle name="Normal 339 5" xfId="27244"/>
    <cellStyle name="Normal 339 5 2" xfId="27245"/>
    <cellStyle name="Normal 339 5 2 2" xfId="27246"/>
    <cellStyle name="Normal 339 5 3" xfId="27247"/>
    <cellStyle name="Normal 339 6" xfId="27248"/>
    <cellStyle name="Normal 339 6 2" xfId="27249"/>
    <cellStyle name="Normal 339 6 2 2" xfId="27250"/>
    <cellStyle name="Normal 339 6 3" xfId="27251"/>
    <cellStyle name="Normal 339 7" xfId="27252"/>
    <cellStyle name="Normal 34" xfId="27253"/>
    <cellStyle name="Normal 34 2" xfId="27254"/>
    <cellStyle name="Normal 34 2 2" xfId="27255"/>
    <cellStyle name="Normal 34 2 2 2" xfId="27256"/>
    <cellStyle name="Normal 34 2 2 2 2" xfId="27257"/>
    <cellStyle name="Normal 34 2 2 3" xfId="27258"/>
    <cellStyle name="Normal 34 2 2 3 2" xfId="27259"/>
    <cellStyle name="Normal 34 2 2 3 2 2" xfId="27260"/>
    <cellStyle name="Normal 34 2 2 3 3" xfId="27261"/>
    <cellStyle name="Normal 34 2 2 4" xfId="27262"/>
    <cellStyle name="Normal 34 2 2 4 2" xfId="27263"/>
    <cellStyle name="Normal 34 2 2 4 2 2" xfId="27264"/>
    <cellStyle name="Normal 34 2 2 4 3" xfId="27265"/>
    <cellStyle name="Normal 34 2 2 5" xfId="27266"/>
    <cellStyle name="Normal 34 2 3" xfId="27267"/>
    <cellStyle name="Normal 34 2 3 2" xfId="27268"/>
    <cellStyle name="Normal 34 2 3 2 2" xfId="27269"/>
    <cellStyle name="Normal 34 2 3 3" xfId="27270"/>
    <cellStyle name="Normal 34 2 4" xfId="27271"/>
    <cellStyle name="Normal 34 2 4 2" xfId="27272"/>
    <cellStyle name="Normal 34 2 4 2 2" xfId="27273"/>
    <cellStyle name="Normal 34 2 4 3" xfId="27274"/>
    <cellStyle name="Normal 34 2 5" xfId="27275"/>
    <cellStyle name="Normal 34 2 5 2" xfId="27276"/>
    <cellStyle name="Normal 34 2 5 2 2" xfId="27277"/>
    <cellStyle name="Normal 34 2 5 3" xfId="27278"/>
    <cellStyle name="Normal 34 2 6" xfId="27279"/>
    <cellStyle name="Normal 34 3" xfId="27280"/>
    <cellStyle name="Normal 34 3 2" xfId="27281"/>
    <cellStyle name="Normal 34 3 2 2" xfId="27282"/>
    <cellStyle name="Normal 34 3 3" xfId="27283"/>
    <cellStyle name="Normal 34 3 3 2" xfId="27284"/>
    <cellStyle name="Normal 34 3 3 2 2" xfId="27285"/>
    <cellStyle name="Normal 34 3 3 3" xfId="27286"/>
    <cellStyle name="Normal 34 3 4" xfId="27287"/>
    <cellStyle name="Normal 34 3 4 2" xfId="27288"/>
    <cellStyle name="Normal 34 3 4 2 2" xfId="27289"/>
    <cellStyle name="Normal 34 3 4 3" xfId="27290"/>
    <cellStyle name="Normal 34 3 5" xfId="27291"/>
    <cellStyle name="Normal 34 4" xfId="27292"/>
    <cellStyle name="Normal 34 4 2" xfId="27293"/>
    <cellStyle name="Normal 34 4 2 2" xfId="27294"/>
    <cellStyle name="Normal 34 4 3" xfId="27295"/>
    <cellStyle name="Normal 34 5" xfId="27296"/>
    <cellStyle name="Normal 34 5 2" xfId="27297"/>
    <cellStyle name="Normal 34 5 2 2" xfId="27298"/>
    <cellStyle name="Normal 34 5 3" xfId="27299"/>
    <cellStyle name="Normal 34 6" xfId="27300"/>
    <cellStyle name="Normal 34 6 2" xfId="27301"/>
    <cellStyle name="Normal 34 6 2 2" xfId="27302"/>
    <cellStyle name="Normal 34 6 3" xfId="27303"/>
    <cellStyle name="Normal 34 7" xfId="27304"/>
    <cellStyle name="Normal 340" xfId="27305"/>
    <cellStyle name="Normal 340 2" xfId="27306"/>
    <cellStyle name="Normal 340 2 2" xfId="27307"/>
    <cellStyle name="Normal 340 2 2 2" xfId="27308"/>
    <cellStyle name="Normal 340 2 3" xfId="27309"/>
    <cellStyle name="Normal 340 2 3 2" xfId="27310"/>
    <cellStyle name="Normal 340 2 3 2 2" xfId="27311"/>
    <cellStyle name="Normal 340 2 3 3" xfId="27312"/>
    <cellStyle name="Normal 340 2 4" xfId="27313"/>
    <cellStyle name="Normal 340 2 4 2" xfId="27314"/>
    <cellStyle name="Normal 340 2 4 2 2" xfId="27315"/>
    <cellStyle name="Normal 340 2 4 3" xfId="27316"/>
    <cellStyle name="Normal 340 2 5" xfId="27317"/>
    <cellStyle name="Normal 340 3" xfId="27318"/>
    <cellStyle name="Normal 340 3 2" xfId="27319"/>
    <cellStyle name="Normal 340 3 2 2" xfId="27320"/>
    <cellStyle name="Normal 340 3 2 2 2" xfId="27321"/>
    <cellStyle name="Normal 340 3 2 3" xfId="27322"/>
    <cellStyle name="Normal 340 3 2 3 2" xfId="27323"/>
    <cellStyle name="Normal 340 3 2 3 2 2" xfId="27324"/>
    <cellStyle name="Normal 340 3 2 3 3" xfId="27325"/>
    <cellStyle name="Normal 340 3 2 4" xfId="27326"/>
    <cellStyle name="Normal 340 3 3" xfId="27327"/>
    <cellStyle name="Normal 340 3 3 2" xfId="27328"/>
    <cellStyle name="Normal 340 3 3 2 2" xfId="27329"/>
    <cellStyle name="Normal 340 3 3 3" xfId="27330"/>
    <cellStyle name="Normal 340 3 4" xfId="27331"/>
    <cellStyle name="Normal 340 3 4 2" xfId="27332"/>
    <cellStyle name="Normal 340 3 4 2 2" xfId="27333"/>
    <cellStyle name="Normal 340 3 4 3" xfId="27334"/>
    <cellStyle name="Normal 340 3 5" xfId="27335"/>
    <cellStyle name="Normal 340 3 5 2" xfId="27336"/>
    <cellStyle name="Normal 340 3 5 2 2" xfId="27337"/>
    <cellStyle name="Normal 340 3 5 3" xfId="27338"/>
    <cellStyle name="Normal 340 3 6" xfId="27339"/>
    <cellStyle name="Normal 340 4" xfId="27340"/>
    <cellStyle name="Normal 340 4 2" xfId="27341"/>
    <cellStyle name="Normal 340 4 2 2" xfId="27342"/>
    <cellStyle name="Normal 340 4 3" xfId="27343"/>
    <cellStyle name="Normal 340 5" xfId="27344"/>
    <cellStyle name="Normal 340 5 2" xfId="27345"/>
    <cellStyle name="Normal 340 5 2 2" xfId="27346"/>
    <cellStyle name="Normal 340 5 3" xfId="27347"/>
    <cellStyle name="Normal 340 6" xfId="27348"/>
    <cellStyle name="Normal 340 6 2" xfId="27349"/>
    <cellStyle name="Normal 340 6 2 2" xfId="27350"/>
    <cellStyle name="Normal 340 6 3" xfId="27351"/>
    <cellStyle name="Normal 340 7" xfId="27352"/>
    <cellStyle name="Normal 341" xfId="27353"/>
    <cellStyle name="Normal 341 2" xfId="27354"/>
    <cellStyle name="Normal 341 2 2" xfId="27355"/>
    <cellStyle name="Normal 341 2 2 2" xfId="27356"/>
    <cellStyle name="Normal 341 2 3" xfId="27357"/>
    <cellStyle name="Normal 341 2 3 2" xfId="27358"/>
    <cellStyle name="Normal 341 2 3 2 2" xfId="27359"/>
    <cellStyle name="Normal 341 2 3 3" xfId="27360"/>
    <cellStyle name="Normal 341 2 4" xfId="27361"/>
    <cellStyle name="Normal 341 2 4 2" xfId="27362"/>
    <cellStyle name="Normal 341 2 4 2 2" xfId="27363"/>
    <cellStyle name="Normal 341 2 4 3" xfId="27364"/>
    <cellStyle name="Normal 341 2 5" xfId="27365"/>
    <cellStyle name="Normal 341 3" xfId="27366"/>
    <cellStyle name="Normal 341 3 2" xfId="27367"/>
    <cellStyle name="Normal 341 3 2 2" xfId="27368"/>
    <cellStyle name="Normal 341 3 2 2 2" xfId="27369"/>
    <cellStyle name="Normal 341 3 2 3" xfId="27370"/>
    <cellStyle name="Normal 341 3 2 3 2" xfId="27371"/>
    <cellStyle name="Normal 341 3 2 3 2 2" xfId="27372"/>
    <cellStyle name="Normal 341 3 2 3 3" xfId="27373"/>
    <cellStyle name="Normal 341 3 2 4" xfId="27374"/>
    <cellStyle name="Normal 341 3 3" xfId="27375"/>
    <cellStyle name="Normal 341 3 3 2" xfId="27376"/>
    <cellStyle name="Normal 341 3 3 2 2" xfId="27377"/>
    <cellStyle name="Normal 341 3 3 3" xfId="27378"/>
    <cellStyle name="Normal 341 3 4" xfId="27379"/>
    <cellStyle name="Normal 341 3 4 2" xfId="27380"/>
    <cellStyle name="Normal 341 3 4 2 2" xfId="27381"/>
    <cellStyle name="Normal 341 3 4 3" xfId="27382"/>
    <cellStyle name="Normal 341 3 5" xfId="27383"/>
    <cellStyle name="Normal 341 3 5 2" xfId="27384"/>
    <cellStyle name="Normal 341 3 5 2 2" xfId="27385"/>
    <cellStyle name="Normal 341 3 5 3" xfId="27386"/>
    <cellStyle name="Normal 341 3 6" xfId="27387"/>
    <cellStyle name="Normal 341 4" xfId="27388"/>
    <cellStyle name="Normal 341 4 2" xfId="27389"/>
    <cellStyle name="Normal 341 4 2 2" xfId="27390"/>
    <cellStyle name="Normal 341 4 3" xfId="27391"/>
    <cellStyle name="Normal 341 5" xfId="27392"/>
    <cellStyle name="Normal 341 5 2" xfId="27393"/>
    <cellStyle name="Normal 341 5 2 2" xfId="27394"/>
    <cellStyle name="Normal 341 5 3" xfId="27395"/>
    <cellStyle name="Normal 341 6" xfId="27396"/>
    <cellStyle name="Normal 341 6 2" xfId="27397"/>
    <cellStyle name="Normal 341 6 2 2" xfId="27398"/>
    <cellStyle name="Normal 341 6 3" xfId="27399"/>
    <cellStyle name="Normal 341 7" xfId="27400"/>
    <cellStyle name="Normal 342" xfId="27401"/>
    <cellStyle name="Normal 342 2" xfId="27402"/>
    <cellStyle name="Normal 342 2 2" xfId="27403"/>
    <cellStyle name="Normal 342 2 2 2" xfId="27404"/>
    <cellStyle name="Normal 342 2 3" xfId="27405"/>
    <cellStyle name="Normal 342 2 3 2" xfId="27406"/>
    <cellStyle name="Normal 342 2 3 2 2" xfId="27407"/>
    <cellStyle name="Normal 342 2 3 3" xfId="27408"/>
    <cellStyle name="Normal 342 2 4" xfId="27409"/>
    <cellStyle name="Normal 342 2 4 2" xfId="27410"/>
    <cellStyle name="Normal 342 2 4 2 2" xfId="27411"/>
    <cellStyle name="Normal 342 2 4 3" xfId="27412"/>
    <cellStyle name="Normal 342 2 5" xfId="27413"/>
    <cellStyle name="Normal 342 3" xfId="27414"/>
    <cellStyle name="Normal 342 3 2" xfId="27415"/>
    <cellStyle name="Normal 342 3 2 2" xfId="27416"/>
    <cellStyle name="Normal 342 3 2 2 2" xfId="27417"/>
    <cellStyle name="Normal 342 3 2 3" xfId="27418"/>
    <cellStyle name="Normal 342 3 2 3 2" xfId="27419"/>
    <cellStyle name="Normal 342 3 2 3 2 2" xfId="27420"/>
    <cellStyle name="Normal 342 3 2 3 3" xfId="27421"/>
    <cellStyle name="Normal 342 3 2 4" xfId="27422"/>
    <cellStyle name="Normal 342 3 3" xfId="27423"/>
    <cellStyle name="Normal 342 3 3 2" xfId="27424"/>
    <cellStyle name="Normal 342 3 3 2 2" xfId="27425"/>
    <cellStyle name="Normal 342 3 3 3" xfId="27426"/>
    <cellStyle name="Normal 342 3 4" xfId="27427"/>
    <cellStyle name="Normal 342 3 4 2" xfId="27428"/>
    <cellStyle name="Normal 342 3 4 2 2" xfId="27429"/>
    <cellStyle name="Normal 342 3 4 3" xfId="27430"/>
    <cellStyle name="Normal 342 3 5" xfId="27431"/>
    <cellStyle name="Normal 342 3 5 2" xfId="27432"/>
    <cellStyle name="Normal 342 3 5 2 2" xfId="27433"/>
    <cellStyle name="Normal 342 3 5 3" xfId="27434"/>
    <cellStyle name="Normal 342 3 6" xfId="27435"/>
    <cellStyle name="Normal 342 4" xfId="27436"/>
    <cellStyle name="Normal 342 4 2" xfId="27437"/>
    <cellStyle name="Normal 342 4 2 2" xfId="27438"/>
    <cellStyle name="Normal 342 4 3" xfId="27439"/>
    <cellStyle name="Normal 342 5" xfId="27440"/>
    <cellStyle name="Normal 342 5 2" xfId="27441"/>
    <cellStyle name="Normal 342 5 2 2" xfId="27442"/>
    <cellStyle name="Normal 342 5 3" xfId="27443"/>
    <cellStyle name="Normal 342 6" xfId="27444"/>
    <cellStyle name="Normal 342 6 2" xfId="27445"/>
    <cellStyle name="Normal 342 6 2 2" xfId="27446"/>
    <cellStyle name="Normal 342 6 3" xfId="27447"/>
    <cellStyle name="Normal 342 7" xfId="27448"/>
    <cellStyle name="Normal 343" xfId="27449"/>
    <cellStyle name="Normal 343 2" xfId="27450"/>
    <cellStyle name="Normal 343 2 2" xfId="27451"/>
    <cellStyle name="Normal 343 2 2 2" xfId="27452"/>
    <cellStyle name="Normal 343 2 3" xfId="27453"/>
    <cellStyle name="Normal 343 2 3 2" xfId="27454"/>
    <cellStyle name="Normal 343 2 3 2 2" xfId="27455"/>
    <cellStyle name="Normal 343 2 3 3" xfId="27456"/>
    <cellStyle name="Normal 343 2 4" xfId="27457"/>
    <cellStyle name="Normal 343 2 4 2" xfId="27458"/>
    <cellStyle name="Normal 343 2 4 2 2" xfId="27459"/>
    <cellStyle name="Normal 343 2 4 3" xfId="27460"/>
    <cellStyle name="Normal 343 2 5" xfId="27461"/>
    <cellStyle name="Normal 343 3" xfId="27462"/>
    <cellStyle name="Normal 343 3 2" xfId="27463"/>
    <cellStyle name="Normal 343 3 2 2" xfId="27464"/>
    <cellStyle name="Normal 343 3 2 2 2" xfId="27465"/>
    <cellStyle name="Normal 343 3 2 3" xfId="27466"/>
    <cellStyle name="Normal 343 3 2 3 2" xfId="27467"/>
    <cellStyle name="Normal 343 3 2 3 2 2" xfId="27468"/>
    <cellStyle name="Normal 343 3 2 3 3" xfId="27469"/>
    <cellStyle name="Normal 343 3 2 4" xfId="27470"/>
    <cellStyle name="Normal 343 3 3" xfId="27471"/>
    <cellStyle name="Normal 343 3 3 2" xfId="27472"/>
    <cellStyle name="Normal 343 3 3 2 2" xfId="27473"/>
    <cellStyle name="Normal 343 3 3 3" xfId="27474"/>
    <cellStyle name="Normal 343 3 4" xfId="27475"/>
    <cellStyle name="Normal 343 3 4 2" xfId="27476"/>
    <cellStyle name="Normal 343 3 4 2 2" xfId="27477"/>
    <cellStyle name="Normal 343 3 4 3" xfId="27478"/>
    <cellStyle name="Normal 343 3 5" xfId="27479"/>
    <cellStyle name="Normal 343 3 5 2" xfId="27480"/>
    <cellStyle name="Normal 343 3 5 2 2" xfId="27481"/>
    <cellStyle name="Normal 343 3 5 3" xfId="27482"/>
    <cellStyle name="Normal 343 3 6" xfId="27483"/>
    <cellStyle name="Normal 343 4" xfId="27484"/>
    <cellStyle name="Normal 343 4 2" xfId="27485"/>
    <cellStyle name="Normal 343 4 2 2" xfId="27486"/>
    <cellStyle name="Normal 343 4 3" xfId="27487"/>
    <cellStyle name="Normal 343 5" xfId="27488"/>
    <cellStyle name="Normal 343 5 2" xfId="27489"/>
    <cellStyle name="Normal 343 5 2 2" xfId="27490"/>
    <cellStyle name="Normal 343 5 3" xfId="27491"/>
    <cellStyle name="Normal 343 6" xfId="27492"/>
    <cellStyle name="Normal 343 6 2" xfId="27493"/>
    <cellStyle name="Normal 343 6 2 2" xfId="27494"/>
    <cellStyle name="Normal 343 6 3" xfId="27495"/>
    <cellStyle name="Normal 343 7" xfId="27496"/>
    <cellStyle name="Normal 344" xfId="27497"/>
    <cellStyle name="Normal 344 2" xfId="27498"/>
    <cellStyle name="Normal 344 2 2" xfId="27499"/>
    <cellStyle name="Normal 344 2 2 2" xfId="27500"/>
    <cellStyle name="Normal 344 2 3" xfId="27501"/>
    <cellStyle name="Normal 344 2 3 2" xfId="27502"/>
    <cellStyle name="Normal 344 2 3 2 2" xfId="27503"/>
    <cellStyle name="Normal 344 2 3 3" xfId="27504"/>
    <cellStyle name="Normal 344 2 4" xfId="27505"/>
    <cellStyle name="Normal 344 2 4 2" xfId="27506"/>
    <cellStyle name="Normal 344 2 4 2 2" xfId="27507"/>
    <cellStyle name="Normal 344 2 4 3" xfId="27508"/>
    <cellStyle name="Normal 344 2 5" xfId="27509"/>
    <cellStyle name="Normal 344 3" xfId="27510"/>
    <cellStyle name="Normal 344 3 2" xfId="27511"/>
    <cellStyle name="Normal 344 3 2 2" xfId="27512"/>
    <cellStyle name="Normal 344 3 2 2 2" xfId="27513"/>
    <cellStyle name="Normal 344 3 2 3" xfId="27514"/>
    <cellStyle name="Normal 344 3 2 3 2" xfId="27515"/>
    <cellStyle name="Normal 344 3 2 3 2 2" xfId="27516"/>
    <cellStyle name="Normal 344 3 2 3 3" xfId="27517"/>
    <cellStyle name="Normal 344 3 2 4" xfId="27518"/>
    <cellStyle name="Normal 344 3 3" xfId="27519"/>
    <cellStyle name="Normal 344 3 3 2" xfId="27520"/>
    <cellStyle name="Normal 344 3 3 2 2" xfId="27521"/>
    <cellStyle name="Normal 344 3 3 3" xfId="27522"/>
    <cellStyle name="Normal 344 3 4" xfId="27523"/>
    <cellStyle name="Normal 344 3 4 2" xfId="27524"/>
    <cellStyle name="Normal 344 3 4 2 2" xfId="27525"/>
    <cellStyle name="Normal 344 3 4 3" xfId="27526"/>
    <cellStyle name="Normal 344 3 5" xfId="27527"/>
    <cellStyle name="Normal 344 3 5 2" xfId="27528"/>
    <cellStyle name="Normal 344 3 5 2 2" xfId="27529"/>
    <cellStyle name="Normal 344 3 5 3" xfId="27530"/>
    <cellStyle name="Normal 344 3 6" xfId="27531"/>
    <cellStyle name="Normal 344 4" xfId="27532"/>
    <cellStyle name="Normal 344 4 2" xfId="27533"/>
    <cellStyle name="Normal 344 4 2 2" xfId="27534"/>
    <cellStyle name="Normal 344 4 3" xfId="27535"/>
    <cellStyle name="Normal 344 5" xfId="27536"/>
    <cellStyle name="Normal 344 5 2" xfId="27537"/>
    <cellStyle name="Normal 344 5 2 2" xfId="27538"/>
    <cellStyle name="Normal 344 5 3" xfId="27539"/>
    <cellStyle name="Normal 344 6" xfId="27540"/>
    <cellStyle name="Normal 344 6 2" xfId="27541"/>
    <cellStyle name="Normal 344 6 2 2" xfId="27542"/>
    <cellStyle name="Normal 344 6 3" xfId="27543"/>
    <cellStyle name="Normal 344 7" xfId="27544"/>
    <cellStyle name="Normal 345" xfId="27545"/>
    <cellStyle name="Normal 345 2" xfId="27546"/>
    <cellStyle name="Normal 345 2 2" xfId="27547"/>
    <cellStyle name="Normal 345 2 2 2" xfId="27548"/>
    <cellStyle name="Normal 345 2 3" xfId="27549"/>
    <cellStyle name="Normal 345 2 3 2" xfId="27550"/>
    <cellStyle name="Normal 345 2 3 2 2" xfId="27551"/>
    <cellStyle name="Normal 345 2 3 3" xfId="27552"/>
    <cellStyle name="Normal 345 2 4" xfId="27553"/>
    <cellStyle name="Normal 345 2 4 2" xfId="27554"/>
    <cellStyle name="Normal 345 2 4 2 2" xfId="27555"/>
    <cellStyle name="Normal 345 2 4 3" xfId="27556"/>
    <cellStyle name="Normal 345 2 5" xfId="27557"/>
    <cellStyle name="Normal 345 3" xfId="27558"/>
    <cellStyle name="Normal 345 3 2" xfId="27559"/>
    <cellStyle name="Normal 345 3 2 2" xfId="27560"/>
    <cellStyle name="Normal 345 3 2 2 2" xfId="27561"/>
    <cellStyle name="Normal 345 3 2 3" xfId="27562"/>
    <cellStyle name="Normal 345 3 2 3 2" xfId="27563"/>
    <cellStyle name="Normal 345 3 2 3 2 2" xfId="27564"/>
    <cellStyle name="Normal 345 3 2 3 3" xfId="27565"/>
    <cellStyle name="Normal 345 3 2 4" xfId="27566"/>
    <cellStyle name="Normal 345 3 3" xfId="27567"/>
    <cellStyle name="Normal 345 3 3 2" xfId="27568"/>
    <cellStyle name="Normal 345 3 3 2 2" xfId="27569"/>
    <cellStyle name="Normal 345 3 3 3" xfId="27570"/>
    <cellStyle name="Normal 345 3 4" xfId="27571"/>
    <cellStyle name="Normal 345 3 4 2" xfId="27572"/>
    <cellStyle name="Normal 345 3 4 2 2" xfId="27573"/>
    <cellStyle name="Normal 345 3 4 3" xfId="27574"/>
    <cellStyle name="Normal 345 3 5" xfId="27575"/>
    <cellStyle name="Normal 345 3 5 2" xfId="27576"/>
    <cellStyle name="Normal 345 3 5 2 2" xfId="27577"/>
    <cellStyle name="Normal 345 3 5 3" xfId="27578"/>
    <cellStyle name="Normal 345 3 6" xfId="27579"/>
    <cellStyle name="Normal 345 4" xfId="27580"/>
    <cellStyle name="Normal 345 4 2" xfId="27581"/>
    <cellStyle name="Normal 345 4 2 2" xfId="27582"/>
    <cellStyle name="Normal 345 4 3" xfId="27583"/>
    <cellStyle name="Normal 345 5" xfId="27584"/>
    <cellStyle name="Normal 345 5 2" xfId="27585"/>
    <cellStyle name="Normal 345 5 2 2" xfId="27586"/>
    <cellStyle name="Normal 345 5 3" xfId="27587"/>
    <cellStyle name="Normal 345 6" xfId="27588"/>
    <cellStyle name="Normal 345 6 2" xfId="27589"/>
    <cellStyle name="Normal 345 6 2 2" xfId="27590"/>
    <cellStyle name="Normal 345 6 3" xfId="27591"/>
    <cellStyle name="Normal 345 7" xfId="27592"/>
    <cellStyle name="Normal 346" xfId="27593"/>
    <cellStyle name="Normal 346 2" xfId="27594"/>
    <cellStyle name="Normal 346 2 2" xfId="27595"/>
    <cellStyle name="Normal 346 2 2 2" xfId="27596"/>
    <cellStyle name="Normal 346 2 3" xfId="27597"/>
    <cellStyle name="Normal 346 2 3 2" xfId="27598"/>
    <cellStyle name="Normal 346 2 3 2 2" xfId="27599"/>
    <cellStyle name="Normal 346 2 3 3" xfId="27600"/>
    <cellStyle name="Normal 346 2 4" xfId="27601"/>
    <cellStyle name="Normal 346 2 4 2" xfId="27602"/>
    <cellStyle name="Normal 346 2 4 2 2" xfId="27603"/>
    <cellStyle name="Normal 346 2 4 3" xfId="27604"/>
    <cellStyle name="Normal 346 2 5" xfId="27605"/>
    <cellStyle name="Normal 346 3" xfId="27606"/>
    <cellStyle name="Normal 346 3 2" xfId="27607"/>
    <cellStyle name="Normal 346 3 2 2" xfId="27608"/>
    <cellStyle name="Normal 346 3 2 2 2" xfId="27609"/>
    <cellStyle name="Normal 346 3 2 3" xfId="27610"/>
    <cellStyle name="Normal 346 3 2 3 2" xfId="27611"/>
    <cellStyle name="Normal 346 3 2 3 2 2" xfId="27612"/>
    <cellStyle name="Normal 346 3 2 3 3" xfId="27613"/>
    <cellStyle name="Normal 346 3 2 4" xfId="27614"/>
    <cellStyle name="Normal 346 3 3" xfId="27615"/>
    <cellStyle name="Normal 346 3 3 2" xfId="27616"/>
    <cellStyle name="Normal 346 3 3 2 2" xfId="27617"/>
    <cellStyle name="Normal 346 3 3 3" xfId="27618"/>
    <cellStyle name="Normal 346 3 4" xfId="27619"/>
    <cellStyle name="Normal 346 3 4 2" xfId="27620"/>
    <cellStyle name="Normal 346 3 4 2 2" xfId="27621"/>
    <cellStyle name="Normal 346 3 4 3" xfId="27622"/>
    <cellStyle name="Normal 346 3 5" xfId="27623"/>
    <cellStyle name="Normal 346 3 5 2" xfId="27624"/>
    <cellStyle name="Normal 346 3 5 2 2" xfId="27625"/>
    <cellStyle name="Normal 346 3 5 3" xfId="27626"/>
    <cellStyle name="Normal 346 3 6" xfId="27627"/>
    <cellStyle name="Normal 346 4" xfId="27628"/>
    <cellStyle name="Normal 346 4 2" xfId="27629"/>
    <cellStyle name="Normal 346 4 2 2" xfId="27630"/>
    <cellStyle name="Normal 346 4 3" xfId="27631"/>
    <cellStyle name="Normal 346 5" xfId="27632"/>
    <cellStyle name="Normal 346 5 2" xfId="27633"/>
    <cellStyle name="Normal 346 5 2 2" xfId="27634"/>
    <cellStyle name="Normal 346 5 3" xfId="27635"/>
    <cellStyle name="Normal 346 6" xfId="27636"/>
    <cellStyle name="Normal 346 6 2" xfId="27637"/>
    <cellStyle name="Normal 346 6 2 2" xfId="27638"/>
    <cellStyle name="Normal 346 6 3" xfId="27639"/>
    <cellStyle name="Normal 346 7" xfId="27640"/>
    <cellStyle name="Normal 347" xfId="27641"/>
    <cellStyle name="Normal 347 2" xfId="27642"/>
    <cellStyle name="Normal 347 2 2" xfId="27643"/>
    <cellStyle name="Normal 347 2 2 2" xfId="27644"/>
    <cellStyle name="Normal 347 2 3" xfId="27645"/>
    <cellStyle name="Normal 347 2 3 2" xfId="27646"/>
    <cellStyle name="Normal 347 2 3 2 2" xfId="27647"/>
    <cellStyle name="Normal 347 2 3 3" xfId="27648"/>
    <cellStyle name="Normal 347 2 4" xfId="27649"/>
    <cellStyle name="Normal 347 2 4 2" xfId="27650"/>
    <cellStyle name="Normal 347 2 4 2 2" xfId="27651"/>
    <cellStyle name="Normal 347 2 4 3" xfId="27652"/>
    <cellStyle name="Normal 347 2 5" xfId="27653"/>
    <cellStyle name="Normal 347 3" xfId="27654"/>
    <cellStyle name="Normal 347 3 2" xfId="27655"/>
    <cellStyle name="Normal 347 3 2 2" xfId="27656"/>
    <cellStyle name="Normal 347 3 2 2 2" xfId="27657"/>
    <cellStyle name="Normal 347 3 2 3" xfId="27658"/>
    <cellStyle name="Normal 347 3 2 3 2" xfId="27659"/>
    <cellStyle name="Normal 347 3 2 3 2 2" xfId="27660"/>
    <cellStyle name="Normal 347 3 2 3 3" xfId="27661"/>
    <cellStyle name="Normal 347 3 2 4" xfId="27662"/>
    <cellStyle name="Normal 347 3 3" xfId="27663"/>
    <cellStyle name="Normal 347 3 3 2" xfId="27664"/>
    <cellStyle name="Normal 347 3 3 2 2" xfId="27665"/>
    <cellStyle name="Normal 347 3 3 3" xfId="27666"/>
    <cellStyle name="Normal 347 3 4" xfId="27667"/>
    <cellStyle name="Normal 347 3 4 2" xfId="27668"/>
    <cellStyle name="Normal 347 3 4 2 2" xfId="27669"/>
    <cellStyle name="Normal 347 3 4 3" xfId="27670"/>
    <cellStyle name="Normal 347 3 5" xfId="27671"/>
    <cellStyle name="Normal 347 3 5 2" xfId="27672"/>
    <cellStyle name="Normal 347 3 5 2 2" xfId="27673"/>
    <cellStyle name="Normal 347 3 5 3" xfId="27674"/>
    <cellStyle name="Normal 347 3 6" xfId="27675"/>
    <cellStyle name="Normal 347 4" xfId="27676"/>
    <cellStyle name="Normal 347 4 2" xfId="27677"/>
    <cellStyle name="Normal 347 4 2 2" xfId="27678"/>
    <cellStyle name="Normal 347 4 3" xfId="27679"/>
    <cellStyle name="Normal 347 5" xfId="27680"/>
    <cellStyle name="Normal 347 5 2" xfId="27681"/>
    <cellStyle name="Normal 347 5 2 2" xfId="27682"/>
    <cellStyle name="Normal 347 5 3" xfId="27683"/>
    <cellStyle name="Normal 347 6" xfId="27684"/>
    <cellStyle name="Normal 347 6 2" xfId="27685"/>
    <cellStyle name="Normal 347 6 2 2" xfId="27686"/>
    <cellStyle name="Normal 347 6 3" xfId="27687"/>
    <cellStyle name="Normal 347 7" xfId="27688"/>
    <cellStyle name="Normal 348" xfId="27689"/>
    <cellStyle name="Normal 348 2" xfId="27690"/>
    <cellStyle name="Normal 348 2 2" xfId="27691"/>
    <cellStyle name="Normal 348 2 2 2" xfId="27692"/>
    <cellStyle name="Normal 348 2 3" xfId="27693"/>
    <cellStyle name="Normal 348 2 3 2" xfId="27694"/>
    <cellStyle name="Normal 348 2 3 2 2" xfId="27695"/>
    <cellStyle name="Normal 348 2 3 3" xfId="27696"/>
    <cellStyle name="Normal 348 2 4" xfId="27697"/>
    <cellStyle name="Normal 348 2 4 2" xfId="27698"/>
    <cellStyle name="Normal 348 2 4 2 2" xfId="27699"/>
    <cellStyle name="Normal 348 2 4 3" xfId="27700"/>
    <cellStyle name="Normal 348 2 5" xfId="27701"/>
    <cellStyle name="Normal 348 3" xfId="27702"/>
    <cellStyle name="Normal 348 3 2" xfId="27703"/>
    <cellStyle name="Normal 348 3 2 2" xfId="27704"/>
    <cellStyle name="Normal 348 3 2 2 2" xfId="27705"/>
    <cellStyle name="Normal 348 3 2 3" xfId="27706"/>
    <cellStyle name="Normal 348 3 2 3 2" xfId="27707"/>
    <cellStyle name="Normal 348 3 2 3 2 2" xfId="27708"/>
    <cellStyle name="Normal 348 3 2 3 3" xfId="27709"/>
    <cellStyle name="Normal 348 3 2 4" xfId="27710"/>
    <cellStyle name="Normal 348 3 3" xfId="27711"/>
    <cellStyle name="Normal 348 3 3 2" xfId="27712"/>
    <cellStyle name="Normal 348 3 3 2 2" xfId="27713"/>
    <cellStyle name="Normal 348 3 3 3" xfId="27714"/>
    <cellStyle name="Normal 348 3 4" xfId="27715"/>
    <cellStyle name="Normal 348 3 4 2" xfId="27716"/>
    <cellStyle name="Normal 348 3 4 2 2" xfId="27717"/>
    <cellStyle name="Normal 348 3 4 3" xfId="27718"/>
    <cellStyle name="Normal 348 3 5" xfId="27719"/>
    <cellStyle name="Normal 348 3 5 2" xfId="27720"/>
    <cellStyle name="Normal 348 3 5 2 2" xfId="27721"/>
    <cellStyle name="Normal 348 3 5 3" xfId="27722"/>
    <cellStyle name="Normal 348 3 6" xfId="27723"/>
    <cellStyle name="Normal 348 4" xfId="27724"/>
    <cellStyle name="Normal 348 4 2" xfId="27725"/>
    <cellStyle name="Normal 348 4 2 2" xfId="27726"/>
    <cellStyle name="Normal 348 4 3" xfId="27727"/>
    <cellStyle name="Normal 348 5" xfId="27728"/>
    <cellStyle name="Normal 348 5 2" xfId="27729"/>
    <cellStyle name="Normal 348 5 2 2" xfId="27730"/>
    <cellStyle name="Normal 348 5 3" xfId="27731"/>
    <cellStyle name="Normal 348 6" xfId="27732"/>
    <cellStyle name="Normal 348 6 2" xfId="27733"/>
    <cellStyle name="Normal 348 6 2 2" xfId="27734"/>
    <cellStyle name="Normal 348 6 3" xfId="27735"/>
    <cellStyle name="Normal 348 7" xfId="27736"/>
    <cellStyle name="Normal 349" xfId="27737"/>
    <cellStyle name="Normal 349 2" xfId="27738"/>
    <cellStyle name="Normal 349 2 2" xfId="27739"/>
    <cellStyle name="Normal 349 2 2 2" xfId="27740"/>
    <cellStyle name="Normal 349 2 3" xfId="27741"/>
    <cellStyle name="Normal 349 2 3 2" xfId="27742"/>
    <cellStyle name="Normal 349 2 3 2 2" xfId="27743"/>
    <cellStyle name="Normal 349 2 3 3" xfId="27744"/>
    <cellStyle name="Normal 349 2 4" xfId="27745"/>
    <cellStyle name="Normal 349 2 4 2" xfId="27746"/>
    <cellStyle name="Normal 349 2 4 2 2" xfId="27747"/>
    <cellStyle name="Normal 349 2 4 3" xfId="27748"/>
    <cellStyle name="Normal 349 2 5" xfId="27749"/>
    <cellStyle name="Normal 349 3" xfId="27750"/>
    <cellStyle name="Normal 349 3 2" xfId="27751"/>
    <cellStyle name="Normal 349 3 2 2" xfId="27752"/>
    <cellStyle name="Normal 349 3 2 2 2" xfId="27753"/>
    <cellStyle name="Normal 349 3 2 3" xfId="27754"/>
    <cellStyle name="Normal 349 3 2 3 2" xfId="27755"/>
    <cellStyle name="Normal 349 3 2 3 2 2" xfId="27756"/>
    <cellStyle name="Normal 349 3 2 3 3" xfId="27757"/>
    <cellStyle name="Normal 349 3 2 4" xfId="27758"/>
    <cellStyle name="Normal 349 3 3" xfId="27759"/>
    <cellStyle name="Normal 349 3 3 2" xfId="27760"/>
    <cellStyle name="Normal 349 3 3 2 2" xfId="27761"/>
    <cellStyle name="Normal 349 3 3 3" xfId="27762"/>
    <cellStyle name="Normal 349 3 4" xfId="27763"/>
    <cellStyle name="Normal 349 3 4 2" xfId="27764"/>
    <cellStyle name="Normal 349 3 4 2 2" xfId="27765"/>
    <cellStyle name="Normal 349 3 4 3" xfId="27766"/>
    <cellStyle name="Normal 349 3 5" xfId="27767"/>
    <cellStyle name="Normal 349 3 5 2" xfId="27768"/>
    <cellStyle name="Normal 349 3 5 2 2" xfId="27769"/>
    <cellStyle name="Normal 349 3 5 3" xfId="27770"/>
    <cellStyle name="Normal 349 3 6" xfId="27771"/>
    <cellStyle name="Normal 349 4" xfId="27772"/>
    <cellStyle name="Normal 349 4 2" xfId="27773"/>
    <cellStyle name="Normal 349 4 2 2" xfId="27774"/>
    <cellStyle name="Normal 349 4 3" xfId="27775"/>
    <cellStyle name="Normal 349 5" xfId="27776"/>
    <cellStyle name="Normal 349 5 2" xfId="27777"/>
    <cellStyle name="Normal 349 5 2 2" xfId="27778"/>
    <cellStyle name="Normal 349 5 3" xfId="27779"/>
    <cellStyle name="Normal 349 6" xfId="27780"/>
    <cellStyle name="Normal 349 6 2" xfId="27781"/>
    <cellStyle name="Normal 349 6 2 2" xfId="27782"/>
    <cellStyle name="Normal 349 6 3" xfId="27783"/>
    <cellStyle name="Normal 349 7" xfId="27784"/>
    <cellStyle name="Normal 35" xfId="27785"/>
    <cellStyle name="Normal 35 2" xfId="27786"/>
    <cellStyle name="Normal 35 2 2" xfId="27787"/>
    <cellStyle name="Normal 35 2 2 2" xfId="27788"/>
    <cellStyle name="Normal 35 2 2 2 2" xfId="27789"/>
    <cellStyle name="Normal 35 2 2 3" xfId="27790"/>
    <cellStyle name="Normal 35 2 2 3 2" xfId="27791"/>
    <cellStyle name="Normal 35 2 2 3 2 2" xfId="27792"/>
    <cellStyle name="Normal 35 2 2 3 3" xfId="27793"/>
    <cellStyle name="Normal 35 2 2 4" xfId="27794"/>
    <cellStyle name="Normal 35 2 2 4 2" xfId="27795"/>
    <cellStyle name="Normal 35 2 2 4 2 2" xfId="27796"/>
    <cellStyle name="Normal 35 2 2 4 3" xfId="27797"/>
    <cellStyle name="Normal 35 2 2 5" xfId="27798"/>
    <cellStyle name="Normal 35 2 3" xfId="27799"/>
    <cellStyle name="Normal 35 2 3 2" xfId="27800"/>
    <cellStyle name="Normal 35 2 3 2 2" xfId="27801"/>
    <cellStyle name="Normal 35 2 3 3" xfId="27802"/>
    <cellStyle name="Normal 35 2 4" xfId="27803"/>
    <cellStyle name="Normal 35 2 4 2" xfId="27804"/>
    <cellStyle name="Normal 35 2 4 2 2" xfId="27805"/>
    <cellStyle name="Normal 35 2 4 3" xfId="27806"/>
    <cellStyle name="Normal 35 2 5" xfId="27807"/>
    <cellStyle name="Normal 35 2 5 2" xfId="27808"/>
    <cellStyle name="Normal 35 2 5 2 2" xfId="27809"/>
    <cellStyle name="Normal 35 2 5 3" xfId="27810"/>
    <cellStyle name="Normal 35 2 6" xfId="27811"/>
    <cellStyle name="Normal 35 3" xfId="27812"/>
    <cellStyle name="Normal 35 3 2" xfId="27813"/>
    <cellStyle name="Normal 35 3 2 2" xfId="27814"/>
    <cellStyle name="Normal 35 3 3" xfId="27815"/>
    <cellStyle name="Normal 35 3 3 2" xfId="27816"/>
    <cellStyle name="Normal 35 3 3 2 2" xfId="27817"/>
    <cellStyle name="Normal 35 3 3 3" xfId="27818"/>
    <cellStyle name="Normal 35 3 4" xfId="27819"/>
    <cellStyle name="Normal 35 3 4 2" xfId="27820"/>
    <cellStyle name="Normal 35 3 4 2 2" xfId="27821"/>
    <cellStyle name="Normal 35 3 4 3" xfId="27822"/>
    <cellStyle name="Normal 35 3 5" xfId="27823"/>
    <cellStyle name="Normal 35 4" xfId="27824"/>
    <cellStyle name="Normal 35 4 2" xfId="27825"/>
    <cellStyle name="Normal 35 4 2 2" xfId="27826"/>
    <cellStyle name="Normal 35 4 3" xfId="27827"/>
    <cellStyle name="Normal 35 5" xfId="27828"/>
    <cellStyle name="Normal 35 5 2" xfId="27829"/>
    <cellStyle name="Normal 35 5 2 2" xfId="27830"/>
    <cellStyle name="Normal 35 5 3" xfId="27831"/>
    <cellStyle name="Normal 35 6" xfId="27832"/>
    <cellStyle name="Normal 35 6 2" xfId="27833"/>
    <cellStyle name="Normal 35 6 2 2" xfId="27834"/>
    <cellStyle name="Normal 35 6 3" xfId="27835"/>
    <cellStyle name="Normal 35 7" xfId="27836"/>
    <cellStyle name="Normal 350" xfId="27837"/>
    <cellStyle name="Normal 350 2" xfId="27838"/>
    <cellStyle name="Normal 350 2 2" xfId="27839"/>
    <cellStyle name="Normal 350 2 2 2" xfId="27840"/>
    <cellStyle name="Normal 350 2 3" xfId="27841"/>
    <cellStyle name="Normal 350 2 3 2" xfId="27842"/>
    <cellStyle name="Normal 350 2 3 2 2" xfId="27843"/>
    <cellStyle name="Normal 350 2 3 3" xfId="27844"/>
    <cellStyle name="Normal 350 2 4" xfId="27845"/>
    <cellStyle name="Normal 350 2 4 2" xfId="27846"/>
    <cellStyle name="Normal 350 2 4 2 2" xfId="27847"/>
    <cellStyle name="Normal 350 2 4 3" xfId="27848"/>
    <cellStyle name="Normal 350 2 5" xfId="27849"/>
    <cellStyle name="Normal 350 3" xfId="27850"/>
    <cellStyle name="Normal 350 3 2" xfId="27851"/>
    <cellStyle name="Normal 350 3 2 2" xfId="27852"/>
    <cellStyle name="Normal 350 3 2 2 2" xfId="27853"/>
    <cellStyle name="Normal 350 3 2 3" xfId="27854"/>
    <cellStyle name="Normal 350 3 2 3 2" xfId="27855"/>
    <cellStyle name="Normal 350 3 2 3 2 2" xfId="27856"/>
    <cellStyle name="Normal 350 3 2 3 3" xfId="27857"/>
    <cellStyle name="Normal 350 3 2 4" xfId="27858"/>
    <cellStyle name="Normal 350 3 3" xfId="27859"/>
    <cellStyle name="Normal 350 3 3 2" xfId="27860"/>
    <cellStyle name="Normal 350 3 3 2 2" xfId="27861"/>
    <cellStyle name="Normal 350 3 3 3" xfId="27862"/>
    <cellStyle name="Normal 350 3 4" xfId="27863"/>
    <cellStyle name="Normal 350 3 4 2" xfId="27864"/>
    <cellStyle name="Normal 350 3 4 2 2" xfId="27865"/>
    <cellStyle name="Normal 350 3 4 3" xfId="27866"/>
    <cellStyle name="Normal 350 3 5" xfId="27867"/>
    <cellStyle name="Normal 350 3 5 2" xfId="27868"/>
    <cellStyle name="Normal 350 3 5 2 2" xfId="27869"/>
    <cellStyle name="Normal 350 3 5 3" xfId="27870"/>
    <cellStyle name="Normal 350 3 6" xfId="27871"/>
    <cellStyle name="Normal 350 4" xfId="27872"/>
    <cellStyle name="Normal 350 4 2" xfId="27873"/>
    <cellStyle name="Normal 350 4 2 2" xfId="27874"/>
    <cellStyle name="Normal 350 4 3" xfId="27875"/>
    <cellStyle name="Normal 350 5" xfId="27876"/>
    <cellStyle name="Normal 350 5 2" xfId="27877"/>
    <cellStyle name="Normal 350 5 2 2" xfId="27878"/>
    <cellStyle name="Normal 350 5 3" xfId="27879"/>
    <cellStyle name="Normal 350 6" xfId="27880"/>
    <cellStyle name="Normal 350 6 2" xfId="27881"/>
    <cellStyle name="Normal 350 6 2 2" xfId="27882"/>
    <cellStyle name="Normal 350 6 3" xfId="27883"/>
    <cellStyle name="Normal 350 7" xfId="27884"/>
    <cellStyle name="Normal 351" xfId="27885"/>
    <cellStyle name="Normal 351 2" xfId="27886"/>
    <cellStyle name="Normal 351 2 2" xfId="27887"/>
    <cellStyle name="Normal 351 2 2 2" xfId="27888"/>
    <cellStyle name="Normal 351 2 3" xfId="27889"/>
    <cellStyle name="Normal 351 2 3 2" xfId="27890"/>
    <cellStyle name="Normal 351 2 3 2 2" xfId="27891"/>
    <cellStyle name="Normal 351 2 3 3" xfId="27892"/>
    <cellStyle name="Normal 351 2 4" xfId="27893"/>
    <cellStyle name="Normal 351 2 4 2" xfId="27894"/>
    <cellStyle name="Normal 351 2 4 2 2" xfId="27895"/>
    <cellStyle name="Normal 351 2 4 3" xfId="27896"/>
    <cellStyle name="Normal 351 2 5" xfId="27897"/>
    <cellStyle name="Normal 351 3" xfId="27898"/>
    <cellStyle name="Normal 351 3 2" xfId="27899"/>
    <cellStyle name="Normal 351 3 2 2" xfId="27900"/>
    <cellStyle name="Normal 351 3 2 2 2" xfId="27901"/>
    <cellStyle name="Normal 351 3 2 3" xfId="27902"/>
    <cellStyle name="Normal 351 3 2 3 2" xfId="27903"/>
    <cellStyle name="Normal 351 3 2 3 2 2" xfId="27904"/>
    <cellStyle name="Normal 351 3 2 3 3" xfId="27905"/>
    <cellStyle name="Normal 351 3 2 4" xfId="27906"/>
    <cellStyle name="Normal 351 3 3" xfId="27907"/>
    <cellStyle name="Normal 351 3 3 2" xfId="27908"/>
    <cellStyle name="Normal 351 3 3 2 2" xfId="27909"/>
    <cellStyle name="Normal 351 3 3 3" xfId="27910"/>
    <cellStyle name="Normal 351 3 4" xfId="27911"/>
    <cellStyle name="Normal 351 3 4 2" xfId="27912"/>
    <cellStyle name="Normal 351 3 4 2 2" xfId="27913"/>
    <cellStyle name="Normal 351 3 4 3" xfId="27914"/>
    <cellStyle name="Normal 351 3 5" xfId="27915"/>
    <cellStyle name="Normal 351 3 5 2" xfId="27916"/>
    <cellStyle name="Normal 351 3 5 2 2" xfId="27917"/>
    <cellStyle name="Normal 351 3 5 3" xfId="27918"/>
    <cellStyle name="Normal 351 3 6" xfId="27919"/>
    <cellStyle name="Normal 351 4" xfId="27920"/>
    <cellStyle name="Normal 351 4 2" xfId="27921"/>
    <cellStyle name="Normal 351 4 2 2" xfId="27922"/>
    <cellStyle name="Normal 351 4 3" xfId="27923"/>
    <cellStyle name="Normal 351 5" xfId="27924"/>
    <cellStyle name="Normal 351 5 2" xfId="27925"/>
    <cellStyle name="Normal 351 5 2 2" xfId="27926"/>
    <cellStyle name="Normal 351 5 3" xfId="27927"/>
    <cellStyle name="Normal 351 6" xfId="27928"/>
    <cellStyle name="Normal 351 6 2" xfId="27929"/>
    <cellStyle name="Normal 351 6 2 2" xfId="27930"/>
    <cellStyle name="Normal 351 6 3" xfId="27931"/>
    <cellStyle name="Normal 351 7" xfId="27932"/>
    <cellStyle name="Normal 352" xfId="27933"/>
    <cellStyle name="Normal 352 2" xfId="27934"/>
    <cellStyle name="Normal 352 2 2" xfId="27935"/>
    <cellStyle name="Normal 352 2 2 2" xfId="27936"/>
    <cellStyle name="Normal 352 2 3" xfId="27937"/>
    <cellStyle name="Normal 352 2 3 2" xfId="27938"/>
    <cellStyle name="Normal 352 2 3 2 2" xfId="27939"/>
    <cellStyle name="Normal 352 2 3 3" xfId="27940"/>
    <cellStyle name="Normal 352 2 4" xfId="27941"/>
    <cellStyle name="Normal 352 2 4 2" xfId="27942"/>
    <cellStyle name="Normal 352 2 4 2 2" xfId="27943"/>
    <cellStyle name="Normal 352 2 4 3" xfId="27944"/>
    <cellStyle name="Normal 352 2 5" xfId="27945"/>
    <cellStyle name="Normal 352 3" xfId="27946"/>
    <cellStyle name="Normal 352 3 2" xfId="27947"/>
    <cellStyle name="Normal 352 3 2 2" xfId="27948"/>
    <cellStyle name="Normal 352 3 2 2 2" xfId="27949"/>
    <cellStyle name="Normal 352 3 2 3" xfId="27950"/>
    <cellStyle name="Normal 352 3 2 3 2" xfId="27951"/>
    <cellStyle name="Normal 352 3 2 3 2 2" xfId="27952"/>
    <cellStyle name="Normal 352 3 2 3 3" xfId="27953"/>
    <cellStyle name="Normal 352 3 2 4" xfId="27954"/>
    <cellStyle name="Normal 352 3 3" xfId="27955"/>
    <cellStyle name="Normal 352 3 3 2" xfId="27956"/>
    <cellStyle name="Normal 352 3 3 2 2" xfId="27957"/>
    <cellStyle name="Normal 352 3 3 3" xfId="27958"/>
    <cellStyle name="Normal 352 3 4" xfId="27959"/>
    <cellStyle name="Normal 352 3 4 2" xfId="27960"/>
    <cellStyle name="Normal 352 3 4 2 2" xfId="27961"/>
    <cellStyle name="Normal 352 3 4 3" xfId="27962"/>
    <cellStyle name="Normal 352 3 5" xfId="27963"/>
    <cellStyle name="Normal 352 3 5 2" xfId="27964"/>
    <cellStyle name="Normal 352 3 5 2 2" xfId="27965"/>
    <cellStyle name="Normal 352 3 5 3" xfId="27966"/>
    <cellStyle name="Normal 352 3 6" xfId="27967"/>
    <cellStyle name="Normal 352 4" xfId="27968"/>
    <cellStyle name="Normal 352 4 2" xfId="27969"/>
    <cellStyle name="Normal 352 4 2 2" xfId="27970"/>
    <cellStyle name="Normal 352 4 3" xfId="27971"/>
    <cellStyle name="Normal 352 5" xfId="27972"/>
    <cellStyle name="Normal 352 5 2" xfId="27973"/>
    <cellStyle name="Normal 352 5 2 2" xfId="27974"/>
    <cellStyle name="Normal 352 5 3" xfId="27975"/>
    <cellStyle name="Normal 352 6" xfId="27976"/>
    <cellStyle name="Normal 352 6 2" xfId="27977"/>
    <cellStyle name="Normal 352 6 2 2" xfId="27978"/>
    <cellStyle name="Normal 352 6 3" xfId="27979"/>
    <cellStyle name="Normal 352 7" xfId="27980"/>
    <cellStyle name="Normal 353" xfId="27981"/>
    <cellStyle name="Normal 353 2" xfId="27982"/>
    <cellStyle name="Normal 353 2 2" xfId="27983"/>
    <cellStyle name="Normal 353 2 2 2" xfId="27984"/>
    <cellStyle name="Normal 353 2 3" xfId="27985"/>
    <cellStyle name="Normal 353 2 3 2" xfId="27986"/>
    <cellStyle name="Normal 353 2 3 2 2" xfId="27987"/>
    <cellStyle name="Normal 353 2 3 3" xfId="27988"/>
    <cellStyle name="Normal 353 2 4" xfId="27989"/>
    <cellStyle name="Normal 353 2 4 2" xfId="27990"/>
    <cellStyle name="Normal 353 2 4 2 2" xfId="27991"/>
    <cellStyle name="Normal 353 2 4 3" xfId="27992"/>
    <cellStyle name="Normal 353 2 5" xfId="27993"/>
    <cellStyle name="Normal 353 3" xfId="27994"/>
    <cellStyle name="Normal 353 3 2" xfId="27995"/>
    <cellStyle name="Normal 353 3 2 2" xfId="27996"/>
    <cellStyle name="Normal 353 3 2 2 2" xfId="27997"/>
    <cellStyle name="Normal 353 3 2 3" xfId="27998"/>
    <cellStyle name="Normal 353 3 2 3 2" xfId="27999"/>
    <cellStyle name="Normal 353 3 2 3 2 2" xfId="28000"/>
    <cellStyle name="Normal 353 3 2 3 3" xfId="28001"/>
    <cellStyle name="Normal 353 3 2 4" xfId="28002"/>
    <cellStyle name="Normal 353 3 3" xfId="28003"/>
    <cellStyle name="Normal 353 3 3 2" xfId="28004"/>
    <cellStyle name="Normal 353 3 3 2 2" xfId="28005"/>
    <cellStyle name="Normal 353 3 3 3" xfId="28006"/>
    <cellStyle name="Normal 353 3 4" xfId="28007"/>
    <cellStyle name="Normal 353 3 4 2" xfId="28008"/>
    <cellStyle name="Normal 353 3 4 2 2" xfId="28009"/>
    <cellStyle name="Normal 353 3 4 3" xfId="28010"/>
    <cellStyle name="Normal 353 3 5" xfId="28011"/>
    <cellStyle name="Normal 353 3 5 2" xfId="28012"/>
    <cellStyle name="Normal 353 3 5 2 2" xfId="28013"/>
    <cellStyle name="Normal 353 3 5 3" xfId="28014"/>
    <cellStyle name="Normal 353 3 6" xfId="28015"/>
    <cellStyle name="Normal 353 4" xfId="28016"/>
    <cellStyle name="Normal 353 4 2" xfId="28017"/>
    <cellStyle name="Normal 353 4 2 2" xfId="28018"/>
    <cellStyle name="Normal 353 4 3" xfId="28019"/>
    <cellStyle name="Normal 353 5" xfId="28020"/>
    <cellStyle name="Normal 353 5 2" xfId="28021"/>
    <cellStyle name="Normal 353 5 2 2" xfId="28022"/>
    <cellStyle name="Normal 353 5 3" xfId="28023"/>
    <cellStyle name="Normal 353 6" xfId="28024"/>
    <cellStyle name="Normal 353 6 2" xfId="28025"/>
    <cellStyle name="Normal 353 6 2 2" xfId="28026"/>
    <cellStyle name="Normal 353 6 3" xfId="28027"/>
    <cellStyle name="Normal 353 7" xfId="28028"/>
    <cellStyle name="Normal 354" xfId="28029"/>
    <cellStyle name="Normal 354 2" xfId="28030"/>
    <cellStyle name="Normal 354 2 2" xfId="28031"/>
    <cellStyle name="Normal 354 2 2 2" xfId="28032"/>
    <cellStyle name="Normal 354 2 3" xfId="28033"/>
    <cellStyle name="Normal 354 2 3 2" xfId="28034"/>
    <cellStyle name="Normal 354 2 3 2 2" xfId="28035"/>
    <cellStyle name="Normal 354 2 3 3" xfId="28036"/>
    <cellStyle name="Normal 354 2 4" xfId="28037"/>
    <cellStyle name="Normal 354 2 4 2" xfId="28038"/>
    <cellStyle name="Normal 354 2 4 2 2" xfId="28039"/>
    <cellStyle name="Normal 354 2 4 3" xfId="28040"/>
    <cellStyle name="Normal 354 2 5" xfId="28041"/>
    <cellStyle name="Normal 354 3" xfId="28042"/>
    <cellStyle name="Normal 354 3 2" xfId="28043"/>
    <cellStyle name="Normal 354 3 2 2" xfId="28044"/>
    <cellStyle name="Normal 354 3 2 2 2" xfId="28045"/>
    <cellStyle name="Normal 354 3 2 3" xfId="28046"/>
    <cellStyle name="Normal 354 3 2 3 2" xfId="28047"/>
    <cellStyle name="Normal 354 3 2 3 2 2" xfId="28048"/>
    <cellStyle name="Normal 354 3 2 3 3" xfId="28049"/>
    <cellStyle name="Normal 354 3 2 4" xfId="28050"/>
    <cellStyle name="Normal 354 3 3" xfId="28051"/>
    <cellStyle name="Normal 354 3 3 2" xfId="28052"/>
    <cellStyle name="Normal 354 3 3 2 2" xfId="28053"/>
    <cellStyle name="Normal 354 3 3 3" xfId="28054"/>
    <cellStyle name="Normal 354 3 4" xfId="28055"/>
    <cellStyle name="Normal 354 3 4 2" xfId="28056"/>
    <cellStyle name="Normal 354 3 4 2 2" xfId="28057"/>
    <cellStyle name="Normal 354 3 4 3" xfId="28058"/>
    <cellStyle name="Normal 354 3 5" xfId="28059"/>
    <cellStyle name="Normal 354 3 5 2" xfId="28060"/>
    <cellStyle name="Normal 354 3 5 2 2" xfId="28061"/>
    <cellStyle name="Normal 354 3 5 3" xfId="28062"/>
    <cellStyle name="Normal 354 3 6" xfId="28063"/>
    <cellStyle name="Normal 354 4" xfId="28064"/>
    <cellStyle name="Normal 354 4 2" xfId="28065"/>
    <cellStyle name="Normal 354 4 2 2" xfId="28066"/>
    <cellStyle name="Normal 354 4 3" xfId="28067"/>
    <cellStyle name="Normal 354 5" xfId="28068"/>
    <cellStyle name="Normal 354 5 2" xfId="28069"/>
    <cellStyle name="Normal 354 5 2 2" xfId="28070"/>
    <cellStyle name="Normal 354 5 3" xfId="28071"/>
    <cellStyle name="Normal 354 6" xfId="28072"/>
    <cellStyle name="Normal 354 6 2" xfId="28073"/>
    <cellStyle name="Normal 354 6 2 2" xfId="28074"/>
    <cellStyle name="Normal 354 6 3" xfId="28075"/>
    <cellStyle name="Normal 354 7" xfId="28076"/>
    <cellStyle name="Normal 355" xfId="28077"/>
    <cellStyle name="Normal 355 2" xfId="28078"/>
    <cellStyle name="Normal 355 2 2" xfId="28079"/>
    <cellStyle name="Normal 355 2 2 2" xfId="28080"/>
    <cellStyle name="Normal 355 2 3" xfId="28081"/>
    <cellStyle name="Normal 355 2 3 2" xfId="28082"/>
    <cellStyle name="Normal 355 2 3 2 2" xfId="28083"/>
    <cellStyle name="Normal 355 2 3 3" xfId="28084"/>
    <cellStyle name="Normal 355 2 4" xfId="28085"/>
    <cellStyle name="Normal 355 2 4 2" xfId="28086"/>
    <cellStyle name="Normal 355 2 4 2 2" xfId="28087"/>
    <cellStyle name="Normal 355 2 4 3" xfId="28088"/>
    <cellStyle name="Normal 355 2 5" xfId="28089"/>
    <cellStyle name="Normal 355 3" xfId="28090"/>
    <cellStyle name="Normal 355 3 2" xfId="28091"/>
    <cellStyle name="Normal 355 3 2 2" xfId="28092"/>
    <cellStyle name="Normal 355 3 2 2 2" xfId="28093"/>
    <cellStyle name="Normal 355 3 2 3" xfId="28094"/>
    <cellStyle name="Normal 355 3 2 3 2" xfId="28095"/>
    <cellStyle name="Normal 355 3 2 3 2 2" xfId="28096"/>
    <cellStyle name="Normal 355 3 2 3 3" xfId="28097"/>
    <cellStyle name="Normal 355 3 2 4" xfId="28098"/>
    <cellStyle name="Normal 355 3 3" xfId="28099"/>
    <cellStyle name="Normal 355 3 3 2" xfId="28100"/>
    <cellStyle name="Normal 355 3 3 2 2" xfId="28101"/>
    <cellStyle name="Normal 355 3 3 3" xfId="28102"/>
    <cellStyle name="Normal 355 3 4" xfId="28103"/>
    <cellStyle name="Normal 355 3 4 2" xfId="28104"/>
    <cellStyle name="Normal 355 3 4 2 2" xfId="28105"/>
    <cellStyle name="Normal 355 3 4 3" xfId="28106"/>
    <cellStyle name="Normal 355 3 5" xfId="28107"/>
    <cellStyle name="Normal 355 3 5 2" xfId="28108"/>
    <cellStyle name="Normal 355 3 5 2 2" xfId="28109"/>
    <cellStyle name="Normal 355 3 5 3" xfId="28110"/>
    <cellStyle name="Normal 355 3 6" xfId="28111"/>
    <cellStyle name="Normal 355 4" xfId="28112"/>
    <cellStyle name="Normal 355 4 2" xfId="28113"/>
    <cellStyle name="Normal 355 4 2 2" xfId="28114"/>
    <cellStyle name="Normal 355 4 3" xfId="28115"/>
    <cellStyle name="Normal 355 5" xfId="28116"/>
    <cellStyle name="Normal 355 5 2" xfId="28117"/>
    <cellStyle name="Normal 355 5 2 2" xfId="28118"/>
    <cellStyle name="Normal 355 5 3" xfId="28119"/>
    <cellStyle name="Normal 355 6" xfId="28120"/>
    <cellStyle name="Normal 355 6 2" xfId="28121"/>
    <cellStyle name="Normal 355 6 2 2" xfId="28122"/>
    <cellStyle name="Normal 355 6 3" xfId="28123"/>
    <cellStyle name="Normal 355 7" xfId="28124"/>
    <cellStyle name="Normal 356" xfId="28125"/>
    <cellStyle name="Normal 356 2" xfId="28126"/>
    <cellStyle name="Normal 356 2 2" xfId="28127"/>
    <cellStyle name="Normal 356 2 2 2" xfId="28128"/>
    <cellStyle name="Normal 356 2 3" xfId="28129"/>
    <cellStyle name="Normal 356 2 3 2" xfId="28130"/>
    <cellStyle name="Normal 356 2 3 2 2" xfId="28131"/>
    <cellStyle name="Normal 356 2 3 3" xfId="28132"/>
    <cellStyle name="Normal 356 2 4" xfId="28133"/>
    <cellStyle name="Normal 356 2 4 2" xfId="28134"/>
    <cellStyle name="Normal 356 2 4 2 2" xfId="28135"/>
    <cellStyle name="Normal 356 2 4 3" xfId="28136"/>
    <cellStyle name="Normal 356 2 5" xfId="28137"/>
    <cellStyle name="Normal 356 3" xfId="28138"/>
    <cellStyle name="Normal 356 3 2" xfId="28139"/>
    <cellStyle name="Normal 356 3 2 2" xfId="28140"/>
    <cellStyle name="Normal 356 3 2 2 2" xfId="28141"/>
    <cellStyle name="Normal 356 3 2 3" xfId="28142"/>
    <cellStyle name="Normal 356 3 2 3 2" xfId="28143"/>
    <cellStyle name="Normal 356 3 2 3 2 2" xfId="28144"/>
    <cellStyle name="Normal 356 3 2 3 3" xfId="28145"/>
    <cellStyle name="Normal 356 3 2 4" xfId="28146"/>
    <cellStyle name="Normal 356 3 3" xfId="28147"/>
    <cellStyle name="Normal 356 3 3 2" xfId="28148"/>
    <cellStyle name="Normal 356 3 3 2 2" xfId="28149"/>
    <cellStyle name="Normal 356 3 3 3" xfId="28150"/>
    <cellStyle name="Normal 356 3 4" xfId="28151"/>
    <cellStyle name="Normal 356 3 4 2" xfId="28152"/>
    <cellStyle name="Normal 356 3 4 2 2" xfId="28153"/>
    <cellStyle name="Normal 356 3 4 3" xfId="28154"/>
    <cellStyle name="Normal 356 3 5" xfId="28155"/>
    <cellStyle name="Normal 356 3 5 2" xfId="28156"/>
    <cellStyle name="Normal 356 3 5 2 2" xfId="28157"/>
    <cellStyle name="Normal 356 3 5 3" xfId="28158"/>
    <cellStyle name="Normal 356 3 6" xfId="28159"/>
    <cellStyle name="Normal 356 4" xfId="28160"/>
    <cellStyle name="Normal 356 4 2" xfId="28161"/>
    <cellStyle name="Normal 356 4 2 2" xfId="28162"/>
    <cellStyle name="Normal 356 4 3" xfId="28163"/>
    <cellStyle name="Normal 356 5" xfId="28164"/>
    <cellStyle name="Normal 356 5 2" xfId="28165"/>
    <cellStyle name="Normal 356 5 2 2" xfId="28166"/>
    <cellStyle name="Normal 356 5 3" xfId="28167"/>
    <cellStyle name="Normal 356 6" xfId="28168"/>
    <cellStyle name="Normal 356 6 2" xfId="28169"/>
    <cellStyle name="Normal 356 6 2 2" xfId="28170"/>
    <cellStyle name="Normal 356 6 3" xfId="28171"/>
    <cellStyle name="Normal 356 7" xfId="28172"/>
    <cellStyle name="Normal 357" xfId="28173"/>
    <cellStyle name="Normal 357 2" xfId="28174"/>
    <cellStyle name="Normal 357 2 2" xfId="28175"/>
    <cellStyle name="Normal 357 2 2 2" xfId="28176"/>
    <cellStyle name="Normal 357 2 3" xfId="28177"/>
    <cellStyle name="Normal 357 2 3 2" xfId="28178"/>
    <cellStyle name="Normal 357 2 3 2 2" xfId="28179"/>
    <cellStyle name="Normal 357 2 3 3" xfId="28180"/>
    <cellStyle name="Normal 357 2 4" xfId="28181"/>
    <cellStyle name="Normal 357 2 4 2" xfId="28182"/>
    <cellStyle name="Normal 357 2 4 2 2" xfId="28183"/>
    <cellStyle name="Normal 357 2 4 3" xfId="28184"/>
    <cellStyle name="Normal 357 2 5" xfId="28185"/>
    <cellStyle name="Normal 357 3" xfId="28186"/>
    <cellStyle name="Normal 357 3 2" xfId="28187"/>
    <cellStyle name="Normal 357 3 2 2" xfId="28188"/>
    <cellStyle name="Normal 357 3 2 2 2" xfId="28189"/>
    <cellStyle name="Normal 357 3 2 3" xfId="28190"/>
    <cellStyle name="Normal 357 3 2 3 2" xfId="28191"/>
    <cellStyle name="Normal 357 3 2 3 2 2" xfId="28192"/>
    <cellStyle name="Normal 357 3 2 3 3" xfId="28193"/>
    <cellStyle name="Normal 357 3 2 4" xfId="28194"/>
    <cellStyle name="Normal 357 3 3" xfId="28195"/>
    <cellStyle name="Normal 357 3 3 2" xfId="28196"/>
    <cellStyle name="Normal 357 3 3 2 2" xfId="28197"/>
    <cellStyle name="Normal 357 3 3 3" xfId="28198"/>
    <cellStyle name="Normal 357 3 4" xfId="28199"/>
    <cellStyle name="Normal 357 3 4 2" xfId="28200"/>
    <cellStyle name="Normal 357 3 4 2 2" xfId="28201"/>
    <cellStyle name="Normal 357 3 4 3" xfId="28202"/>
    <cellStyle name="Normal 357 3 5" xfId="28203"/>
    <cellStyle name="Normal 357 3 5 2" xfId="28204"/>
    <cellStyle name="Normal 357 3 5 2 2" xfId="28205"/>
    <cellStyle name="Normal 357 3 5 3" xfId="28206"/>
    <cellStyle name="Normal 357 3 6" xfId="28207"/>
    <cellStyle name="Normal 357 4" xfId="28208"/>
    <cellStyle name="Normal 357 4 2" xfId="28209"/>
    <cellStyle name="Normal 357 4 2 2" xfId="28210"/>
    <cellStyle name="Normal 357 4 3" xfId="28211"/>
    <cellStyle name="Normal 357 5" xfId="28212"/>
    <cellStyle name="Normal 357 5 2" xfId="28213"/>
    <cellStyle name="Normal 357 5 2 2" xfId="28214"/>
    <cellStyle name="Normal 357 5 3" xfId="28215"/>
    <cellStyle name="Normal 357 6" xfId="28216"/>
    <cellStyle name="Normal 357 6 2" xfId="28217"/>
    <cellStyle name="Normal 357 6 2 2" xfId="28218"/>
    <cellStyle name="Normal 357 6 3" xfId="28219"/>
    <cellStyle name="Normal 357 7" xfId="28220"/>
    <cellStyle name="Normal 358" xfId="28221"/>
    <cellStyle name="Normal 358 2" xfId="28222"/>
    <cellStyle name="Normal 358 2 2" xfId="28223"/>
    <cellStyle name="Normal 358 2 2 2" xfId="28224"/>
    <cellStyle name="Normal 358 2 3" xfId="28225"/>
    <cellStyle name="Normal 358 2 3 2" xfId="28226"/>
    <cellStyle name="Normal 358 2 3 2 2" xfId="28227"/>
    <cellStyle name="Normal 358 2 3 3" xfId="28228"/>
    <cellStyle name="Normal 358 2 4" xfId="28229"/>
    <cellStyle name="Normal 358 2 4 2" xfId="28230"/>
    <cellStyle name="Normal 358 2 4 2 2" xfId="28231"/>
    <cellStyle name="Normal 358 2 4 3" xfId="28232"/>
    <cellStyle name="Normal 358 2 5" xfId="28233"/>
    <cellStyle name="Normal 358 3" xfId="28234"/>
    <cellStyle name="Normal 358 3 2" xfId="28235"/>
    <cellStyle name="Normal 358 3 2 2" xfId="28236"/>
    <cellStyle name="Normal 358 3 2 2 2" xfId="28237"/>
    <cellStyle name="Normal 358 3 2 3" xfId="28238"/>
    <cellStyle name="Normal 358 3 2 3 2" xfId="28239"/>
    <cellStyle name="Normal 358 3 2 3 2 2" xfId="28240"/>
    <cellStyle name="Normal 358 3 2 3 3" xfId="28241"/>
    <cellStyle name="Normal 358 3 2 4" xfId="28242"/>
    <cellStyle name="Normal 358 3 3" xfId="28243"/>
    <cellStyle name="Normal 358 3 3 2" xfId="28244"/>
    <cellStyle name="Normal 358 3 3 2 2" xfId="28245"/>
    <cellStyle name="Normal 358 3 3 3" xfId="28246"/>
    <cellStyle name="Normal 358 3 4" xfId="28247"/>
    <cellStyle name="Normal 358 3 4 2" xfId="28248"/>
    <cellStyle name="Normal 358 3 4 2 2" xfId="28249"/>
    <cellStyle name="Normal 358 3 4 3" xfId="28250"/>
    <cellStyle name="Normal 358 3 5" xfId="28251"/>
    <cellStyle name="Normal 358 3 5 2" xfId="28252"/>
    <cellStyle name="Normal 358 3 5 2 2" xfId="28253"/>
    <cellStyle name="Normal 358 3 5 3" xfId="28254"/>
    <cellStyle name="Normal 358 3 6" xfId="28255"/>
    <cellStyle name="Normal 358 4" xfId="28256"/>
    <cellStyle name="Normal 358 4 2" xfId="28257"/>
    <cellStyle name="Normal 358 4 2 2" xfId="28258"/>
    <cellStyle name="Normal 358 4 3" xfId="28259"/>
    <cellStyle name="Normal 358 5" xfId="28260"/>
    <cellStyle name="Normal 358 5 2" xfId="28261"/>
    <cellStyle name="Normal 358 5 2 2" xfId="28262"/>
    <cellStyle name="Normal 358 5 3" xfId="28263"/>
    <cellStyle name="Normal 358 6" xfId="28264"/>
    <cellStyle name="Normal 358 6 2" xfId="28265"/>
    <cellStyle name="Normal 358 6 2 2" xfId="28266"/>
    <cellStyle name="Normal 358 6 3" xfId="28267"/>
    <cellStyle name="Normal 358 7" xfId="28268"/>
    <cellStyle name="Normal 359" xfId="28269"/>
    <cellStyle name="Normal 359 2" xfId="28270"/>
    <cellStyle name="Normal 359 2 2" xfId="28271"/>
    <cellStyle name="Normal 359 2 2 2" xfId="28272"/>
    <cellStyle name="Normal 359 2 3" xfId="28273"/>
    <cellStyle name="Normal 359 2 3 2" xfId="28274"/>
    <cellStyle name="Normal 359 2 3 2 2" xfId="28275"/>
    <cellStyle name="Normal 359 2 3 3" xfId="28276"/>
    <cellStyle name="Normal 359 2 4" xfId="28277"/>
    <cellStyle name="Normal 359 2 4 2" xfId="28278"/>
    <cellStyle name="Normal 359 2 4 2 2" xfId="28279"/>
    <cellStyle name="Normal 359 2 4 3" xfId="28280"/>
    <cellStyle name="Normal 359 2 5" xfId="28281"/>
    <cellStyle name="Normal 359 3" xfId="28282"/>
    <cellStyle name="Normal 359 3 2" xfId="28283"/>
    <cellStyle name="Normal 359 3 2 2" xfId="28284"/>
    <cellStyle name="Normal 359 3 2 2 2" xfId="28285"/>
    <cellStyle name="Normal 359 3 2 3" xfId="28286"/>
    <cellStyle name="Normal 359 3 2 3 2" xfId="28287"/>
    <cellStyle name="Normal 359 3 2 3 2 2" xfId="28288"/>
    <cellStyle name="Normal 359 3 2 3 3" xfId="28289"/>
    <cellStyle name="Normal 359 3 2 4" xfId="28290"/>
    <cellStyle name="Normal 359 3 3" xfId="28291"/>
    <cellStyle name="Normal 359 3 3 2" xfId="28292"/>
    <cellStyle name="Normal 359 3 3 2 2" xfId="28293"/>
    <cellStyle name="Normal 359 3 3 3" xfId="28294"/>
    <cellStyle name="Normal 359 3 4" xfId="28295"/>
    <cellStyle name="Normal 359 3 4 2" xfId="28296"/>
    <cellStyle name="Normal 359 3 4 2 2" xfId="28297"/>
    <cellStyle name="Normal 359 3 4 3" xfId="28298"/>
    <cellStyle name="Normal 359 3 5" xfId="28299"/>
    <cellStyle name="Normal 359 3 5 2" xfId="28300"/>
    <cellStyle name="Normal 359 3 5 2 2" xfId="28301"/>
    <cellStyle name="Normal 359 3 5 3" xfId="28302"/>
    <cellStyle name="Normal 359 3 6" xfId="28303"/>
    <cellStyle name="Normal 359 4" xfId="28304"/>
    <cellStyle name="Normal 359 4 2" xfId="28305"/>
    <cellStyle name="Normal 359 4 2 2" xfId="28306"/>
    <cellStyle name="Normal 359 4 3" xfId="28307"/>
    <cellStyle name="Normal 359 5" xfId="28308"/>
    <cellStyle name="Normal 359 5 2" xfId="28309"/>
    <cellStyle name="Normal 359 5 2 2" xfId="28310"/>
    <cellStyle name="Normal 359 5 3" xfId="28311"/>
    <cellStyle name="Normal 359 6" xfId="28312"/>
    <cellStyle name="Normal 359 6 2" xfId="28313"/>
    <cellStyle name="Normal 359 6 2 2" xfId="28314"/>
    <cellStyle name="Normal 359 6 3" xfId="28315"/>
    <cellStyle name="Normal 359 7" xfId="28316"/>
    <cellStyle name="Normal 36" xfId="28317"/>
    <cellStyle name="Normal 36 2" xfId="28318"/>
    <cellStyle name="Normal 36 2 2" xfId="28319"/>
    <cellStyle name="Normal 36 2 2 2" xfId="28320"/>
    <cellStyle name="Normal 36 2 2 2 2" xfId="28321"/>
    <cellStyle name="Normal 36 2 2 3" xfId="28322"/>
    <cellStyle name="Normal 36 2 2 3 2" xfId="28323"/>
    <cellStyle name="Normal 36 2 2 3 2 2" xfId="28324"/>
    <cellStyle name="Normal 36 2 2 3 3" xfId="28325"/>
    <cellStyle name="Normal 36 2 2 4" xfId="28326"/>
    <cellStyle name="Normal 36 2 2 4 2" xfId="28327"/>
    <cellStyle name="Normal 36 2 2 4 2 2" xfId="28328"/>
    <cellStyle name="Normal 36 2 2 4 3" xfId="28329"/>
    <cellStyle name="Normal 36 2 2 5" xfId="28330"/>
    <cellStyle name="Normal 36 2 3" xfId="28331"/>
    <cellStyle name="Normal 36 2 3 2" xfId="28332"/>
    <cellStyle name="Normal 36 2 3 2 2" xfId="28333"/>
    <cellStyle name="Normal 36 2 3 3" xfId="28334"/>
    <cellStyle name="Normal 36 2 4" xfId="28335"/>
    <cellStyle name="Normal 36 2 4 2" xfId="28336"/>
    <cellStyle name="Normal 36 2 4 2 2" xfId="28337"/>
    <cellStyle name="Normal 36 2 4 3" xfId="28338"/>
    <cellStyle name="Normal 36 2 5" xfId="28339"/>
    <cellStyle name="Normal 36 2 5 2" xfId="28340"/>
    <cellStyle name="Normal 36 2 5 2 2" xfId="28341"/>
    <cellStyle name="Normal 36 2 5 3" xfId="28342"/>
    <cellStyle name="Normal 36 2 6" xfId="28343"/>
    <cellStyle name="Normal 36 3" xfId="28344"/>
    <cellStyle name="Normal 36 3 2" xfId="28345"/>
    <cellStyle name="Normal 36 3 2 2" xfId="28346"/>
    <cellStyle name="Normal 36 3 3" xfId="28347"/>
    <cellStyle name="Normal 36 3 3 2" xfId="28348"/>
    <cellStyle name="Normal 36 3 3 2 2" xfId="28349"/>
    <cellStyle name="Normal 36 3 3 3" xfId="28350"/>
    <cellStyle name="Normal 36 3 4" xfId="28351"/>
    <cellStyle name="Normal 36 3 4 2" xfId="28352"/>
    <cellStyle name="Normal 36 3 4 2 2" xfId="28353"/>
    <cellStyle name="Normal 36 3 4 3" xfId="28354"/>
    <cellStyle name="Normal 36 3 5" xfId="28355"/>
    <cellStyle name="Normal 36 4" xfId="28356"/>
    <cellStyle name="Normal 36 4 2" xfId="28357"/>
    <cellStyle name="Normal 36 4 2 2" xfId="28358"/>
    <cellStyle name="Normal 36 4 3" xfId="28359"/>
    <cellStyle name="Normal 36 5" xfId="28360"/>
    <cellStyle name="Normal 36 5 2" xfId="28361"/>
    <cellStyle name="Normal 36 5 2 2" xfId="28362"/>
    <cellStyle name="Normal 36 5 3" xfId="28363"/>
    <cellStyle name="Normal 36 6" xfId="28364"/>
    <cellStyle name="Normal 36 6 2" xfId="28365"/>
    <cellStyle name="Normal 36 6 2 2" xfId="28366"/>
    <cellStyle name="Normal 36 6 3" xfId="28367"/>
    <cellStyle name="Normal 36 7" xfId="28368"/>
    <cellStyle name="Normal 360" xfId="28369"/>
    <cellStyle name="Normal 360 2" xfId="28370"/>
    <cellStyle name="Normal 360 2 2" xfId="28371"/>
    <cellStyle name="Normal 360 2 2 2" xfId="28372"/>
    <cellStyle name="Normal 360 2 3" xfId="28373"/>
    <cellStyle name="Normal 360 2 3 2" xfId="28374"/>
    <cellStyle name="Normal 360 2 3 2 2" xfId="28375"/>
    <cellStyle name="Normal 360 2 3 3" xfId="28376"/>
    <cellStyle name="Normal 360 2 4" xfId="28377"/>
    <cellStyle name="Normal 360 2 4 2" xfId="28378"/>
    <cellStyle name="Normal 360 2 4 2 2" xfId="28379"/>
    <cellStyle name="Normal 360 2 4 3" xfId="28380"/>
    <cellStyle name="Normal 360 2 5" xfId="28381"/>
    <cellStyle name="Normal 360 3" xfId="28382"/>
    <cellStyle name="Normal 360 3 2" xfId="28383"/>
    <cellStyle name="Normal 360 3 2 2" xfId="28384"/>
    <cellStyle name="Normal 360 3 2 2 2" xfId="28385"/>
    <cellStyle name="Normal 360 3 2 3" xfId="28386"/>
    <cellStyle name="Normal 360 3 2 3 2" xfId="28387"/>
    <cellStyle name="Normal 360 3 2 3 2 2" xfId="28388"/>
    <cellStyle name="Normal 360 3 2 3 3" xfId="28389"/>
    <cellStyle name="Normal 360 3 2 4" xfId="28390"/>
    <cellStyle name="Normal 360 3 3" xfId="28391"/>
    <cellStyle name="Normal 360 3 3 2" xfId="28392"/>
    <cellStyle name="Normal 360 3 3 2 2" xfId="28393"/>
    <cellStyle name="Normal 360 3 3 3" xfId="28394"/>
    <cellStyle name="Normal 360 3 4" xfId="28395"/>
    <cellStyle name="Normal 360 3 4 2" xfId="28396"/>
    <cellStyle name="Normal 360 3 4 2 2" xfId="28397"/>
    <cellStyle name="Normal 360 3 4 3" xfId="28398"/>
    <cellStyle name="Normal 360 3 5" xfId="28399"/>
    <cellStyle name="Normal 360 3 5 2" xfId="28400"/>
    <cellStyle name="Normal 360 3 5 2 2" xfId="28401"/>
    <cellStyle name="Normal 360 3 5 3" xfId="28402"/>
    <cellStyle name="Normal 360 3 6" xfId="28403"/>
    <cellStyle name="Normal 360 4" xfId="28404"/>
    <cellStyle name="Normal 360 4 2" xfId="28405"/>
    <cellStyle name="Normal 360 4 2 2" xfId="28406"/>
    <cellStyle name="Normal 360 4 3" xfId="28407"/>
    <cellStyle name="Normal 360 5" xfId="28408"/>
    <cellStyle name="Normal 360 5 2" xfId="28409"/>
    <cellStyle name="Normal 360 5 2 2" xfId="28410"/>
    <cellStyle name="Normal 360 5 3" xfId="28411"/>
    <cellStyle name="Normal 360 6" xfId="28412"/>
    <cellStyle name="Normal 360 6 2" xfId="28413"/>
    <cellStyle name="Normal 360 6 2 2" xfId="28414"/>
    <cellStyle name="Normal 360 6 3" xfId="28415"/>
    <cellStyle name="Normal 360 7" xfId="28416"/>
    <cellStyle name="Normal 361" xfId="28417"/>
    <cellStyle name="Normal 361 2" xfId="28418"/>
    <cellStyle name="Normal 361 2 2" xfId="28419"/>
    <cellStyle name="Normal 361 2 2 2" xfId="28420"/>
    <cellStyle name="Normal 361 2 3" xfId="28421"/>
    <cellStyle name="Normal 361 2 3 2" xfId="28422"/>
    <cellStyle name="Normal 361 2 3 2 2" xfId="28423"/>
    <cellStyle name="Normal 361 2 3 3" xfId="28424"/>
    <cellStyle name="Normal 361 2 4" xfId="28425"/>
    <cellStyle name="Normal 361 2 4 2" xfId="28426"/>
    <cellStyle name="Normal 361 2 4 2 2" xfId="28427"/>
    <cellStyle name="Normal 361 2 4 3" xfId="28428"/>
    <cellStyle name="Normal 361 2 5" xfId="28429"/>
    <cellStyle name="Normal 361 3" xfId="28430"/>
    <cellStyle name="Normal 361 3 2" xfId="28431"/>
    <cellStyle name="Normal 361 3 2 2" xfId="28432"/>
    <cellStyle name="Normal 361 3 2 2 2" xfId="28433"/>
    <cellStyle name="Normal 361 3 2 3" xfId="28434"/>
    <cellStyle name="Normal 361 3 2 3 2" xfId="28435"/>
    <cellStyle name="Normal 361 3 2 3 2 2" xfId="28436"/>
    <cellStyle name="Normal 361 3 2 3 3" xfId="28437"/>
    <cellStyle name="Normal 361 3 2 4" xfId="28438"/>
    <cellStyle name="Normal 361 3 3" xfId="28439"/>
    <cellStyle name="Normal 361 3 3 2" xfId="28440"/>
    <cellStyle name="Normal 361 3 3 2 2" xfId="28441"/>
    <cellStyle name="Normal 361 3 3 3" xfId="28442"/>
    <cellStyle name="Normal 361 3 4" xfId="28443"/>
    <cellStyle name="Normal 361 3 4 2" xfId="28444"/>
    <cellStyle name="Normal 361 3 4 2 2" xfId="28445"/>
    <cellStyle name="Normal 361 3 4 3" xfId="28446"/>
    <cellStyle name="Normal 361 3 5" xfId="28447"/>
    <cellStyle name="Normal 361 3 5 2" xfId="28448"/>
    <cellStyle name="Normal 361 3 5 2 2" xfId="28449"/>
    <cellStyle name="Normal 361 3 5 3" xfId="28450"/>
    <cellStyle name="Normal 361 3 6" xfId="28451"/>
    <cellStyle name="Normal 361 4" xfId="28452"/>
    <cellStyle name="Normal 361 4 2" xfId="28453"/>
    <cellStyle name="Normal 361 4 2 2" xfId="28454"/>
    <cellStyle name="Normal 361 4 3" xfId="28455"/>
    <cellStyle name="Normal 361 5" xfId="28456"/>
    <cellStyle name="Normal 361 5 2" xfId="28457"/>
    <cellStyle name="Normal 361 5 2 2" xfId="28458"/>
    <cellStyle name="Normal 361 5 3" xfId="28459"/>
    <cellStyle name="Normal 361 6" xfId="28460"/>
    <cellStyle name="Normal 361 6 2" xfId="28461"/>
    <cellStyle name="Normal 361 6 2 2" xfId="28462"/>
    <cellStyle name="Normal 361 6 3" xfId="28463"/>
    <cellStyle name="Normal 361 7" xfId="28464"/>
    <cellStyle name="Normal 362" xfId="28465"/>
    <cellStyle name="Normal 362 2" xfId="28466"/>
    <cellStyle name="Normal 362 2 2" xfId="28467"/>
    <cellStyle name="Normal 362 2 2 2" xfId="28468"/>
    <cellStyle name="Normal 362 2 3" xfId="28469"/>
    <cellStyle name="Normal 362 2 3 2" xfId="28470"/>
    <cellStyle name="Normal 362 2 3 2 2" xfId="28471"/>
    <cellStyle name="Normal 362 2 3 3" xfId="28472"/>
    <cellStyle name="Normal 362 2 4" xfId="28473"/>
    <cellStyle name="Normal 362 2 4 2" xfId="28474"/>
    <cellStyle name="Normal 362 2 4 2 2" xfId="28475"/>
    <cellStyle name="Normal 362 2 4 3" xfId="28476"/>
    <cellStyle name="Normal 362 2 5" xfId="28477"/>
    <cellStyle name="Normal 362 3" xfId="28478"/>
    <cellStyle name="Normal 362 3 2" xfId="28479"/>
    <cellStyle name="Normal 362 3 2 2" xfId="28480"/>
    <cellStyle name="Normal 362 3 2 2 2" xfId="28481"/>
    <cellStyle name="Normal 362 3 2 3" xfId="28482"/>
    <cellStyle name="Normal 362 3 2 3 2" xfId="28483"/>
    <cellStyle name="Normal 362 3 2 3 2 2" xfId="28484"/>
    <cellStyle name="Normal 362 3 2 3 3" xfId="28485"/>
    <cellStyle name="Normal 362 3 2 4" xfId="28486"/>
    <cellStyle name="Normal 362 3 3" xfId="28487"/>
    <cellStyle name="Normal 362 3 3 2" xfId="28488"/>
    <cellStyle name="Normal 362 3 3 2 2" xfId="28489"/>
    <cellStyle name="Normal 362 3 3 3" xfId="28490"/>
    <cellStyle name="Normal 362 3 4" xfId="28491"/>
    <cellStyle name="Normal 362 3 4 2" xfId="28492"/>
    <cellStyle name="Normal 362 3 4 2 2" xfId="28493"/>
    <cellStyle name="Normal 362 3 4 3" xfId="28494"/>
    <cellStyle name="Normal 362 3 5" xfId="28495"/>
    <cellStyle name="Normal 362 3 5 2" xfId="28496"/>
    <cellStyle name="Normal 362 3 5 2 2" xfId="28497"/>
    <cellStyle name="Normal 362 3 5 3" xfId="28498"/>
    <cellStyle name="Normal 362 3 6" xfId="28499"/>
    <cellStyle name="Normal 362 4" xfId="28500"/>
    <cellStyle name="Normal 362 4 2" xfId="28501"/>
    <cellStyle name="Normal 362 4 2 2" xfId="28502"/>
    <cellStyle name="Normal 362 4 3" xfId="28503"/>
    <cellStyle name="Normal 362 5" xfId="28504"/>
    <cellStyle name="Normal 362 5 2" xfId="28505"/>
    <cellStyle name="Normal 362 5 2 2" xfId="28506"/>
    <cellStyle name="Normal 362 5 3" xfId="28507"/>
    <cellStyle name="Normal 362 6" xfId="28508"/>
    <cellStyle name="Normal 362 6 2" xfId="28509"/>
    <cellStyle name="Normal 362 6 2 2" xfId="28510"/>
    <cellStyle name="Normal 362 6 3" xfId="28511"/>
    <cellStyle name="Normal 362 7" xfId="28512"/>
    <cellStyle name="Normal 363" xfId="28513"/>
    <cellStyle name="Normal 363 2" xfId="28514"/>
    <cellStyle name="Normal 363 2 2" xfId="28515"/>
    <cellStyle name="Normal 363 2 2 2" xfId="28516"/>
    <cellStyle name="Normal 363 2 3" xfId="28517"/>
    <cellStyle name="Normal 363 2 3 2" xfId="28518"/>
    <cellStyle name="Normal 363 2 3 2 2" xfId="28519"/>
    <cellStyle name="Normal 363 2 3 3" xfId="28520"/>
    <cellStyle name="Normal 363 2 4" xfId="28521"/>
    <cellStyle name="Normal 363 2 4 2" xfId="28522"/>
    <cellStyle name="Normal 363 2 4 2 2" xfId="28523"/>
    <cellStyle name="Normal 363 2 4 3" xfId="28524"/>
    <cellStyle name="Normal 363 2 5" xfId="28525"/>
    <cellStyle name="Normal 363 3" xfId="28526"/>
    <cellStyle name="Normal 363 3 2" xfId="28527"/>
    <cellStyle name="Normal 363 3 2 2" xfId="28528"/>
    <cellStyle name="Normal 363 3 2 2 2" xfId="28529"/>
    <cellStyle name="Normal 363 3 2 3" xfId="28530"/>
    <cellStyle name="Normal 363 3 2 3 2" xfId="28531"/>
    <cellStyle name="Normal 363 3 2 3 2 2" xfId="28532"/>
    <cellStyle name="Normal 363 3 2 3 3" xfId="28533"/>
    <cellStyle name="Normal 363 3 2 4" xfId="28534"/>
    <cellStyle name="Normal 363 3 3" xfId="28535"/>
    <cellStyle name="Normal 363 3 3 2" xfId="28536"/>
    <cellStyle name="Normal 363 3 3 2 2" xfId="28537"/>
    <cellStyle name="Normal 363 3 3 3" xfId="28538"/>
    <cellStyle name="Normal 363 3 4" xfId="28539"/>
    <cellStyle name="Normal 363 3 4 2" xfId="28540"/>
    <cellStyle name="Normal 363 3 4 2 2" xfId="28541"/>
    <cellStyle name="Normal 363 3 4 3" xfId="28542"/>
    <cellStyle name="Normal 363 3 5" xfId="28543"/>
    <cellStyle name="Normal 363 3 5 2" xfId="28544"/>
    <cellStyle name="Normal 363 3 5 2 2" xfId="28545"/>
    <cellStyle name="Normal 363 3 5 3" xfId="28546"/>
    <cellStyle name="Normal 363 3 6" xfId="28547"/>
    <cellStyle name="Normal 363 4" xfId="28548"/>
    <cellStyle name="Normal 363 4 2" xfId="28549"/>
    <cellStyle name="Normal 363 4 2 2" xfId="28550"/>
    <cellStyle name="Normal 363 4 3" xfId="28551"/>
    <cellStyle name="Normal 363 5" xfId="28552"/>
    <cellStyle name="Normal 363 5 2" xfId="28553"/>
    <cellStyle name="Normal 363 5 2 2" xfId="28554"/>
    <cellStyle name="Normal 363 5 3" xfId="28555"/>
    <cellStyle name="Normal 363 6" xfId="28556"/>
    <cellStyle name="Normal 363 6 2" xfId="28557"/>
    <cellStyle name="Normal 363 6 2 2" xfId="28558"/>
    <cellStyle name="Normal 363 6 3" xfId="28559"/>
    <cellStyle name="Normal 363 7" xfId="28560"/>
    <cellStyle name="Normal 364" xfId="28561"/>
    <cellStyle name="Normal 364 2" xfId="28562"/>
    <cellStyle name="Normal 364 2 2" xfId="28563"/>
    <cellStyle name="Normal 364 2 2 2" xfId="28564"/>
    <cellStyle name="Normal 364 2 3" xfId="28565"/>
    <cellStyle name="Normal 364 2 3 2" xfId="28566"/>
    <cellStyle name="Normal 364 2 3 2 2" xfId="28567"/>
    <cellStyle name="Normal 364 2 3 3" xfId="28568"/>
    <cellStyle name="Normal 364 2 4" xfId="28569"/>
    <cellStyle name="Normal 364 2 4 2" xfId="28570"/>
    <cellStyle name="Normal 364 2 4 2 2" xfId="28571"/>
    <cellStyle name="Normal 364 2 4 3" xfId="28572"/>
    <cellStyle name="Normal 364 2 5" xfId="28573"/>
    <cellStyle name="Normal 364 3" xfId="28574"/>
    <cellStyle name="Normal 364 3 2" xfId="28575"/>
    <cellStyle name="Normal 364 3 2 2" xfId="28576"/>
    <cellStyle name="Normal 364 3 2 2 2" xfId="28577"/>
    <cellStyle name="Normal 364 3 2 3" xfId="28578"/>
    <cellStyle name="Normal 364 3 2 3 2" xfId="28579"/>
    <cellStyle name="Normal 364 3 2 3 2 2" xfId="28580"/>
    <cellStyle name="Normal 364 3 2 3 3" xfId="28581"/>
    <cellStyle name="Normal 364 3 2 4" xfId="28582"/>
    <cellStyle name="Normal 364 3 3" xfId="28583"/>
    <cellStyle name="Normal 364 3 3 2" xfId="28584"/>
    <cellStyle name="Normal 364 3 3 2 2" xfId="28585"/>
    <cellStyle name="Normal 364 3 3 3" xfId="28586"/>
    <cellStyle name="Normal 364 3 4" xfId="28587"/>
    <cellStyle name="Normal 364 3 4 2" xfId="28588"/>
    <cellStyle name="Normal 364 3 4 2 2" xfId="28589"/>
    <cellStyle name="Normal 364 3 4 3" xfId="28590"/>
    <cellStyle name="Normal 364 3 5" xfId="28591"/>
    <cellStyle name="Normal 364 3 5 2" xfId="28592"/>
    <cellStyle name="Normal 364 3 5 2 2" xfId="28593"/>
    <cellStyle name="Normal 364 3 5 3" xfId="28594"/>
    <cellStyle name="Normal 364 3 6" xfId="28595"/>
    <cellStyle name="Normal 364 4" xfId="28596"/>
    <cellStyle name="Normal 364 4 2" xfId="28597"/>
    <cellStyle name="Normal 364 4 2 2" xfId="28598"/>
    <cellStyle name="Normal 364 4 3" xfId="28599"/>
    <cellStyle name="Normal 364 5" xfId="28600"/>
    <cellStyle name="Normal 364 5 2" xfId="28601"/>
    <cellStyle name="Normal 364 5 2 2" xfId="28602"/>
    <cellStyle name="Normal 364 5 3" xfId="28603"/>
    <cellStyle name="Normal 364 6" xfId="28604"/>
    <cellStyle name="Normal 364 6 2" xfId="28605"/>
    <cellStyle name="Normal 364 6 2 2" xfId="28606"/>
    <cellStyle name="Normal 364 6 3" xfId="28607"/>
    <cellStyle name="Normal 364 7" xfId="28608"/>
    <cellStyle name="Normal 365" xfId="28609"/>
    <cellStyle name="Normal 365 2" xfId="28610"/>
    <cellStyle name="Normal 365 2 2" xfId="28611"/>
    <cellStyle name="Normal 365 2 2 2" xfId="28612"/>
    <cellStyle name="Normal 365 2 3" xfId="28613"/>
    <cellStyle name="Normal 365 2 3 2" xfId="28614"/>
    <cellStyle name="Normal 365 2 3 2 2" xfId="28615"/>
    <cellStyle name="Normal 365 2 3 3" xfId="28616"/>
    <cellStyle name="Normal 365 2 4" xfId="28617"/>
    <cellStyle name="Normal 365 2 4 2" xfId="28618"/>
    <cellStyle name="Normal 365 2 4 2 2" xfId="28619"/>
    <cellStyle name="Normal 365 2 4 3" xfId="28620"/>
    <cellStyle name="Normal 365 2 5" xfId="28621"/>
    <cellStyle name="Normal 365 3" xfId="28622"/>
    <cellStyle name="Normal 365 3 2" xfId="28623"/>
    <cellStyle name="Normal 365 3 2 2" xfId="28624"/>
    <cellStyle name="Normal 365 3 2 2 2" xfId="28625"/>
    <cellStyle name="Normal 365 3 2 3" xfId="28626"/>
    <cellStyle name="Normal 365 3 2 3 2" xfId="28627"/>
    <cellStyle name="Normal 365 3 2 3 2 2" xfId="28628"/>
    <cellStyle name="Normal 365 3 2 3 3" xfId="28629"/>
    <cellStyle name="Normal 365 3 2 4" xfId="28630"/>
    <cellStyle name="Normal 365 3 3" xfId="28631"/>
    <cellStyle name="Normal 365 3 3 2" xfId="28632"/>
    <cellStyle name="Normal 365 3 3 2 2" xfId="28633"/>
    <cellStyle name="Normal 365 3 3 3" xfId="28634"/>
    <cellStyle name="Normal 365 3 4" xfId="28635"/>
    <cellStyle name="Normal 365 3 4 2" xfId="28636"/>
    <cellStyle name="Normal 365 3 4 2 2" xfId="28637"/>
    <cellStyle name="Normal 365 3 4 3" xfId="28638"/>
    <cellStyle name="Normal 365 3 5" xfId="28639"/>
    <cellStyle name="Normal 365 3 5 2" xfId="28640"/>
    <cellStyle name="Normal 365 3 5 2 2" xfId="28641"/>
    <cellStyle name="Normal 365 3 5 3" xfId="28642"/>
    <cellStyle name="Normal 365 3 6" xfId="28643"/>
    <cellStyle name="Normal 365 4" xfId="28644"/>
    <cellStyle name="Normal 365 4 2" xfId="28645"/>
    <cellStyle name="Normal 365 4 2 2" xfId="28646"/>
    <cellStyle name="Normal 365 4 3" xfId="28647"/>
    <cellStyle name="Normal 365 5" xfId="28648"/>
    <cellStyle name="Normal 365 5 2" xfId="28649"/>
    <cellStyle name="Normal 365 5 2 2" xfId="28650"/>
    <cellStyle name="Normal 365 5 3" xfId="28651"/>
    <cellStyle name="Normal 365 6" xfId="28652"/>
    <cellStyle name="Normal 365 6 2" xfId="28653"/>
    <cellStyle name="Normal 365 6 2 2" xfId="28654"/>
    <cellStyle name="Normal 365 6 3" xfId="28655"/>
    <cellStyle name="Normal 365 7" xfId="28656"/>
    <cellStyle name="Normal 366" xfId="28657"/>
    <cellStyle name="Normal 366 2" xfId="28658"/>
    <cellStyle name="Normal 366 2 2" xfId="28659"/>
    <cellStyle name="Normal 366 2 2 2" xfId="28660"/>
    <cellStyle name="Normal 366 2 3" xfId="28661"/>
    <cellStyle name="Normal 366 2 3 2" xfId="28662"/>
    <cellStyle name="Normal 366 2 3 2 2" xfId="28663"/>
    <cellStyle name="Normal 366 2 3 3" xfId="28664"/>
    <cellStyle name="Normal 366 2 4" xfId="28665"/>
    <cellStyle name="Normal 366 2 4 2" xfId="28666"/>
    <cellStyle name="Normal 366 2 4 2 2" xfId="28667"/>
    <cellStyle name="Normal 366 2 4 3" xfId="28668"/>
    <cellStyle name="Normal 366 2 5" xfId="28669"/>
    <cellStyle name="Normal 366 3" xfId="28670"/>
    <cellStyle name="Normal 366 3 2" xfId="28671"/>
    <cellStyle name="Normal 366 3 2 2" xfId="28672"/>
    <cellStyle name="Normal 366 3 2 2 2" xfId="28673"/>
    <cellStyle name="Normal 366 3 2 3" xfId="28674"/>
    <cellStyle name="Normal 366 3 2 3 2" xfId="28675"/>
    <cellStyle name="Normal 366 3 2 3 2 2" xfId="28676"/>
    <cellStyle name="Normal 366 3 2 3 3" xfId="28677"/>
    <cellStyle name="Normal 366 3 2 4" xfId="28678"/>
    <cellStyle name="Normal 366 3 3" xfId="28679"/>
    <cellStyle name="Normal 366 3 3 2" xfId="28680"/>
    <cellStyle name="Normal 366 3 3 2 2" xfId="28681"/>
    <cellStyle name="Normal 366 3 3 3" xfId="28682"/>
    <cellStyle name="Normal 366 3 4" xfId="28683"/>
    <cellStyle name="Normal 366 3 4 2" xfId="28684"/>
    <cellStyle name="Normal 366 3 4 2 2" xfId="28685"/>
    <cellStyle name="Normal 366 3 4 3" xfId="28686"/>
    <cellStyle name="Normal 366 3 5" xfId="28687"/>
    <cellStyle name="Normal 366 3 5 2" xfId="28688"/>
    <cellStyle name="Normal 366 3 5 2 2" xfId="28689"/>
    <cellStyle name="Normal 366 3 5 3" xfId="28690"/>
    <cellStyle name="Normal 366 3 6" xfId="28691"/>
    <cellStyle name="Normal 366 4" xfId="28692"/>
    <cellStyle name="Normal 366 4 2" xfId="28693"/>
    <cellStyle name="Normal 366 4 2 2" xfId="28694"/>
    <cellStyle name="Normal 366 4 3" xfId="28695"/>
    <cellStyle name="Normal 366 5" xfId="28696"/>
    <cellStyle name="Normal 366 5 2" xfId="28697"/>
    <cellStyle name="Normal 366 5 2 2" xfId="28698"/>
    <cellStyle name="Normal 366 5 3" xfId="28699"/>
    <cellStyle name="Normal 366 6" xfId="28700"/>
    <cellStyle name="Normal 366 6 2" xfId="28701"/>
    <cellStyle name="Normal 366 6 2 2" xfId="28702"/>
    <cellStyle name="Normal 366 6 3" xfId="28703"/>
    <cellStyle name="Normal 366 7" xfId="28704"/>
    <cellStyle name="Normal 367" xfId="28705"/>
    <cellStyle name="Normal 367 2" xfId="28706"/>
    <cellStyle name="Normal 367 2 2" xfId="28707"/>
    <cellStyle name="Normal 367 2 2 2" xfId="28708"/>
    <cellStyle name="Normal 367 2 3" xfId="28709"/>
    <cellStyle name="Normal 367 2 3 2" xfId="28710"/>
    <cellStyle name="Normal 367 2 3 2 2" xfId="28711"/>
    <cellStyle name="Normal 367 2 3 3" xfId="28712"/>
    <cellStyle name="Normal 367 2 4" xfId="28713"/>
    <cellStyle name="Normal 367 2 4 2" xfId="28714"/>
    <cellStyle name="Normal 367 2 4 2 2" xfId="28715"/>
    <cellStyle name="Normal 367 2 4 3" xfId="28716"/>
    <cellStyle name="Normal 367 2 5" xfId="28717"/>
    <cellStyle name="Normal 367 3" xfId="28718"/>
    <cellStyle name="Normal 367 3 2" xfId="28719"/>
    <cellStyle name="Normal 367 3 2 2" xfId="28720"/>
    <cellStyle name="Normal 367 3 2 2 2" xfId="28721"/>
    <cellStyle name="Normal 367 3 2 3" xfId="28722"/>
    <cellStyle name="Normal 367 3 2 3 2" xfId="28723"/>
    <cellStyle name="Normal 367 3 2 3 2 2" xfId="28724"/>
    <cellStyle name="Normal 367 3 2 3 3" xfId="28725"/>
    <cellStyle name="Normal 367 3 2 4" xfId="28726"/>
    <cellStyle name="Normal 367 3 3" xfId="28727"/>
    <cellStyle name="Normal 367 3 3 2" xfId="28728"/>
    <cellStyle name="Normal 367 3 3 2 2" xfId="28729"/>
    <cellStyle name="Normal 367 3 3 3" xfId="28730"/>
    <cellStyle name="Normal 367 3 4" xfId="28731"/>
    <cellStyle name="Normal 367 3 4 2" xfId="28732"/>
    <cellStyle name="Normal 367 3 4 2 2" xfId="28733"/>
    <cellStyle name="Normal 367 3 4 3" xfId="28734"/>
    <cellStyle name="Normal 367 3 5" xfId="28735"/>
    <cellStyle name="Normal 367 3 5 2" xfId="28736"/>
    <cellStyle name="Normal 367 3 5 2 2" xfId="28737"/>
    <cellStyle name="Normal 367 3 5 3" xfId="28738"/>
    <cellStyle name="Normal 367 3 6" xfId="28739"/>
    <cellStyle name="Normal 367 4" xfId="28740"/>
    <cellStyle name="Normal 367 4 2" xfId="28741"/>
    <cellStyle name="Normal 367 4 2 2" xfId="28742"/>
    <cellStyle name="Normal 367 4 3" xfId="28743"/>
    <cellStyle name="Normal 367 5" xfId="28744"/>
    <cellStyle name="Normal 367 5 2" xfId="28745"/>
    <cellStyle name="Normal 367 5 2 2" xfId="28746"/>
    <cellStyle name="Normal 367 5 3" xfId="28747"/>
    <cellStyle name="Normal 367 6" xfId="28748"/>
    <cellStyle name="Normal 367 6 2" xfId="28749"/>
    <cellStyle name="Normal 367 6 2 2" xfId="28750"/>
    <cellStyle name="Normal 367 6 3" xfId="28751"/>
    <cellStyle name="Normal 367 7" xfId="28752"/>
    <cellStyle name="Normal 368" xfId="28753"/>
    <cellStyle name="Normal 368 2" xfId="28754"/>
    <cellStyle name="Normal 368 2 2" xfId="28755"/>
    <cellStyle name="Normal 368 2 2 2" xfId="28756"/>
    <cellStyle name="Normal 368 2 3" xfId="28757"/>
    <cellStyle name="Normal 368 2 3 2" xfId="28758"/>
    <cellStyle name="Normal 368 2 3 2 2" xfId="28759"/>
    <cellStyle name="Normal 368 2 3 3" xfId="28760"/>
    <cellStyle name="Normal 368 2 4" xfId="28761"/>
    <cellStyle name="Normal 368 2 4 2" xfId="28762"/>
    <cellStyle name="Normal 368 2 4 2 2" xfId="28763"/>
    <cellStyle name="Normal 368 2 4 3" xfId="28764"/>
    <cellStyle name="Normal 368 2 5" xfId="28765"/>
    <cellStyle name="Normal 368 3" xfId="28766"/>
    <cellStyle name="Normal 368 3 2" xfId="28767"/>
    <cellStyle name="Normal 368 3 2 2" xfId="28768"/>
    <cellStyle name="Normal 368 3 2 2 2" xfId="28769"/>
    <cellStyle name="Normal 368 3 2 3" xfId="28770"/>
    <cellStyle name="Normal 368 3 2 3 2" xfId="28771"/>
    <cellStyle name="Normal 368 3 2 3 2 2" xfId="28772"/>
    <cellStyle name="Normal 368 3 2 3 3" xfId="28773"/>
    <cellStyle name="Normal 368 3 2 4" xfId="28774"/>
    <cellStyle name="Normal 368 3 3" xfId="28775"/>
    <cellStyle name="Normal 368 3 3 2" xfId="28776"/>
    <cellStyle name="Normal 368 3 3 2 2" xfId="28777"/>
    <cellStyle name="Normal 368 3 3 3" xfId="28778"/>
    <cellStyle name="Normal 368 3 4" xfId="28779"/>
    <cellStyle name="Normal 368 3 4 2" xfId="28780"/>
    <cellStyle name="Normal 368 3 4 2 2" xfId="28781"/>
    <cellStyle name="Normal 368 3 4 3" xfId="28782"/>
    <cellStyle name="Normal 368 3 5" xfId="28783"/>
    <cellStyle name="Normal 368 3 5 2" xfId="28784"/>
    <cellStyle name="Normal 368 3 5 2 2" xfId="28785"/>
    <cellStyle name="Normal 368 3 5 3" xfId="28786"/>
    <cellStyle name="Normal 368 3 6" xfId="28787"/>
    <cellStyle name="Normal 368 4" xfId="28788"/>
    <cellStyle name="Normal 368 4 2" xfId="28789"/>
    <cellStyle name="Normal 368 4 2 2" xfId="28790"/>
    <cellStyle name="Normal 368 4 3" xfId="28791"/>
    <cellStyle name="Normal 368 5" xfId="28792"/>
    <cellStyle name="Normal 368 5 2" xfId="28793"/>
    <cellStyle name="Normal 368 5 2 2" xfId="28794"/>
    <cellStyle name="Normal 368 5 3" xfId="28795"/>
    <cellStyle name="Normal 368 6" xfId="28796"/>
    <cellStyle name="Normal 368 6 2" xfId="28797"/>
    <cellStyle name="Normal 368 6 2 2" xfId="28798"/>
    <cellStyle name="Normal 368 6 3" xfId="28799"/>
    <cellStyle name="Normal 368 7" xfId="28800"/>
    <cellStyle name="Normal 369" xfId="28801"/>
    <cellStyle name="Normal 369 2" xfId="28802"/>
    <cellStyle name="Normal 369 2 2" xfId="28803"/>
    <cellStyle name="Normal 369 2 2 2" xfId="28804"/>
    <cellStyle name="Normal 369 2 3" xfId="28805"/>
    <cellStyle name="Normal 369 2 3 2" xfId="28806"/>
    <cellStyle name="Normal 369 2 3 2 2" xfId="28807"/>
    <cellStyle name="Normal 369 2 3 3" xfId="28808"/>
    <cellStyle name="Normal 369 2 4" xfId="28809"/>
    <cellStyle name="Normal 369 2 4 2" xfId="28810"/>
    <cellStyle name="Normal 369 2 4 2 2" xfId="28811"/>
    <cellStyle name="Normal 369 2 4 3" xfId="28812"/>
    <cellStyle name="Normal 369 2 5" xfId="28813"/>
    <cellStyle name="Normal 369 3" xfId="28814"/>
    <cellStyle name="Normal 369 3 2" xfId="28815"/>
    <cellStyle name="Normal 369 3 2 2" xfId="28816"/>
    <cellStyle name="Normal 369 3 2 2 2" xfId="28817"/>
    <cellStyle name="Normal 369 3 2 3" xfId="28818"/>
    <cellStyle name="Normal 369 3 2 3 2" xfId="28819"/>
    <cellStyle name="Normal 369 3 2 3 2 2" xfId="28820"/>
    <cellStyle name="Normal 369 3 2 3 3" xfId="28821"/>
    <cellStyle name="Normal 369 3 2 4" xfId="28822"/>
    <cellStyle name="Normal 369 3 3" xfId="28823"/>
    <cellStyle name="Normal 369 3 3 2" xfId="28824"/>
    <cellStyle name="Normal 369 3 3 2 2" xfId="28825"/>
    <cellStyle name="Normal 369 3 3 3" xfId="28826"/>
    <cellStyle name="Normal 369 3 4" xfId="28827"/>
    <cellStyle name="Normal 369 3 4 2" xfId="28828"/>
    <cellStyle name="Normal 369 3 4 2 2" xfId="28829"/>
    <cellStyle name="Normal 369 3 4 3" xfId="28830"/>
    <cellStyle name="Normal 369 3 5" xfId="28831"/>
    <cellStyle name="Normal 369 3 5 2" xfId="28832"/>
    <cellStyle name="Normal 369 3 5 2 2" xfId="28833"/>
    <cellStyle name="Normal 369 3 5 3" xfId="28834"/>
    <cellStyle name="Normal 369 3 6" xfId="28835"/>
    <cellStyle name="Normal 369 4" xfId="28836"/>
    <cellStyle name="Normal 369 4 2" xfId="28837"/>
    <cellStyle name="Normal 369 4 2 2" xfId="28838"/>
    <cellStyle name="Normal 369 4 3" xfId="28839"/>
    <cellStyle name="Normal 369 5" xfId="28840"/>
    <cellStyle name="Normal 369 5 2" xfId="28841"/>
    <cellStyle name="Normal 369 5 2 2" xfId="28842"/>
    <cellStyle name="Normal 369 5 3" xfId="28843"/>
    <cellStyle name="Normal 369 6" xfId="28844"/>
    <cellStyle name="Normal 369 6 2" xfId="28845"/>
    <cellStyle name="Normal 369 6 2 2" xfId="28846"/>
    <cellStyle name="Normal 369 6 3" xfId="28847"/>
    <cellStyle name="Normal 369 7" xfId="28848"/>
    <cellStyle name="Normal 37" xfId="28849"/>
    <cellStyle name="Normal 37 2" xfId="28850"/>
    <cellStyle name="Normal 37 2 2" xfId="28851"/>
    <cellStyle name="Normal 37 2 2 2" xfId="28852"/>
    <cellStyle name="Normal 37 2 2 2 2" xfId="28853"/>
    <cellStyle name="Normal 37 2 2 3" xfId="28854"/>
    <cellStyle name="Normal 37 2 2 3 2" xfId="28855"/>
    <cellStyle name="Normal 37 2 2 3 2 2" xfId="28856"/>
    <cellStyle name="Normal 37 2 2 3 3" xfId="28857"/>
    <cellStyle name="Normal 37 2 2 4" xfId="28858"/>
    <cellStyle name="Normal 37 2 2 4 2" xfId="28859"/>
    <cellStyle name="Normal 37 2 2 4 2 2" xfId="28860"/>
    <cellStyle name="Normal 37 2 2 4 3" xfId="28861"/>
    <cellStyle name="Normal 37 2 2 5" xfId="28862"/>
    <cellStyle name="Normal 37 2 3" xfId="28863"/>
    <cellStyle name="Normal 37 2 3 2" xfId="28864"/>
    <cellStyle name="Normal 37 2 3 2 2" xfId="28865"/>
    <cellStyle name="Normal 37 2 3 3" xfId="28866"/>
    <cellStyle name="Normal 37 2 4" xfId="28867"/>
    <cellStyle name="Normal 37 2 4 2" xfId="28868"/>
    <cellStyle name="Normal 37 2 4 2 2" xfId="28869"/>
    <cellStyle name="Normal 37 2 4 3" xfId="28870"/>
    <cellStyle name="Normal 37 2 5" xfId="28871"/>
    <cellStyle name="Normal 37 2 5 2" xfId="28872"/>
    <cellStyle name="Normal 37 2 5 2 2" xfId="28873"/>
    <cellStyle name="Normal 37 2 5 3" xfId="28874"/>
    <cellStyle name="Normal 37 2 6" xfId="28875"/>
    <cellStyle name="Normal 37 3" xfId="28876"/>
    <cellStyle name="Normal 37 3 2" xfId="28877"/>
    <cellStyle name="Normal 37 3 2 2" xfId="28878"/>
    <cellStyle name="Normal 37 3 3" xfId="28879"/>
    <cellStyle name="Normal 37 3 3 2" xfId="28880"/>
    <cellStyle name="Normal 37 3 3 2 2" xfId="28881"/>
    <cellStyle name="Normal 37 3 3 3" xfId="28882"/>
    <cellStyle name="Normal 37 3 4" xfId="28883"/>
    <cellStyle name="Normal 37 3 4 2" xfId="28884"/>
    <cellStyle name="Normal 37 3 4 2 2" xfId="28885"/>
    <cellStyle name="Normal 37 3 4 3" xfId="28886"/>
    <cellStyle name="Normal 37 3 5" xfId="28887"/>
    <cellStyle name="Normal 37 4" xfId="28888"/>
    <cellStyle name="Normal 37 4 2" xfId="28889"/>
    <cellStyle name="Normal 37 4 2 2" xfId="28890"/>
    <cellStyle name="Normal 37 4 3" xfId="28891"/>
    <cellStyle name="Normal 37 5" xfId="28892"/>
    <cellStyle name="Normal 37 5 2" xfId="28893"/>
    <cellStyle name="Normal 37 5 2 2" xfId="28894"/>
    <cellStyle name="Normal 37 5 3" xfId="28895"/>
    <cellStyle name="Normal 37 6" xfId="28896"/>
    <cellStyle name="Normal 37 6 2" xfId="28897"/>
    <cellStyle name="Normal 37 6 2 2" xfId="28898"/>
    <cellStyle name="Normal 37 6 3" xfId="28899"/>
    <cellStyle name="Normal 37 7" xfId="28900"/>
    <cellStyle name="Normal 370" xfId="28901"/>
    <cellStyle name="Normal 370 2" xfId="28902"/>
    <cellStyle name="Normal 370 2 2" xfId="28903"/>
    <cellStyle name="Normal 370 2 2 2" xfId="28904"/>
    <cellStyle name="Normal 370 2 3" xfId="28905"/>
    <cellStyle name="Normal 370 2 3 2" xfId="28906"/>
    <cellStyle name="Normal 370 2 3 2 2" xfId="28907"/>
    <cellStyle name="Normal 370 2 3 3" xfId="28908"/>
    <cellStyle name="Normal 370 2 4" xfId="28909"/>
    <cellStyle name="Normal 370 2 4 2" xfId="28910"/>
    <cellStyle name="Normal 370 2 4 2 2" xfId="28911"/>
    <cellStyle name="Normal 370 2 4 3" xfId="28912"/>
    <cellStyle name="Normal 370 2 5" xfId="28913"/>
    <cellStyle name="Normal 370 3" xfId="28914"/>
    <cellStyle name="Normal 370 3 2" xfId="28915"/>
    <cellStyle name="Normal 370 3 2 2" xfId="28916"/>
    <cellStyle name="Normal 370 3 2 2 2" xfId="28917"/>
    <cellStyle name="Normal 370 3 2 3" xfId="28918"/>
    <cellStyle name="Normal 370 3 2 3 2" xfId="28919"/>
    <cellStyle name="Normal 370 3 2 3 2 2" xfId="28920"/>
    <cellStyle name="Normal 370 3 2 3 3" xfId="28921"/>
    <cellStyle name="Normal 370 3 2 4" xfId="28922"/>
    <cellStyle name="Normal 370 3 3" xfId="28923"/>
    <cellStyle name="Normal 370 3 3 2" xfId="28924"/>
    <cellStyle name="Normal 370 3 3 2 2" xfId="28925"/>
    <cellStyle name="Normal 370 3 3 3" xfId="28926"/>
    <cellStyle name="Normal 370 3 4" xfId="28927"/>
    <cellStyle name="Normal 370 3 4 2" xfId="28928"/>
    <cellStyle name="Normal 370 3 4 2 2" xfId="28929"/>
    <cellStyle name="Normal 370 3 4 3" xfId="28930"/>
    <cellStyle name="Normal 370 3 5" xfId="28931"/>
    <cellStyle name="Normal 370 3 5 2" xfId="28932"/>
    <cellStyle name="Normal 370 3 5 2 2" xfId="28933"/>
    <cellStyle name="Normal 370 3 5 3" xfId="28934"/>
    <cellStyle name="Normal 370 3 6" xfId="28935"/>
    <cellStyle name="Normal 370 4" xfId="28936"/>
    <cellStyle name="Normal 370 4 2" xfId="28937"/>
    <cellStyle name="Normal 370 4 2 2" xfId="28938"/>
    <cellStyle name="Normal 370 4 3" xfId="28939"/>
    <cellStyle name="Normal 370 5" xfId="28940"/>
    <cellStyle name="Normal 370 5 2" xfId="28941"/>
    <cellStyle name="Normal 370 5 2 2" xfId="28942"/>
    <cellStyle name="Normal 370 5 3" xfId="28943"/>
    <cellStyle name="Normal 370 6" xfId="28944"/>
    <cellStyle name="Normal 370 6 2" xfId="28945"/>
    <cellStyle name="Normal 370 6 2 2" xfId="28946"/>
    <cellStyle name="Normal 370 6 3" xfId="28947"/>
    <cellStyle name="Normal 370 7" xfId="28948"/>
    <cellStyle name="Normal 371" xfId="28949"/>
    <cellStyle name="Normal 371 2" xfId="28950"/>
    <cellStyle name="Normal 371 2 2" xfId="28951"/>
    <cellStyle name="Normal 371 2 2 2" xfId="28952"/>
    <cellStyle name="Normal 371 2 3" xfId="28953"/>
    <cellStyle name="Normal 371 2 3 2" xfId="28954"/>
    <cellStyle name="Normal 371 2 3 2 2" xfId="28955"/>
    <cellStyle name="Normal 371 2 3 3" xfId="28956"/>
    <cellStyle name="Normal 371 2 4" xfId="28957"/>
    <cellStyle name="Normal 371 2 4 2" xfId="28958"/>
    <cellStyle name="Normal 371 2 4 2 2" xfId="28959"/>
    <cellStyle name="Normal 371 2 4 3" xfId="28960"/>
    <cellStyle name="Normal 371 2 5" xfId="28961"/>
    <cellStyle name="Normal 371 3" xfId="28962"/>
    <cellStyle name="Normal 371 3 2" xfId="28963"/>
    <cellStyle name="Normal 371 3 2 2" xfId="28964"/>
    <cellStyle name="Normal 371 3 2 2 2" xfId="28965"/>
    <cellStyle name="Normal 371 3 2 3" xfId="28966"/>
    <cellStyle name="Normal 371 3 2 3 2" xfId="28967"/>
    <cellStyle name="Normal 371 3 2 3 2 2" xfId="28968"/>
    <cellStyle name="Normal 371 3 2 3 3" xfId="28969"/>
    <cellStyle name="Normal 371 3 2 4" xfId="28970"/>
    <cellStyle name="Normal 371 3 3" xfId="28971"/>
    <cellStyle name="Normal 371 3 3 2" xfId="28972"/>
    <cellStyle name="Normal 371 3 3 2 2" xfId="28973"/>
    <cellStyle name="Normal 371 3 3 3" xfId="28974"/>
    <cellStyle name="Normal 371 3 4" xfId="28975"/>
    <cellStyle name="Normal 371 3 4 2" xfId="28976"/>
    <cellStyle name="Normal 371 3 4 2 2" xfId="28977"/>
    <cellStyle name="Normal 371 3 4 3" xfId="28978"/>
    <cellStyle name="Normal 371 3 5" xfId="28979"/>
    <cellStyle name="Normal 371 3 5 2" xfId="28980"/>
    <cellStyle name="Normal 371 3 5 2 2" xfId="28981"/>
    <cellStyle name="Normal 371 3 5 3" xfId="28982"/>
    <cellStyle name="Normal 371 3 6" xfId="28983"/>
    <cellStyle name="Normal 371 4" xfId="28984"/>
    <cellStyle name="Normal 371 4 2" xfId="28985"/>
    <cellStyle name="Normal 371 4 2 2" xfId="28986"/>
    <cellStyle name="Normal 371 4 3" xfId="28987"/>
    <cellStyle name="Normal 371 5" xfId="28988"/>
    <cellStyle name="Normal 371 5 2" xfId="28989"/>
    <cellStyle name="Normal 371 5 2 2" xfId="28990"/>
    <cellStyle name="Normal 371 5 3" xfId="28991"/>
    <cellStyle name="Normal 371 6" xfId="28992"/>
    <cellStyle name="Normal 371 6 2" xfId="28993"/>
    <cellStyle name="Normal 371 6 2 2" xfId="28994"/>
    <cellStyle name="Normal 371 6 3" xfId="28995"/>
    <cellStyle name="Normal 371 7" xfId="28996"/>
    <cellStyle name="Normal 372" xfId="28997"/>
    <cellStyle name="Normal 372 2" xfId="28998"/>
    <cellStyle name="Normal 372 2 2" xfId="28999"/>
    <cellStyle name="Normal 372 2 2 2" xfId="29000"/>
    <cellStyle name="Normal 372 2 3" xfId="29001"/>
    <cellStyle name="Normal 372 2 3 2" xfId="29002"/>
    <cellStyle name="Normal 372 2 3 2 2" xfId="29003"/>
    <cellStyle name="Normal 372 2 3 3" xfId="29004"/>
    <cellStyle name="Normal 372 2 4" xfId="29005"/>
    <cellStyle name="Normal 372 2 4 2" xfId="29006"/>
    <cellStyle name="Normal 372 2 4 2 2" xfId="29007"/>
    <cellStyle name="Normal 372 2 4 3" xfId="29008"/>
    <cellStyle name="Normal 372 2 5" xfId="29009"/>
    <cellStyle name="Normal 372 3" xfId="29010"/>
    <cellStyle name="Normal 372 3 2" xfId="29011"/>
    <cellStyle name="Normal 372 3 2 2" xfId="29012"/>
    <cellStyle name="Normal 372 3 2 2 2" xfId="29013"/>
    <cellStyle name="Normal 372 3 2 3" xfId="29014"/>
    <cellStyle name="Normal 372 3 2 3 2" xfId="29015"/>
    <cellStyle name="Normal 372 3 2 3 2 2" xfId="29016"/>
    <cellStyle name="Normal 372 3 2 3 3" xfId="29017"/>
    <cellStyle name="Normal 372 3 2 4" xfId="29018"/>
    <cellStyle name="Normal 372 3 3" xfId="29019"/>
    <cellStyle name="Normal 372 3 3 2" xfId="29020"/>
    <cellStyle name="Normal 372 3 3 2 2" xfId="29021"/>
    <cellStyle name="Normal 372 3 3 3" xfId="29022"/>
    <cellStyle name="Normal 372 3 4" xfId="29023"/>
    <cellStyle name="Normal 372 3 4 2" xfId="29024"/>
    <cellStyle name="Normal 372 3 4 2 2" xfId="29025"/>
    <cellStyle name="Normal 372 3 4 3" xfId="29026"/>
    <cellStyle name="Normal 372 3 5" xfId="29027"/>
    <cellStyle name="Normal 372 3 5 2" xfId="29028"/>
    <cellStyle name="Normal 372 3 5 2 2" xfId="29029"/>
    <cellStyle name="Normal 372 3 5 3" xfId="29030"/>
    <cellStyle name="Normal 372 3 6" xfId="29031"/>
    <cellStyle name="Normal 372 4" xfId="29032"/>
    <cellStyle name="Normal 372 4 2" xfId="29033"/>
    <cellStyle name="Normal 372 4 2 2" xfId="29034"/>
    <cellStyle name="Normal 372 4 3" xfId="29035"/>
    <cellStyle name="Normal 372 5" xfId="29036"/>
    <cellStyle name="Normal 372 5 2" xfId="29037"/>
    <cellStyle name="Normal 372 5 2 2" xfId="29038"/>
    <cellStyle name="Normal 372 5 3" xfId="29039"/>
    <cellStyle name="Normal 372 6" xfId="29040"/>
    <cellStyle name="Normal 372 6 2" xfId="29041"/>
    <cellStyle name="Normal 372 6 2 2" xfId="29042"/>
    <cellStyle name="Normal 372 6 3" xfId="29043"/>
    <cellStyle name="Normal 372 7" xfId="29044"/>
    <cellStyle name="Normal 373" xfId="29045"/>
    <cellStyle name="Normal 373 2" xfId="29046"/>
    <cellStyle name="Normal 373 2 2" xfId="29047"/>
    <cellStyle name="Normal 373 2 2 2" xfId="29048"/>
    <cellStyle name="Normal 373 2 3" xfId="29049"/>
    <cellStyle name="Normal 373 2 3 2" xfId="29050"/>
    <cellStyle name="Normal 373 2 3 2 2" xfId="29051"/>
    <cellStyle name="Normal 373 2 3 3" xfId="29052"/>
    <cellStyle name="Normal 373 2 4" xfId="29053"/>
    <cellStyle name="Normal 373 2 4 2" xfId="29054"/>
    <cellStyle name="Normal 373 2 4 2 2" xfId="29055"/>
    <cellStyle name="Normal 373 2 4 3" xfId="29056"/>
    <cellStyle name="Normal 373 2 5" xfId="29057"/>
    <cellStyle name="Normal 373 3" xfId="29058"/>
    <cellStyle name="Normal 373 3 2" xfId="29059"/>
    <cellStyle name="Normal 373 3 2 2" xfId="29060"/>
    <cellStyle name="Normal 373 3 2 2 2" xfId="29061"/>
    <cellStyle name="Normal 373 3 2 3" xfId="29062"/>
    <cellStyle name="Normal 373 3 2 3 2" xfId="29063"/>
    <cellStyle name="Normal 373 3 2 3 2 2" xfId="29064"/>
    <cellStyle name="Normal 373 3 2 3 3" xfId="29065"/>
    <cellStyle name="Normal 373 3 2 4" xfId="29066"/>
    <cellStyle name="Normal 373 3 3" xfId="29067"/>
    <cellStyle name="Normal 373 3 3 2" xfId="29068"/>
    <cellStyle name="Normal 373 3 3 2 2" xfId="29069"/>
    <cellStyle name="Normal 373 3 3 3" xfId="29070"/>
    <cellStyle name="Normal 373 3 4" xfId="29071"/>
    <cellStyle name="Normal 373 3 4 2" xfId="29072"/>
    <cellStyle name="Normal 373 3 4 2 2" xfId="29073"/>
    <cellStyle name="Normal 373 3 4 3" xfId="29074"/>
    <cellStyle name="Normal 373 3 5" xfId="29075"/>
    <cellStyle name="Normal 373 3 5 2" xfId="29076"/>
    <cellStyle name="Normal 373 3 5 2 2" xfId="29077"/>
    <cellStyle name="Normal 373 3 5 3" xfId="29078"/>
    <cellStyle name="Normal 373 3 6" xfId="29079"/>
    <cellStyle name="Normal 373 4" xfId="29080"/>
    <cellStyle name="Normal 373 4 2" xfId="29081"/>
    <cellStyle name="Normal 373 4 2 2" xfId="29082"/>
    <cellStyle name="Normal 373 4 3" xfId="29083"/>
    <cellStyle name="Normal 373 5" xfId="29084"/>
    <cellStyle name="Normal 373 5 2" xfId="29085"/>
    <cellStyle name="Normal 373 5 2 2" xfId="29086"/>
    <cellStyle name="Normal 373 5 3" xfId="29087"/>
    <cellStyle name="Normal 373 6" xfId="29088"/>
    <cellStyle name="Normal 373 6 2" xfId="29089"/>
    <cellStyle name="Normal 373 6 2 2" xfId="29090"/>
    <cellStyle name="Normal 373 6 3" xfId="29091"/>
    <cellStyle name="Normal 373 7" xfId="29092"/>
    <cellStyle name="Normal 374" xfId="29093"/>
    <cellStyle name="Normal 374 2" xfId="29094"/>
    <cellStyle name="Normal 374 2 2" xfId="29095"/>
    <cellStyle name="Normal 374 2 2 2" xfId="29096"/>
    <cellStyle name="Normal 374 2 3" xfId="29097"/>
    <cellStyle name="Normal 374 2 3 2" xfId="29098"/>
    <cellStyle name="Normal 374 2 3 2 2" xfId="29099"/>
    <cellStyle name="Normal 374 2 3 3" xfId="29100"/>
    <cellStyle name="Normal 374 2 4" xfId="29101"/>
    <cellStyle name="Normal 374 2 4 2" xfId="29102"/>
    <cellStyle name="Normal 374 2 4 2 2" xfId="29103"/>
    <cellStyle name="Normal 374 2 4 3" xfId="29104"/>
    <cellStyle name="Normal 374 2 5" xfId="29105"/>
    <cellStyle name="Normal 374 3" xfId="29106"/>
    <cellStyle name="Normal 374 3 2" xfId="29107"/>
    <cellStyle name="Normal 374 3 2 2" xfId="29108"/>
    <cellStyle name="Normal 374 3 2 2 2" xfId="29109"/>
    <cellStyle name="Normal 374 3 2 3" xfId="29110"/>
    <cellStyle name="Normal 374 3 2 3 2" xfId="29111"/>
    <cellStyle name="Normal 374 3 2 3 2 2" xfId="29112"/>
    <cellStyle name="Normal 374 3 2 3 3" xfId="29113"/>
    <cellStyle name="Normal 374 3 2 4" xfId="29114"/>
    <cellStyle name="Normal 374 3 3" xfId="29115"/>
    <cellStyle name="Normal 374 3 3 2" xfId="29116"/>
    <cellStyle name="Normal 374 3 3 2 2" xfId="29117"/>
    <cellStyle name="Normal 374 3 3 3" xfId="29118"/>
    <cellStyle name="Normal 374 3 4" xfId="29119"/>
    <cellStyle name="Normal 374 3 4 2" xfId="29120"/>
    <cellStyle name="Normal 374 3 4 2 2" xfId="29121"/>
    <cellStyle name="Normal 374 3 4 3" xfId="29122"/>
    <cellStyle name="Normal 374 3 5" xfId="29123"/>
    <cellStyle name="Normal 374 3 5 2" xfId="29124"/>
    <cellStyle name="Normal 374 3 5 2 2" xfId="29125"/>
    <cellStyle name="Normal 374 3 5 3" xfId="29126"/>
    <cellStyle name="Normal 374 3 6" xfId="29127"/>
    <cellStyle name="Normal 374 4" xfId="29128"/>
    <cellStyle name="Normal 374 4 2" xfId="29129"/>
    <cellStyle name="Normal 374 4 2 2" xfId="29130"/>
    <cellStyle name="Normal 374 4 3" xfId="29131"/>
    <cellStyle name="Normal 374 5" xfId="29132"/>
    <cellStyle name="Normal 374 5 2" xfId="29133"/>
    <cellStyle name="Normal 374 5 2 2" xfId="29134"/>
    <cellStyle name="Normal 374 5 3" xfId="29135"/>
    <cellStyle name="Normal 374 6" xfId="29136"/>
    <cellStyle name="Normal 374 6 2" xfId="29137"/>
    <cellStyle name="Normal 374 6 2 2" xfId="29138"/>
    <cellStyle name="Normal 374 6 3" xfId="29139"/>
    <cellStyle name="Normal 374 7" xfId="29140"/>
    <cellStyle name="Normal 375" xfId="29141"/>
    <cellStyle name="Normal 375 2" xfId="29142"/>
    <cellStyle name="Normal 375 2 2" xfId="29143"/>
    <cellStyle name="Normal 375 2 2 2" xfId="29144"/>
    <cellStyle name="Normal 375 2 3" xfId="29145"/>
    <cellStyle name="Normal 375 2 3 2" xfId="29146"/>
    <cellStyle name="Normal 375 2 3 2 2" xfId="29147"/>
    <cellStyle name="Normal 375 2 3 3" xfId="29148"/>
    <cellStyle name="Normal 375 2 4" xfId="29149"/>
    <cellStyle name="Normal 375 2 4 2" xfId="29150"/>
    <cellStyle name="Normal 375 2 4 2 2" xfId="29151"/>
    <cellStyle name="Normal 375 2 4 3" xfId="29152"/>
    <cellStyle name="Normal 375 2 5" xfId="29153"/>
    <cellStyle name="Normal 375 3" xfId="29154"/>
    <cellStyle name="Normal 375 3 2" xfId="29155"/>
    <cellStyle name="Normal 375 3 2 2" xfId="29156"/>
    <cellStyle name="Normal 375 3 2 2 2" xfId="29157"/>
    <cellStyle name="Normal 375 3 2 3" xfId="29158"/>
    <cellStyle name="Normal 375 3 2 3 2" xfId="29159"/>
    <cellStyle name="Normal 375 3 2 3 2 2" xfId="29160"/>
    <cellStyle name="Normal 375 3 2 3 3" xfId="29161"/>
    <cellStyle name="Normal 375 3 2 4" xfId="29162"/>
    <cellStyle name="Normal 375 3 3" xfId="29163"/>
    <cellStyle name="Normal 375 3 3 2" xfId="29164"/>
    <cellStyle name="Normal 375 3 3 2 2" xfId="29165"/>
    <cellStyle name="Normal 375 3 3 3" xfId="29166"/>
    <cellStyle name="Normal 375 3 4" xfId="29167"/>
    <cellStyle name="Normal 375 3 4 2" xfId="29168"/>
    <cellStyle name="Normal 375 3 4 2 2" xfId="29169"/>
    <cellStyle name="Normal 375 3 4 3" xfId="29170"/>
    <cellStyle name="Normal 375 3 5" xfId="29171"/>
    <cellStyle name="Normal 375 3 5 2" xfId="29172"/>
    <cellStyle name="Normal 375 3 5 2 2" xfId="29173"/>
    <cellStyle name="Normal 375 3 5 3" xfId="29174"/>
    <cellStyle name="Normal 375 3 6" xfId="29175"/>
    <cellStyle name="Normal 375 4" xfId="29176"/>
    <cellStyle name="Normal 375 4 2" xfId="29177"/>
    <cellStyle name="Normal 375 4 2 2" xfId="29178"/>
    <cellStyle name="Normal 375 4 3" xfId="29179"/>
    <cellStyle name="Normal 375 5" xfId="29180"/>
    <cellStyle name="Normal 375 5 2" xfId="29181"/>
    <cellStyle name="Normal 375 5 2 2" xfId="29182"/>
    <cellStyle name="Normal 375 5 3" xfId="29183"/>
    <cellStyle name="Normal 375 6" xfId="29184"/>
    <cellStyle name="Normal 375 6 2" xfId="29185"/>
    <cellStyle name="Normal 375 6 2 2" xfId="29186"/>
    <cellStyle name="Normal 375 6 3" xfId="29187"/>
    <cellStyle name="Normal 375 7" xfId="29188"/>
    <cellStyle name="Normal 376" xfId="29189"/>
    <cellStyle name="Normal 376 2" xfId="29190"/>
    <cellStyle name="Normal 376 2 2" xfId="29191"/>
    <cellStyle name="Normal 376 2 2 2" xfId="29192"/>
    <cellStyle name="Normal 376 2 3" xfId="29193"/>
    <cellStyle name="Normal 376 2 3 2" xfId="29194"/>
    <cellStyle name="Normal 376 2 3 2 2" xfId="29195"/>
    <cellStyle name="Normal 376 2 3 3" xfId="29196"/>
    <cellStyle name="Normal 376 2 4" xfId="29197"/>
    <cellStyle name="Normal 376 2 4 2" xfId="29198"/>
    <cellStyle name="Normal 376 2 4 2 2" xfId="29199"/>
    <cellStyle name="Normal 376 2 4 3" xfId="29200"/>
    <cellStyle name="Normal 376 2 5" xfId="29201"/>
    <cellStyle name="Normal 376 3" xfId="29202"/>
    <cellStyle name="Normal 376 3 2" xfId="29203"/>
    <cellStyle name="Normal 376 3 2 2" xfId="29204"/>
    <cellStyle name="Normal 376 3 2 2 2" xfId="29205"/>
    <cellStyle name="Normal 376 3 2 3" xfId="29206"/>
    <cellStyle name="Normal 376 3 2 3 2" xfId="29207"/>
    <cellStyle name="Normal 376 3 2 3 2 2" xfId="29208"/>
    <cellStyle name="Normal 376 3 2 3 3" xfId="29209"/>
    <cellStyle name="Normal 376 3 2 4" xfId="29210"/>
    <cellStyle name="Normal 376 3 3" xfId="29211"/>
    <cellStyle name="Normal 376 3 3 2" xfId="29212"/>
    <cellStyle name="Normal 376 3 3 2 2" xfId="29213"/>
    <cellStyle name="Normal 376 3 3 3" xfId="29214"/>
    <cellStyle name="Normal 376 3 4" xfId="29215"/>
    <cellStyle name="Normal 376 3 4 2" xfId="29216"/>
    <cellStyle name="Normal 376 3 4 2 2" xfId="29217"/>
    <cellStyle name="Normal 376 3 4 3" xfId="29218"/>
    <cellStyle name="Normal 376 3 5" xfId="29219"/>
    <cellStyle name="Normal 376 3 5 2" xfId="29220"/>
    <cellStyle name="Normal 376 3 5 2 2" xfId="29221"/>
    <cellStyle name="Normal 376 3 5 3" xfId="29222"/>
    <cellStyle name="Normal 376 3 6" xfId="29223"/>
    <cellStyle name="Normal 376 4" xfId="29224"/>
    <cellStyle name="Normal 376 4 2" xfId="29225"/>
    <cellStyle name="Normal 376 4 2 2" xfId="29226"/>
    <cellStyle name="Normal 376 4 3" xfId="29227"/>
    <cellStyle name="Normal 376 5" xfId="29228"/>
    <cellStyle name="Normal 376 5 2" xfId="29229"/>
    <cellStyle name="Normal 376 5 2 2" xfId="29230"/>
    <cellStyle name="Normal 376 5 3" xfId="29231"/>
    <cellStyle name="Normal 376 6" xfId="29232"/>
    <cellStyle name="Normal 376 6 2" xfId="29233"/>
    <cellStyle name="Normal 376 6 2 2" xfId="29234"/>
    <cellStyle name="Normal 376 6 3" xfId="29235"/>
    <cellStyle name="Normal 376 7" xfId="29236"/>
    <cellStyle name="Normal 377" xfId="29237"/>
    <cellStyle name="Normal 377 2" xfId="29238"/>
    <cellStyle name="Normal 377 2 2" xfId="29239"/>
    <cellStyle name="Normal 377 2 2 2" xfId="29240"/>
    <cellStyle name="Normal 377 2 3" xfId="29241"/>
    <cellStyle name="Normal 377 2 3 2" xfId="29242"/>
    <cellStyle name="Normal 377 2 3 2 2" xfId="29243"/>
    <cellStyle name="Normal 377 2 3 3" xfId="29244"/>
    <cellStyle name="Normal 377 2 4" xfId="29245"/>
    <cellStyle name="Normal 377 2 4 2" xfId="29246"/>
    <cellStyle name="Normal 377 2 4 2 2" xfId="29247"/>
    <cellStyle name="Normal 377 2 4 3" xfId="29248"/>
    <cellStyle name="Normal 377 2 5" xfId="29249"/>
    <cellStyle name="Normal 377 3" xfId="29250"/>
    <cellStyle name="Normal 377 3 2" xfId="29251"/>
    <cellStyle name="Normal 377 3 2 2" xfId="29252"/>
    <cellStyle name="Normal 377 3 2 2 2" xfId="29253"/>
    <cellStyle name="Normal 377 3 2 3" xfId="29254"/>
    <cellStyle name="Normal 377 3 2 3 2" xfId="29255"/>
    <cellStyle name="Normal 377 3 2 3 2 2" xfId="29256"/>
    <cellStyle name="Normal 377 3 2 3 3" xfId="29257"/>
    <cellStyle name="Normal 377 3 2 4" xfId="29258"/>
    <cellStyle name="Normal 377 3 3" xfId="29259"/>
    <cellStyle name="Normal 377 3 3 2" xfId="29260"/>
    <cellStyle name="Normal 377 3 3 2 2" xfId="29261"/>
    <cellStyle name="Normal 377 3 3 3" xfId="29262"/>
    <cellStyle name="Normal 377 3 4" xfId="29263"/>
    <cellStyle name="Normal 377 3 4 2" xfId="29264"/>
    <cellStyle name="Normal 377 3 4 2 2" xfId="29265"/>
    <cellStyle name="Normal 377 3 4 3" xfId="29266"/>
    <cellStyle name="Normal 377 3 5" xfId="29267"/>
    <cellStyle name="Normal 377 3 5 2" xfId="29268"/>
    <cellStyle name="Normal 377 3 5 2 2" xfId="29269"/>
    <cellStyle name="Normal 377 3 5 3" xfId="29270"/>
    <cellStyle name="Normal 377 3 6" xfId="29271"/>
    <cellStyle name="Normal 377 4" xfId="29272"/>
    <cellStyle name="Normal 377 4 2" xfId="29273"/>
    <cellStyle name="Normal 377 4 2 2" xfId="29274"/>
    <cellStyle name="Normal 377 4 3" xfId="29275"/>
    <cellStyle name="Normal 377 5" xfId="29276"/>
    <cellStyle name="Normal 377 5 2" xfId="29277"/>
    <cellStyle name="Normal 377 5 2 2" xfId="29278"/>
    <cellStyle name="Normal 377 5 3" xfId="29279"/>
    <cellStyle name="Normal 377 6" xfId="29280"/>
    <cellStyle name="Normal 377 6 2" xfId="29281"/>
    <cellStyle name="Normal 377 6 2 2" xfId="29282"/>
    <cellStyle name="Normal 377 6 3" xfId="29283"/>
    <cellStyle name="Normal 377 7" xfId="29284"/>
    <cellStyle name="Normal 378" xfId="29285"/>
    <cellStyle name="Normal 378 2" xfId="29286"/>
    <cellStyle name="Normal 378 2 2" xfId="29287"/>
    <cellStyle name="Normal 378 2 2 2" xfId="29288"/>
    <cellStyle name="Normal 378 2 3" xfId="29289"/>
    <cellStyle name="Normal 378 2 3 2" xfId="29290"/>
    <cellStyle name="Normal 378 2 3 2 2" xfId="29291"/>
    <cellStyle name="Normal 378 2 3 3" xfId="29292"/>
    <cellStyle name="Normal 378 2 4" xfId="29293"/>
    <cellStyle name="Normal 378 2 4 2" xfId="29294"/>
    <cellStyle name="Normal 378 2 4 2 2" xfId="29295"/>
    <cellStyle name="Normal 378 2 4 3" xfId="29296"/>
    <cellStyle name="Normal 378 2 5" xfId="29297"/>
    <cellStyle name="Normal 378 3" xfId="29298"/>
    <cellStyle name="Normal 378 3 2" xfId="29299"/>
    <cellStyle name="Normal 378 3 2 2" xfId="29300"/>
    <cellStyle name="Normal 378 3 2 2 2" xfId="29301"/>
    <cellStyle name="Normal 378 3 2 3" xfId="29302"/>
    <cellStyle name="Normal 378 3 2 3 2" xfId="29303"/>
    <cellStyle name="Normal 378 3 2 3 2 2" xfId="29304"/>
    <cellStyle name="Normal 378 3 2 3 3" xfId="29305"/>
    <cellStyle name="Normal 378 3 2 4" xfId="29306"/>
    <cellStyle name="Normal 378 3 3" xfId="29307"/>
    <cellStyle name="Normal 378 3 3 2" xfId="29308"/>
    <cellStyle name="Normal 378 3 3 2 2" xfId="29309"/>
    <cellStyle name="Normal 378 3 3 3" xfId="29310"/>
    <cellStyle name="Normal 378 3 4" xfId="29311"/>
    <cellStyle name="Normal 378 3 4 2" xfId="29312"/>
    <cellStyle name="Normal 378 3 4 2 2" xfId="29313"/>
    <cellStyle name="Normal 378 3 4 3" xfId="29314"/>
    <cellStyle name="Normal 378 3 5" xfId="29315"/>
    <cellStyle name="Normal 378 3 5 2" xfId="29316"/>
    <cellStyle name="Normal 378 3 5 2 2" xfId="29317"/>
    <cellStyle name="Normal 378 3 5 3" xfId="29318"/>
    <cellStyle name="Normal 378 3 6" xfId="29319"/>
    <cellStyle name="Normal 378 4" xfId="29320"/>
    <cellStyle name="Normal 378 4 2" xfId="29321"/>
    <cellStyle name="Normal 378 4 2 2" xfId="29322"/>
    <cellStyle name="Normal 378 4 3" xfId="29323"/>
    <cellStyle name="Normal 378 5" xfId="29324"/>
    <cellStyle name="Normal 378 5 2" xfId="29325"/>
    <cellStyle name="Normal 378 5 2 2" xfId="29326"/>
    <cellStyle name="Normal 378 5 3" xfId="29327"/>
    <cellStyle name="Normal 378 6" xfId="29328"/>
    <cellStyle name="Normal 378 6 2" xfId="29329"/>
    <cellStyle name="Normal 378 6 2 2" xfId="29330"/>
    <cellStyle name="Normal 378 6 3" xfId="29331"/>
    <cellStyle name="Normal 378 7" xfId="29332"/>
    <cellStyle name="Normal 379" xfId="29333"/>
    <cellStyle name="Normal 379 2" xfId="29334"/>
    <cellStyle name="Normal 379 2 2" xfId="29335"/>
    <cellStyle name="Normal 379 2 2 2" xfId="29336"/>
    <cellStyle name="Normal 379 2 3" xfId="29337"/>
    <cellStyle name="Normal 379 2 3 2" xfId="29338"/>
    <cellStyle name="Normal 379 2 3 2 2" xfId="29339"/>
    <cellStyle name="Normal 379 2 3 3" xfId="29340"/>
    <cellStyle name="Normal 379 2 4" xfId="29341"/>
    <cellStyle name="Normal 379 2 4 2" xfId="29342"/>
    <cellStyle name="Normal 379 2 4 2 2" xfId="29343"/>
    <cellStyle name="Normal 379 2 4 3" xfId="29344"/>
    <cellStyle name="Normal 379 2 5" xfId="29345"/>
    <cellStyle name="Normal 379 3" xfId="29346"/>
    <cellStyle name="Normal 379 3 2" xfId="29347"/>
    <cellStyle name="Normal 379 3 2 2" xfId="29348"/>
    <cellStyle name="Normal 379 3 2 2 2" xfId="29349"/>
    <cellStyle name="Normal 379 3 2 3" xfId="29350"/>
    <cellStyle name="Normal 379 3 2 3 2" xfId="29351"/>
    <cellStyle name="Normal 379 3 2 3 2 2" xfId="29352"/>
    <cellStyle name="Normal 379 3 2 3 3" xfId="29353"/>
    <cellStyle name="Normal 379 3 2 4" xfId="29354"/>
    <cellStyle name="Normal 379 3 3" xfId="29355"/>
    <cellStyle name="Normal 379 3 3 2" xfId="29356"/>
    <cellStyle name="Normal 379 3 3 2 2" xfId="29357"/>
    <cellStyle name="Normal 379 3 3 3" xfId="29358"/>
    <cellStyle name="Normal 379 3 4" xfId="29359"/>
    <cellStyle name="Normal 379 3 4 2" xfId="29360"/>
    <cellStyle name="Normal 379 3 4 2 2" xfId="29361"/>
    <cellStyle name="Normal 379 3 4 3" xfId="29362"/>
    <cellStyle name="Normal 379 3 5" xfId="29363"/>
    <cellStyle name="Normal 379 3 5 2" xfId="29364"/>
    <cellStyle name="Normal 379 3 5 2 2" xfId="29365"/>
    <cellStyle name="Normal 379 3 5 3" xfId="29366"/>
    <cellStyle name="Normal 379 3 6" xfId="29367"/>
    <cellStyle name="Normal 379 4" xfId="29368"/>
    <cellStyle name="Normal 379 4 2" xfId="29369"/>
    <cellStyle name="Normal 379 4 2 2" xfId="29370"/>
    <cellStyle name="Normal 379 4 3" xfId="29371"/>
    <cellStyle name="Normal 379 5" xfId="29372"/>
    <cellStyle name="Normal 379 5 2" xfId="29373"/>
    <cellStyle name="Normal 379 5 2 2" xfId="29374"/>
    <cellStyle name="Normal 379 5 3" xfId="29375"/>
    <cellStyle name="Normal 379 6" xfId="29376"/>
    <cellStyle name="Normal 379 6 2" xfId="29377"/>
    <cellStyle name="Normal 379 6 2 2" xfId="29378"/>
    <cellStyle name="Normal 379 6 3" xfId="29379"/>
    <cellStyle name="Normal 379 7" xfId="29380"/>
    <cellStyle name="Normal 38" xfId="29381"/>
    <cellStyle name="Normal 38 2" xfId="29382"/>
    <cellStyle name="Normal 38 2 2" xfId="29383"/>
    <cellStyle name="Normal 38 2 2 2" xfId="29384"/>
    <cellStyle name="Normal 38 2 2 2 2" xfId="29385"/>
    <cellStyle name="Normal 38 2 2 3" xfId="29386"/>
    <cellStyle name="Normal 38 2 2 3 2" xfId="29387"/>
    <cellStyle name="Normal 38 2 2 3 2 2" xfId="29388"/>
    <cellStyle name="Normal 38 2 2 3 3" xfId="29389"/>
    <cellStyle name="Normal 38 2 2 4" xfId="29390"/>
    <cellStyle name="Normal 38 2 2 4 2" xfId="29391"/>
    <cellStyle name="Normal 38 2 2 4 2 2" xfId="29392"/>
    <cellStyle name="Normal 38 2 2 4 3" xfId="29393"/>
    <cellStyle name="Normal 38 2 2 5" xfId="29394"/>
    <cellStyle name="Normal 38 2 3" xfId="29395"/>
    <cellStyle name="Normal 38 2 3 2" xfId="29396"/>
    <cellStyle name="Normal 38 2 3 2 2" xfId="29397"/>
    <cellStyle name="Normal 38 2 3 3" xfId="29398"/>
    <cellStyle name="Normal 38 2 4" xfId="29399"/>
    <cellStyle name="Normal 38 2 4 2" xfId="29400"/>
    <cellStyle name="Normal 38 2 4 2 2" xfId="29401"/>
    <cellStyle name="Normal 38 2 4 3" xfId="29402"/>
    <cellStyle name="Normal 38 2 5" xfId="29403"/>
    <cellStyle name="Normal 38 2 5 2" xfId="29404"/>
    <cellStyle name="Normal 38 2 5 2 2" xfId="29405"/>
    <cellStyle name="Normal 38 2 5 3" xfId="29406"/>
    <cellStyle name="Normal 38 2 6" xfId="29407"/>
    <cellStyle name="Normal 38 3" xfId="29408"/>
    <cellStyle name="Normal 38 3 2" xfId="29409"/>
    <cellStyle name="Normal 38 3 2 2" xfId="29410"/>
    <cellStyle name="Normal 38 3 3" xfId="29411"/>
    <cellStyle name="Normal 38 3 3 2" xfId="29412"/>
    <cellStyle name="Normal 38 3 3 2 2" xfId="29413"/>
    <cellStyle name="Normal 38 3 3 3" xfId="29414"/>
    <cellStyle name="Normal 38 3 4" xfId="29415"/>
    <cellStyle name="Normal 38 3 4 2" xfId="29416"/>
    <cellStyle name="Normal 38 3 4 2 2" xfId="29417"/>
    <cellStyle name="Normal 38 3 4 3" xfId="29418"/>
    <cellStyle name="Normal 38 3 5" xfId="29419"/>
    <cellStyle name="Normal 38 4" xfId="29420"/>
    <cellStyle name="Normal 38 4 2" xfId="29421"/>
    <cellStyle name="Normal 38 4 2 2" xfId="29422"/>
    <cellStyle name="Normal 38 4 3" xfId="29423"/>
    <cellStyle name="Normal 38 5" xfId="29424"/>
    <cellStyle name="Normal 38 5 2" xfId="29425"/>
    <cellStyle name="Normal 38 5 2 2" xfId="29426"/>
    <cellStyle name="Normal 38 5 3" xfId="29427"/>
    <cellStyle name="Normal 38 6" xfId="29428"/>
    <cellStyle name="Normal 38 6 2" xfId="29429"/>
    <cellStyle name="Normal 38 6 2 2" xfId="29430"/>
    <cellStyle name="Normal 38 6 3" xfId="29431"/>
    <cellStyle name="Normal 38 7" xfId="29432"/>
    <cellStyle name="Normal 380" xfId="29433"/>
    <cellStyle name="Normal 380 2" xfId="29434"/>
    <cellStyle name="Normal 380 2 2" xfId="29435"/>
    <cellStyle name="Normal 380 2 2 2" xfId="29436"/>
    <cellStyle name="Normal 380 2 3" xfId="29437"/>
    <cellStyle name="Normal 380 2 3 2" xfId="29438"/>
    <cellStyle name="Normal 380 2 3 2 2" xfId="29439"/>
    <cellStyle name="Normal 380 2 3 3" xfId="29440"/>
    <cellStyle name="Normal 380 2 4" xfId="29441"/>
    <cellStyle name="Normal 380 2 4 2" xfId="29442"/>
    <cellStyle name="Normal 380 2 4 2 2" xfId="29443"/>
    <cellStyle name="Normal 380 2 4 3" xfId="29444"/>
    <cellStyle name="Normal 380 2 5" xfId="29445"/>
    <cellStyle name="Normal 380 3" xfId="29446"/>
    <cellStyle name="Normal 380 3 2" xfId="29447"/>
    <cellStyle name="Normal 380 3 2 2" xfId="29448"/>
    <cellStyle name="Normal 380 3 2 2 2" xfId="29449"/>
    <cellStyle name="Normal 380 3 2 3" xfId="29450"/>
    <cellStyle name="Normal 380 3 2 3 2" xfId="29451"/>
    <cellStyle name="Normal 380 3 2 3 2 2" xfId="29452"/>
    <cellStyle name="Normal 380 3 2 3 3" xfId="29453"/>
    <cellStyle name="Normal 380 3 2 4" xfId="29454"/>
    <cellStyle name="Normal 380 3 3" xfId="29455"/>
    <cellStyle name="Normal 380 3 3 2" xfId="29456"/>
    <cellStyle name="Normal 380 3 3 2 2" xfId="29457"/>
    <cellStyle name="Normal 380 3 3 3" xfId="29458"/>
    <cellStyle name="Normal 380 3 4" xfId="29459"/>
    <cellStyle name="Normal 380 3 4 2" xfId="29460"/>
    <cellStyle name="Normal 380 3 4 2 2" xfId="29461"/>
    <cellStyle name="Normal 380 3 4 3" xfId="29462"/>
    <cellStyle name="Normal 380 3 5" xfId="29463"/>
    <cellStyle name="Normal 380 3 5 2" xfId="29464"/>
    <cellStyle name="Normal 380 3 5 2 2" xfId="29465"/>
    <cellStyle name="Normal 380 3 5 3" xfId="29466"/>
    <cellStyle name="Normal 380 3 6" xfId="29467"/>
    <cellStyle name="Normal 380 4" xfId="29468"/>
    <cellStyle name="Normal 380 4 2" xfId="29469"/>
    <cellStyle name="Normal 380 4 2 2" xfId="29470"/>
    <cellStyle name="Normal 380 4 3" xfId="29471"/>
    <cellStyle name="Normal 380 5" xfId="29472"/>
    <cellStyle name="Normal 380 5 2" xfId="29473"/>
    <cellStyle name="Normal 380 5 2 2" xfId="29474"/>
    <cellStyle name="Normal 380 5 3" xfId="29475"/>
    <cellStyle name="Normal 380 6" xfId="29476"/>
    <cellStyle name="Normal 380 6 2" xfId="29477"/>
    <cellStyle name="Normal 380 6 2 2" xfId="29478"/>
    <cellStyle name="Normal 380 6 3" xfId="29479"/>
    <cellStyle name="Normal 380 7" xfId="29480"/>
    <cellStyle name="Normal 381" xfId="29481"/>
    <cellStyle name="Normal 381 2" xfId="29482"/>
    <cellStyle name="Normal 381 2 2" xfId="29483"/>
    <cellStyle name="Normal 381 2 2 2" xfId="29484"/>
    <cellStyle name="Normal 381 2 3" xfId="29485"/>
    <cellStyle name="Normal 381 2 3 2" xfId="29486"/>
    <cellStyle name="Normal 381 2 3 2 2" xfId="29487"/>
    <cellStyle name="Normal 381 2 3 3" xfId="29488"/>
    <cellStyle name="Normal 381 2 4" xfId="29489"/>
    <cellStyle name="Normal 381 2 4 2" xfId="29490"/>
    <cellStyle name="Normal 381 2 4 2 2" xfId="29491"/>
    <cellStyle name="Normal 381 2 4 3" xfId="29492"/>
    <cellStyle name="Normal 381 2 5" xfId="29493"/>
    <cellStyle name="Normal 381 3" xfId="29494"/>
    <cellStyle name="Normal 381 3 2" xfId="29495"/>
    <cellStyle name="Normal 381 3 2 2" xfId="29496"/>
    <cellStyle name="Normal 381 3 2 2 2" xfId="29497"/>
    <cellStyle name="Normal 381 3 2 3" xfId="29498"/>
    <cellStyle name="Normal 381 3 2 3 2" xfId="29499"/>
    <cellStyle name="Normal 381 3 2 3 2 2" xfId="29500"/>
    <cellStyle name="Normal 381 3 2 3 3" xfId="29501"/>
    <cellStyle name="Normal 381 3 2 4" xfId="29502"/>
    <cellStyle name="Normal 381 3 3" xfId="29503"/>
    <cellStyle name="Normal 381 3 3 2" xfId="29504"/>
    <cellStyle name="Normal 381 3 3 2 2" xfId="29505"/>
    <cellStyle name="Normal 381 3 3 3" xfId="29506"/>
    <cellStyle name="Normal 381 3 4" xfId="29507"/>
    <cellStyle name="Normal 381 3 4 2" xfId="29508"/>
    <cellStyle name="Normal 381 3 4 2 2" xfId="29509"/>
    <cellStyle name="Normal 381 3 4 3" xfId="29510"/>
    <cellStyle name="Normal 381 3 5" xfId="29511"/>
    <cellStyle name="Normal 381 3 5 2" xfId="29512"/>
    <cellStyle name="Normal 381 3 5 2 2" xfId="29513"/>
    <cellStyle name="Normal 381 3 5 3" xfId="29514"/>
    <cellStyle name="Normal 381 3 6" xfId="29515"/>
    <cellStyle name="Normal 381 4" xfId="29516"/>
    <cellStyle name="Normal 381 4 2" xfId="29517"/>
    <cellStyle name="Normal 381 4 2 2" xfId="29518"/>
    <cellStyle name="Normal 381 4 3" xfId="29519"/>
    <cellStyle name="Normal 381 5" xfId="29520"/>
    <cellStyle name="Normal 381 5 2" xfId="29521"/>
    <cellStyle name="Normal 381 5 2 2" xfId="29522"/>
    <cellStyle name="Normal 381 5 3" xfId="29523"/>
    <cellStyle name="Normal 381 6" xfId="29524"/>
    <cellStyle name="Normal 381 6 2" xfId="29525"/>
    <cellStyle name="Normal 381 6 2 2" xfId="29526"/>
    <cellStyle name="Normal 381 6 3" xfId="29527"/>
    <cellStyle name="Normal 381 7" xfId="29528"/>
    <cellStyle name="Normal 382" xfId="29529"/>
    <cellStyle name="Normal 382 2" xfId="29530"/>
    <cellStyle name="Normal 382 2 2" xfId="29531"/>
    <cellStyle name="Normal 382 2 2 2" xfId="29532"/>
    <cellStyle name="Normal 382 2 3" xfId="29533"/>
    <cellStyle name="Normal 382 2 3 2" xfId="29534"/>
    <cellStyle name="Normal 382 2 3 2 2" xfId="29535"/>
    <cellStyle name="Normal 382 2 3 3" xfId="29536"/>
    <cellStyle name="Normal 382 2 4" xfId="29537"/>
    <cellStyle name="Normal 382 2 4 2" xfId="29538"/>
    <cellStyle name="Normal 382 2 4 2 2" xfId="29539"/>
    <cellStyle name="Normal 382 2 4 3" xfId="29540"/>
    <cellStyle name="Normal 382 2 5" xfId="29541"/>
    <cellStyle name="Normal 382 3" xfId="29542"/>
    <cellStyle name="Normal 382 3 2" xfId="29543"/>
    <cellStyle name="Normal 382 3 2 2" xfId="29544"/>
    <cellStyle name="Normal 382 3 2 2 2" xfId="29545"/>
    <cellStyle name="Normal 382 3 2 3" xfId="29546"/>
    <cellStyle name="Normal 382 3 2 3 2" xfId="29547"/>
    <cellStyle name="Normal 382 3 2 3 2 2" xfId="29548"/>
    <cellStyle name="Normal 382 3 2 3 3" xfId="29549"/>
    <cellStyle name="Normal 382 3 2 4" xfId="29550"/>
    <cellStyle name="Normal 382 3 3" xfId="29551"/>
    <cellStyle name="Normal 382 3 3 2" xfId="29552"/>
    <cellStyle name="Normal 382 3 3 2 2" xfId="29553"/>
    <cellStyle name="Normal 382 3 3 3" xfId="29554"/>
    <cellStyle name="Normal 382 3 4" xfId="29555"/>
    <cellStyle name="Normal 382 3 4 2" xfId="29556"/>
    <cellStyle name="Normal 382 3 4 2 2" xfId="29557"/>
    <cellStyle name="Normal 382 3 4 3" xfId="29558"/>
    <cellStyle name="Normal 382 3 5" xfId="29559"/>
    <cellStyle name="Normal 382 3 5 2" xfId="29560"/>
    <cellStyle name="Normal 382 3 5 2 2" xfId="29561"/>
    <cellStyle name="Normal 382 3 5 3" xfId="29562"/>
    <cellStyle name="Normal 382 3 6" xfId="29563"/>
    <cellStyle name="Normal 382 4" xfId="29564"/>
    <cellStyle name="Normal 382 4 2" xfId="29565"/>
    <cellStyle name="Normal 382 4 2 2" xfId="29566"/>
    <cellStyle name="Normal 382 4 3" xfId="29567"/>
    <cellStyle name="Normal 382 5" xfId="29568"/>
    <cellStyle name="Normal 382 5 2" xfId="29569"/>
    <cellStyle name="Normal 382 5 2 2" xfId="29570"/>
    <cellStyle name="Normal 382 5 3" xfId="29571"/>
    <cellStyle name="Normal 382 6" xfId="29572"/>
    <cellStyle name="Normal 382 6 2" xfId="29573"/>
    <cellStyle name="Normal 382 6 2 2" xfId="29574"/>
    <cellStyle name="Normal 382 6 3" xfId="29575"/>
    <cellStyle name="Normal 382 7" xfId="29576"/>
    <cellStyle name="Normal 383" xfId="29577"/>
    <cellStyle name="Normal 383 2" xfId="29578"/>
    <cellStyle name="Normal 383 2 2" xfId="29579"/>
    <cellStyle name="Normal 383 2 2 2" xfId="29580"/>
    <cellStyle name="Normal 383 2 3" xfId="29581"/>
    <cellStyle name="Normal 383 2 3 2" xfId="29582"/>
    <cellStyle name="Normal 383 2 3 2 2" xfId="29583"/>
    <cellStyle name="Normal 383 2 3 3" xfId="29584"/>
    <cellStyle name="Normal 383 2 4" xfId="29585"/>
    <cellStyle name="Normal 383 2 4 2" xfId="29586"/>
    <cellStyle name="Normal 383 2 4 2 2" xfId="29587"/>
    <cellStyle name="Normal 383 2 4 3" xfId="29588"/>
    <cellStyle name="Normal 383 2 5" xfId="29589"/>
    <cellStyle name="Normal 383 3" xfId="29590"/>
    <cellStyle name="Normal 383 3 2" xfId="29591"/>
    <cellStyle name="Normal 383 3 2 2" xfId="29592"/>
    <cellStyle name="Normal 383 3 2 2 2" xfId="29593"/>
    <cellStyle name="Normal 383 3 2 3" xfId="29594"/>
    <cellStyle name="Normal 383 3 2 3 2" xfId="29595"/>
    <cellStyle name="Normal 383 3 2 3 2 2" xfId="29596"/>
    <cellStyle name="Normal 383 3 2 3 3" xfId="29597"/>
    <cellStyle name="Normal 383 3 2 4" xfId="29598"/>
    <cellStyle name="Normal 383 3 3" xfId="29599"/>
    <cellStyle name="Normal 383 3 3 2" xfId="29600"/>
    <cellStyle name="Normal 383 3 3 2 2" xfId="29601"/>
    <cellStyle name="Normal 383 3 3 3" xfId="29602"/>
    <cellStyle name="Normal 383 3 4" xfId="29603"/>
    <cellStyle name="Normal 383 3 4 2" xfId="29604"/>
    <cellStyle name="Normal 383 3 4 2 2" xfId="29605"/>
    <cellStyle name="Normal 383 3 4 3" xfId="29606"/>
    <cellStyle name="Normal 383 3 5" xfId="29607"/>
    <cellStyle name="Normal 383 3 5 2" xfId="29608"/>
    <cellStyle name="Normal 383 3 5 2 2" xfId="29609"/>
    <cellStyle name="Normal 383 3 5 3" xfId="29610"/>
    <cellStyle name="Normal 383 3 6" xfId="29611"/>
    <cellStyle name="Normal 383 4" xfId="29612"/>
    <cellStyle name="Normal 383 4 2" xfId="29613"/>
    <cellStyle name="Normal 383 4 2 2" xfId="29614"/>
    <cellStyle name="Normal 383 4 3" xfId="29615"/>
    <cellStyle name="Normal 383 5" xfId="29616"/>
    <cellStyle name="Normal 383 5 2" xfId="29617"/>
    <cellStyle name="Normal 383 5 2 2" xfId="29618"/>
    <cellStyle name="Normal 383 5 3" xfId="29619"/>
    <cellStyle name="Normal 383 6" xfId="29620"/>
    <cellStyle name="Normal 383 6 2" xfId="29621"/>
    <cellStyle name="Normal 383 6 2 2" xfId="29622"/>
    <cellStyle name="Normal 383 6 3" xfId="29623"/>
    <cellStyle name="Normal 383 7" xfId="29624"/>
    <cellStyle name="Normal 384" xfId="29625"/>
    <cellStyle name="Normal 384 2" xfId="29626"/>
    <cellStyle name="Normal 384 2 2" xfId="29627"/>
    <cellStyle name="Normal 384 2 2 2" xfId="29628"/>
    <cellStyle name="Normal 384 2 3" xfId="29629"/>
    <cellStyle name="Normal 384 2 3 2" xfId="29630"/>
    <cellStyle name="Normal 384 2 3 2 2" xfId="29631"/>
    <cellStyle name="Normal 384 2 3 3" xfId="29632"/>
    <cellStyle name="Normal 384 2 4" xfId="29633"/>
    <cellStyle name="Normal 384 2 4 2" xfId="29634"/>
    <cellStyle name="Normal 384 2 4 2 2" xfId="29635"/>
    <cellStyle name="Normal 384 2 4 3" xfId="29636"/>
    <cellStyle name="Normal 384 2 5" xfId="29637"/>
    <cellStyle name="Normal 384 3" xfId="29638"/>
    <cellStyle name="Normal 384 3 2" xfId="29639"/>
    <cellStyle name="Normal 384 3 2 2" xfId="29640"/>
    <cellStyle name="Normal 384 3 2 2 2" xfId="29641"/>
    <cellStyle name="Normal 384 3 2 3" xfId="29642"/>
    <cellStyle name="Normal 384 3 2 3 2" xfId="29643"/>
    <cellStyle name="Normal 384 3 2 3 2 2" xfId="29644"/>
    <cellStyle name="Normal 384 3 2 3 3" xfId="29645"/>
    <cellStyle name="Normal 384 3 2 4" xfId="29646"/>
    <cellStyle name="Normal 384 3 3" xfId="29647"/>
    <cellStyle name="Normal 384 3 3 2" xfId="29648"/>
    <cellStyle name="Normal 384 3 3 2 2" xfId="29649"/>
    <cellStyle name="Normal 384 3 3 3" xfId="29650"/>
    <cellStyle name="Normal 384 3 4" xfId="29651"/>
    <cellStyle name="Normal 384 3 4 2" xfId="29652"/>
    <cellStyle name="Normal 384 3 4 2 2" xfId="29653"/>
    <cellStyle name="Normal 384 3 4 3" xfId="29654"/>
    <cellStyle name="Normal 384 3 5" xfId="29655"/>
    <cellStyle name="Normal 384 3 5 2" xfId="29656"/>
    <cellStyle name="Normal 384 3 5 2 2" xfId="29657"/>
    <cellStyle name="Normal 384 3 5 3" xfId="29658"/>
    <cellStyle name="Normal 384 3 6" xfId="29659"/>
    <cellStyle name="Normal 384 4" xfId="29660"/>
    <cellStyle name="Normal 384 4 2" xfId="29661"/>
    <cellStyle name="Normal 384 4 2 2" xfId="29662"/>
    <cellStyle name="Normal 384 4 3" xfId="29663"/>
    <cellStyle name="Normal 384 5" xfId="29664"/>
    <cellStyle name="Normal 384 5 2" xfId="29665"/>
    <cellStyle name="Normal 384 5 2 2" xfId="29666"/>
    <cellStyle name="Normal 384 5 3" xfId="29667"/>
    <cellStyle name="Normal 384 6" xfId="29668"/>
    <cellStyle name="Normal 384 6 2" xfId="29669"/>
    <cellStyle name="Normal 384 6 2 2" xfId="29670"/>
    <cellStyle name="Normal 384 6 3" xfId="29671"/>
    <cellStyle name="Normal 384 7" xfId="29672"/>
    <cellStyle name="Normal 385" xfId="29673"/>
    <cellStyle name="Normal 385 2" xfId="29674"/>
    <cellStyle name="Normal 385 2 2" xfId="29675"/>
    <cellStyle name="Normal 385 2 2 2" xfId="29676"/>
    <cellStyle name="Normal 385 2 3" xfId="29677"/>
    <cellStyle name="Normal 385 2 3 2" xfId="29678"/>
    <cellStyle name="Normal 385 2 3 2 2" xfId="29679"/>
    <cellStyle name="Normal 385 2 3 3" xfId="29680"/>
    <cellStyle name="Normal 385 2 4" xfId="29681"/>
    <cellStyle name="Normal 385 2 4 2" xfId="29682"/>
    <cellStyle name="Normal 385 2 4 2 2" xfId="29683"/>
    <cellStyle name="Normal 385 2 4 3" xfId="29684"/>
    <cellStyle name="Normal 385 2 5" xfId="29685"/>
    <cellStyle name="Normal 385 3" xfId="29686"/>
    <cellStyle name="Normal 385 3 2" xfId="29687"/>
    <cellStyle name="Normal 385 3 2 2" xfId="29688"/>
    <cellStyle name="Normal 385 3 2 2 2" xfId="29689"/>
    <cellStyle name="Normal 385 3 2 3" xfId="29690"/>
    <cellStyle name="Normal 385 3 2 3 2" xfId="29691"/>
    <cellStyle name="Normal 385 3 2 3 2 2" xfId="29692"/>
    <cellStyle name="Normal 385 3 2 3 3" xfId="29693"/>
    <cellStyle name="Normal 385 3 2 4" xfId="29694"/>
    <cellStyle name="Normal 385 3 3" xfId="29695"/>
    <cellStyle name="Normal 385 3 3 2" xfId="29696"/>
    <cellStyle name="Normal 385 3 3 2 2" xfId="29697"/>
    <cellStyle name="Normal 385 3 3 3" xfId="29698"/>
    <cellStyle name="Normal 385 3 4" xfId="29699"/>
    <cellStyle name="Normal 385 3 4 2" xfId="29700"/>
    <cellStyle name="Normal 385 3 4 2 2" xfId="29701"/>
    <cellStyle name="Normal 385 3 4 3" xfId="29702"/>
    <cellStyle name="Normal 385 3 5" xfId="29703"/>
    <cellStyle name="Normal 385 3 5 2" xfId="29704"/>
    <cellStyle name="Normal 385 3 5 2 2" xfId="29705"/>
    <cellStyle name="Normal 385 3 5 3" xfId="29706"/>
    <cellStyle name="Normal 385 3 6" xfId="29707"/>
    <cellStyle name="Normal 385 4" xfId="29708"/>
    <cellStyle name="Normal 385 4 2" xfId="29709"/>
    <cellStyle name="Normal 385 4 2 2" xfId="29710"/>
    <cellStyle name="Normal 385 4 3" xfId="29711"/>
    <cellStyle name="Normal 385 5" xfId="29712"/>
    <cellStyle name="Normal 385 5 2" xfId="29713"/>
    <cellStyle name="Normal 385 5 2 2" xfId="29714"/>
    <cellStyle name="Normal 385 5 3" xfId="29715"/>
    <cellStyle name="Normal 385 6" xfId="29716"/>
    <cellStyle name="Normal 385 6 2" xfId="29717"/>
    <cellStyle name="Normal 385 6 2 2" xfId="29718"/>
    <cellStyle name="Normal 385 6 3" xfId="29719"/>
    <cellStyle name="Normal 385 7" xfId="29720"/>
    <cellStyle name="Normal 386" xfId="29721"/>
    <cellStyle name="Normal 386 2" xfId="29722"/>
    <cellStyle name="Normal 386 2 2" xfId="29723"/>
    <cellStyle name="Normal 386 2 2 2" xfId="29724"/>
    <cellStyle name="Normal 386 2 3" xfId="29725"/>
    <cellStyle name="Normal 386 2 3 2" xfId="29726"/>
    <cellStyle name="Normal 386 2 3 2 2" xfId="29727"/>
    <cellStyle name="Normal 386 2 3 3" xfId="29728"/>
    <cellStyle name="Normal 386 2 4" xfId="29729"/>
    <cellStyle name="Normal 386 2 4 2" xfId="29730"/>
    <cellStyle name="Normal 386 2 4 2 2" xfId="29731"/>
    <cellStyle name="Normal 386 2 4 3" xfId="29732"/>
    <cellStyle name="Normal 386 2 5" xfId="29733"/>
    <cellStyle name="Normal 386 3" xfId="29734"/>
    <cellStyle name="Normal 386 3 2" xfId="29735"/>
    <cellStyle name="Normal 386 3 2 2" xfId="29736"/>
    <cellStyle name="Normal 386 3 2 2 2" xfId="29737"/>
    <cellStyle name="Normal 386 3 2 3" xfId="29738"/>
    <cellStyle name="Normal 386 3 2 3 2" xfId="29739"/>
    <cellStyle name="Normal 386 3 2 3 2 2" xfId="29740"/>
    <cellStyle name="Normal 386 3 2 3 3" xfId="29741"/>
    <cellStyle name="Normal 386 3 2 4" xfId="29742"/>
    <cellStyle name="Normal 386 3 3" xfId="29743"/>
    <cellStyle name="Normal 386 3 3 2" xfId="29744"/>
    <cellStyle name="Normal 386 3 3 2 2" xfId="29745"/>
    <cellStyle name="Normal 386 3 3 3" xfId="29746"/>
    <cellStyle name="Normal 386 3 4" xfId="29747"/>
    <cellStyle name="Normal 386 3 4 2" xfId="29748"/>
    <cellStyle name="Normal 386 3 4 2 2" xfId="29749"/>
    <cellStyle name="Normal 386 3 4 3" xfId="29750"/>
    <cellStyle name="Normal 386 3 5" xfId="29751"/>
    <cellStyle name="Normal 386 3 5 2" xfId="29752"/>
    <cellStyle name="Normal 386 3 5 2 2" xfId="29753"/>
    <cellStyle name="Normal 386 3 5 3" xfId="29754"/>
    <cellStyle name="Normal 386 3 6" xfId="29755"/>
    <cellStyle name="Normal 386 4" xfId="29756"/>
    <cellStyle name="Normal 386 4 2" xfId="29757"/>
    <cellStyle name="Normal 386 4 2 2" xfId="29758"/>
    <cellStyle name="Normal 386 4 3" xfId="29759"/>
    <cellStyle name="Normal 386 5" xfId="29760"/>
    <cellStyle name="Normal 386 5 2" xfId="29761"/>
    <cellStyle name="Normal 386 5 2 2" xfId="29762"/>
    <cellStyle name="Normal 386 5 3" xfId="29763"/>
    <cellStyle name="Normal 386 6" xfId="29764"/>
    <cellStyle name="Normal 386 6 2" xfId="29765"/>
    <cellStyle name="Normal 386 6 2 2" xfId="29766"/>
    <cellStyle name="Normal 386 6 3" xfId="29767"/>
    <cellStyle name="Normal 386 7" xfId="29768"/>
    <cellStyle name="Normal 387" xfId="29769"/>
    <cellStyle name="Normal 387 2" xfId="29770"/>
    <cellStyle name="Normal 387 2 2" xfId="29771"/>
    <cellStyle name="Normal 387 2 2 2" xfId="29772"/>
    <cellStyle name="Normal 387 2 3" xfId="29773"/>
    <cellStyle name="Normal 387 2 3 2" xfId="29774"/>
    <cellStyle name="Normal 387 2 3 2 2" xfId="29775"/>
    <cellStyle name="Normal 387 2 3 3" xfId="29776"/>
    <cellStyle name="Normal 387 2 4" xfId="29777"/>
    <cellStyle name="Normal 387 2 4 2" xfId="29778"/>
    <cellStyle name="Normal 387 2 4 2 2" xfId="29779"/>
    <cellStyle name="Normal 387 2 4 3" xfId="29780"/>
    <cellStyle name="Normal 387 2 5" xfId="29781"/>
    <cellStyle name="Normal 387 3" xfId="29782"/>
    <cellStyle name="Normal 387 3 2" xfId="29783"/>
    <cellStyle name="Normal 387 3 2 2" xfId="29784"/>
    <cellStyle name="Normal 387 3 2 2 2" xfId="29785"/>
    <cellStyle name="Normal 387 3 2 3" xfId="29786"/>
    <cellStyle name="Normal 387 3 2 3 2" xfId="29787"/>
    <cellStyle name="Normal 387 3 2 3 2 2" xfId="29788"/>
    <cellStyle name="Normal 387 3 2 3 3" xfId="29789"/>
    <cellStyle name="Normal 387 3 2 4" xfId="29790"/>
    <cellStyle name="Normal 387 3 3" xfId="29791"/>
    <cellStyle name="Normal 387 3 3 2" xfId="29792"/>
    <cellStyle name="Normal 387 3 3 2 2" xfId="29793"/>
    <cellStyle name="Normal 387 3 3 3" xfId="29794"/>
    <cellStyle name="Normal 387 3 4" xfId="29795"/>
    <cellStyle name="Normal 387 3 4 2" xfId="29796"/>
    <cellStyle name="Normal 387 3 4 2 2" xfId="29797"/>
    <cellStyle name="Normal 387 3 4 3" xfId="29798"/>
    <cellStyle name="Normal 387 3 5" xfId="29799"/>
    <cellStyle name="Normal 387 3 5 2" xfId="29800"/>
    <cellStyle name="Normal 387 3 5 2 2" xfId="29801"/>
    <cellStyle name="Normal 387 3 5 3" xfId="29802"/>
    <cellStyle name="Normal 387 3 6" xfId="29803"/>
    <cellStyle name="Normal 387 4" xfId="29804"/>
    <cellStyle name="Normal 387 4 2" xfId="29805"/>
    <cellStyle name="Normal 387 4 2 2" xfId="29806"/>
    <cellStyle name="Normal 387 4 3" xfId="29807"/>
    <cellStyle name="Normal 387 5" xfId="29808"/>
    <cellStyle name="Normal 387 5 2" xfId="29809"/>
    <cellStyle name="Normal 387 5 2 2" xfId="29810"/>
    <cellStyle name="Normal 387 5 3" xfId="29811"/>
    <cellStyle name="Normal 387 6" xfId="29812"/>
    <cellStyle name="Normal 387 6 2" xfId="29813"/>
    <cellStyle name="Normal 387 6 2 2" xfId="29814"/>
    <cellStyle name="Normal 387 6 3" xfId="29815"/>
    <cellStyle name="Normal 387 7" xfId="29816"/>
    <cellStyle name="Normal 388" xfId="29817"/>
    <cellStyle name="Normal 388 2" xfId="29818"/>
    <cellStyle name="Normal 388 2 2" xfId="29819"/>
    <cellStyle name="Normal 388 2 2 2" xfId="29820"/>
    <cellStyle name="Normal 388 2 3" xfId="29821"/>
    <cellStyle name="Normal 388 2 3 2" xfId="29822"/>
    <cellStyle name="Normal 388 2 3 2 2" xfId="29823"/>
    <cellStyle name="Normal 388 2 3 3" xfId="29824"/>
    <cellStyle name="Normal 388 2 4" xfId="29825"/>
    <cellStyle name="Normal 388 2 4 2" xfId="29826"/>
    <cellStyle name="Normal 388 2 4 2 2" xfId="29827"/>
    <cellStyle name="Normal 388 2 4 3" xfId="29828"/>
    <cellStyle name="Normal 388 2 5" xfId="29829"/>
    <cellStyle name="Normal 388 3" xfId="29830"/>
    <cellStyle name="Normal 388 3 2" xfId="29831"/>
    <cellStyle name="Normal 388 3 2 2" xfId="29832"/>
    <cellStyle name="Normal 388 3 2 2 2" xfId="29833"/>
    <cellStyle name="Normal 388 3 2 3" xfId="29834"/>
    <cellStyle name="Normal 388 3 2 3 2" xfId="29835"/>
    <cellStyle name="Normal 388 3 2 3 2 2" xfId="29836"/>
    <cellStyle name="Normal 388 3 2 3 3" xfId="29837"/>
    <cellStyle name="Normal 388 3 2 4" xfId="29838"/>
    <cellStyle name="Normal 388 3 3" xfId="29839"/>
    <cellStyle name="Normal 388 3 3 2" xfId="29840"/>
    <cellStyle name="Normal 388 3 3 2 2" xfId="29841"/>
    <cellStyle name="Normal 388 3 3 3" xfId="29842"/>
    <cellStyle name="Normal 388 3 4" xfId="29843"/>
    <cellStyle name="Normal 388 3 4 2" xfId="29844"/>
    <cellStyle name="Normal 388 3 4 2 2" xfId="29845"/>
    <cellStyle name="Normal 388 3 4 3" xfId="29846"/>
    <cellStyle name="Normal 388 3 5" xfId="29847"/>
    <cellStyle name="Normal 388 3 5 2" xfId="29848"/>
    <cellStyle name="Normal 388 3 5 2 2" xfId="29849"/>
    <cellStyle name="Normal 388 3 5 3" xfId="29850"/>
    <cellStyle name="Normal 388 3 6" xfId="29851"/>
    <cellStyle name="Normal 388 4" xfId="29852"/>
    <cellStyle name="Normal 388 4 2" xfId="29853"/>
    <cellStyle name="Normal 388 4 2 2" xfId="29854"/>
    <cellStyle name="Normal 388 4 3" xfId="29855"/>
    <cellStyle name="Normal 388 5" xfId="29856"/>
    <cellStyle name="Normal 388 5 2" xfId="29857"/>
    <cellStyle name="Normal 388 5 2 2" xfId="29858"/>
    <cellStyle name="Normal 388 5 3" xfId="29859"/>
    <cellStyle name="Normal 388 6" xfId="29860"/>
    <cellStyle name="Normal 388 6 2" xfId="29861"/>
    <cellStyle name="Normal 388 6 2 2" xfId="29862"/>
    <cellStyle name="Normal 388 6 3" xfId="29863"/>
    <cellStyle name="Normal 388 7" xfId="29864"/>
    <cellStyle name="Normal 389" xfId="29865"/>
    <cellStyle name="Normal 389 2" xfId="29866"/>
    <cellStyle name="Normal 389 2 2" xfId="29867"/>
    <cellStyle name="Normal 389 2 2 2" xfId="29868"/>
    <cellStyle name="Normal 389 2 3" xfId="29869"/>
    <cellStyle name="Normal 389 2 3 2" xfId="29870"/>
    <cellStyle name="Normal 389 2 3 2 2" xfId="29871"/>
    <cellStyle name="Normal 389 2 3 3" xfId="29872"/>
    <cellStyle name="Normal 389 2 4" xfId="29873"/>
    <cellStyle name="Normal 389 2 4 2" xfId="29874"/>
    <cellStyle name="Normal 389 2 4 2 2" xfId="29875"/>
    <cellStyle name="Normal 389 2 4 3" xfId="29876"/>
    <cellStyle name="Normal 389 2 5" xfId="29877"/>
    <cellStyle name="Normal 389 3" xfId="29878"/>
    <cellStyle name="Normal 389 3 2" xfId="29879"/>
    <cellStyle name="Normal 389 3 2 2" xfId="29880"/>
    <cellStyle name="Normal 389 3 2 2 2" xfId="29881"/>
    <cellStyle name="Normal 389 3 2 3" xfId="29882"/>
    <cellStyle name="Normal 389 3 2 3 2" xfId="29883"/>
    <cellStyle name="Normal 389 3 2 3 2 2" xfId="29884"/>
    <cellStyle name="Normal 389 3 2 3 3" xfId="29885"/>
    <cellStyle name="Normal 389 3 2 4" xfId="29886"/>
    <cellStyle name="Normal 389 3 3" xfId="29887"/>
    <cellStyle name="Normal 389 3 3 2" xfId="29888"/>
    <cellStyle name="Normal 389 3 3 2 2" xfId="29889"/>
    <cellStyle name="Normal 389 3 3 3" xfId="29890"/>
    <cellStyle name="Normal 389 3 4" xfId="29891"/>
    <cellStyle name="Normal 389 3 4 2" xfId="29892"/>
    <cellStyle name="Normal 389 3 4 2 2" xfId="29893"/>
    <cellStyle name="Normal 389 3 4 3" xfId="29894"/>
    <cellStyle name="Normal 389 3 5" xfId="29895"/>
    <cellStyle name="Normal 389 3 5 2" xfId="29896"/>
    <cellStyle name="Normal 389 3 5 2 2" xfId="29897"/>
    <cellStyle name="Normal 389 3 5 3" xfId="29898"/>
    <cellStyle name="Normal 389 3 6" xfId="29899"/>
    <cellStyle name="Normal 389 4" xfId="29900"/>
    <cellStyle name="Normal 389 4 2" xfId="29901"/>
    <cellStyle name="Normal 389 4 2 2" xfId="29902"/>
    <cellStyle name="Normal 389 4 3" xfId="29903"/>
    <cellStyle name="Normal 389 5" xfId="29904"/>
    <cellStyle name="Normal 389 5 2" xfId="29905"/>
    <cellStyle name="Normal 389 5 2 2" xfId="29906"/>
    <cellStyle name="Normal 389 5 3" xfId="29907"/>
    <cellStyle name="Normal 389 6" xfId="29908"/>
    <cellStyle name="Normal 389 6 2" xfId="29909"/>
    <cellStyle name="Normal 389 6 2 2" xfId="29910"/>
    <cellStyle name="Normal 389 6 3" xfId="29911"/>
    <cellStyle name="Normal 389 7" xfId="29912"/>
    <cellStyle name="Normal 39" xfId="29913"/>
    <cellStyle name="Normal 39 2" xfId="29914"/>
    <cellStyle name="Normal 39 2 2" xfId="29915"/>
    <cellStyle name="Normal 39 2 2 2" xfId="29916"/>
    <cellStyle name="Normal 39 2 2 2 2" xfId="29917"/>
    <cellStyle name="Normal 39 2 2 3" xfId="29918"/>
    <cellStyle name="Normal 39 2 2 3 2" xfId="29919"/>
    <cellStyle name="Normal 39 2 2 3 2 2" xfId="29920"/>
    <cellStyle name="Normal 39 2 2 3 3" xfId="29921"/>
    <cellStyle name="Normal 39 2 2 4" xfId="29922"/>
    <cellStyle name="Normal 39 2 2 4 2" xfId="29923"/>
    <cellStyle name="Normal 39 2 2 4 2 2" xfId="29924"/>
    <cellStyle name="Normal 39 2 2 4 3" xfId="29925"/>
    <cellStyle name="Normal 39 2 2 5" xfId="29926"/>
    <cellStyle name="Normal 39 2 3" xfId="29927"/>
    <cellStyle name="Normal 39 2 3 2" xfId="29928"/>
    <cellStyle name="Normal 39 2 3 2 2" xfId="29929"/>
    <cellStyle name="Normal 39 2 3 3" xfId="29930"/>
    <cellStyle name="Normal 39 2 4" xfId="29931"/>
    <cellStyle name="Normal 39 2 4 2" xfId="29932"/>
    <cellStyle name="Normal 39 2 4 2 2" xfId="29933"/>
    <cellStyle name="Normal 39 2 4 3" xfId="29934"/>
    <cellStyle name="Normal 39 2 5" xfId="29935"/>
    <cellStyle name="Normal 39 2 5 2" xfId="29936"/>
    <cellStyle name="Normal 39 2 5 2 2" xfId="29937"/>
    <cellStyle name="Normal 39 2 5 3" xfId="29938"/>
    <cellStyle name="Normal 39 2 6" xfId="29939"/>
    <cellStyle name="Normal 39 3" xfId="29940"/>
    <cellStyle name="Normal 39 3 2" xfId="29941"/>
    <cellStyle name="Normal 39 3 2 2" xfId="29942"/>
    <cellStyle name="Normal 39 3 3" xfId="29943"/>
    <cellStyle name="Normal 39 3 3 2" xfId="29944"/>
    <cellStyle name="Normal 39 3 3 2 2" xfId="29945"/>
    <cellStyle name="Normal 39 3 3 3" xfId="29946"/>
    <cellStyle name="Normal 39 3 4" xfId="29947"/>
    <cellStyle name="Normal 39 3 4 2" xfId="29948"/>
    <cellStyle name="Normal 39 3 4 2 2" xfId="29949"/>
    <cellStyle name="Normal 39 3 4 3" xfId="29950"/>
    <cellStyle name="Normal 39 3 5" xfId="29951"/>
    <cellStyle name="Normal 39 4" xfId="29952"/>
    <cellStyle name="Normal 39 4 2" xfId="29953"/>
    <cellStyle name="Normal 39 4 2 2" xfId="29954"/>
    <cellStyle name="Normal 39 4 3" xfId="29955"/>
    <cellStyle name="Normal 39 5" xfId="29956"/>
    <cellStyle name="Normal 39 5 2" xfId="29957"/>
    <cellStyle name="Normal 39 5 2 2" xfId="29958"/>
    <cellStyle name="Normal 39 5 3" xfId="29959"/>
    <cellStyle name="Normal 39 6" xfId="29960"/>
    <cellStyle name="Normal 39 6 2" xfId="29961"/>
    <cellStyle name="Normal 39 6 2 2" xfId="29962"/>
    <cellStyle name="Normal 39 6 3" xfId="29963"/>
    <cellStyle name="Normal 39 7" xfId="29964"/>
    <cellStyle name="Normal 390" xfId="29965"/>
    <cellStyle name="Normal 390 2" xfId="29966"/>
    <cellStyle name="Normal 390 2 2" xfId="29967"/>
    <cellStyle name="Normal 390 2 2 2" xfId="29968"/>
    <cellStyle name="Normal 390 2 3" xfId="29969"/>
    <cellStyle name="Normal 390 2 3 2" xfId="29970"/>
    <cellStyle name="Normal 390 2 3 2 2" xfId="29971"/>
    <cellStyle name="Normal 390 2 3 3" xfId="29972"/>
    <cellStyle name="Normal 390 2 4" xfId="29973"/>
    <cellStyle name="Normal 390 2 4 2" xfId="29974"/>
    <cellStyle name="Normal 390 2 4 2 2" xfId="29975"/>
    <cellStyle name="Normal 390 2 4 3" xfId="29976"/>
    <cellStyle name="Normal 390 2 5" xfId="29977"/>
    <cellStyle name="Normal 390 3" xfId="29978"/>
    <cellStyle name="Normal 390 3 2" xfId="29979"/>
    <cellStyle name="Normal 390 3 2 2" xfId="29980"/>
    <cellStyle name="Normal 390 3 2 2 2" xfId="29981"/>
    <cellStyle name="Normal 390 3 2 3" xfId="29982"/>
    <cellStyle name="Normal 390 3 2 3 2" xfId="29983"/>
    <cellStyle name="Normal 390 3 2 3 2 2" xfId="29984"/>
    <cellStyle name="Normal 390 3 2 3 3" xfId="29985"/>
    <cellStyle name="Normal 390 3 2 4" xfId="29986"/>
    <cellStyle name="Normal 390 3 3" xfId="29987"/>
    <cellStyle name="Normal 390 3 3 2" xfId="29988"/>
    <cellStyle name="Normal 390 3 3 2 2" xfId="29989"/>
    <cellStyle name="Normal 390 3 3 3" xfId="29990"/>
    <cellStyle name="Normal 390 3 4" xfId="29991"/>
    <cellStyle name="Normal 390 3 4 2" xfId="29992"/>
    <cellStyle name="Normal 390 3 4 2 2" xfId="29993"/>
    <cellStyle name="Normal 390 3 4 3" xfId="29994"/>
    <cellStyle name="Normal 390 3 5" xfId="29995"/>
    <cellStyle name="Normal 390 3 5 2" xfId="29996"/>
    <cellStyle name="Normal 390 3 5 2 2" xfId="29997"/>
    <cellStyle name="Normal 390 3 5 3" xfId="29998"/>
    <cellStyle name="Normal 390 3 6" xfId="29999"/>
    <cellStyle name="Normal 390 4" xfId="30000"/>
    <cellStyle name="Normal 390 4 2" xfId="30001"/>
    <cellStyle name="Normal 390 4 2 2" xfId="30002"/>
    <cellStyle name="Normal 390 4 3" xfId="30003"/>
    <cellStyle name="Normal 390 5" xfId="30004"/>
    <cellStyle name="Normal 390 5 2" xfId="30005"/>
    <cellStyle name="Normal 390 5 2 2" xfId="30006"/>
    <cellStyle name="Normal 390 5 3" xfId="30007"/>
    <cellStyle name="Normal 390 6" xfId="30008"/>
    <cellStyle name="Normal 390 6 2" xfId="30009"/>
    <cellStyle name="Normal 390 6 2 2" xfId="30010"/>
    <cellStyle name="Normal 390 6 3" xfId="30011"/>
    <cellStyle name="Normal 390 7" xfId="30012"/>
    <cellStyle name="Normal 391" xfId="30013"/>
    <cellStyle name="Normal 391 2" xfId="30014"/>
    <cellStyle name="Normal 391 2 2" xfId="30015"/>
    <cellStyle name="Normal 391 2 2 2" xfId="30016"/>
    <cellStyle name="Normal 391 2 3" xfId="30017"/>
    <cellStyle name="Normal 391 2 3 2" xfId="30018"/>
    <cellStyle name="Normal 391 2 3 2 2" xfId="30019"/>
    <cellStyle name="Normal 391 2 3 3" xfId="30020"/>
    <cellStyle name="Normal 391 2 4" xfId="30021"/>
    <cellStyle name="Normal 391 2 4 2" xfId="30022"/>
    <cellStyle name="Normal 391 2 4 2 2" xfId="30023"/>
    <cellStyle name="Normal 391 2 4 3" xfId="30024"/>
    <cellStyle name="Normal 391 2 5" xfId="30025"/>
    <cellStyle name="Normal 391 3" xfId="30026"/>
    <cellStyle name="Normal 391 3 2" xfId="30027"/>
    <cellStyle name="Normal 391 3 2 2" xfId="30028"/>
    <cellStyle name="Normal 391 3 2 2 2" xfId="30029"/>
    <cellStyle name="Normal 391 3 2 3" xfId="30030"/>
    <cellStyle name="Normal 391 3 2 3 2" xfId="30031"/>
    <cellStyle name="Normal 391 3 2 3 2 2" xfId="30032"/>
    <cellStyle name="Normal 391 3 2 3 3" xfId="30033"/>
    <cellStyle name="Normal 391 3 2 4" xfId="30034"/>
    <cellStyle name="Normal 391 3 3" xfId="30035"/>
    <cellStyle name="Normal 391 3 3 2" xfId="30036"/>
    <cellStyle name="Normal 391 3 3 2 2" xfId="30037"/>
    <cellStyle name="Normal 391 3 3 3" xfId="30038"/>
    <cellStyle name="Normal 391 3 4" xfId="30039"/>
    <cellStyle name="Normal 391 3 4 2" xfId="30040"/>
    <cellStyle name="Normal 391 3 4 2 2" xfId="30041"/>
    <cellStyle name="Normal 391 3 4 3" xfId="30042"/>
    <cellStyle name="Normal 391 3 5" xfId="30043"/>
    <cellStyle name="Normal 391 3 5 2" xfId="30044"/>
    <cellStyle name="Normal 391 3 5 2 2" xfId="30045"/>
    <cellStyle name="Normal 391 3 5 3" xfId="30046"/>
    <cellStyle name="Normal 391 3 6" xfId="30047"/>
    <cellStyle name="Normal 391 4" xfId="30048"/>
    <cellStyle name="Normal 391 4 2" xfId="30049"/>
    <cellStyle name="Normal 391 4 2 2" xfId="30050"/>
    <cellStyle name="Normal 391 4 3" xfId="30051"/>
    <cellStyle name="Normal 391 5" xfId="30052"/>
    <cellStyle name="Normal 391 5 2" xfId="30053"/>
    <cellStyle name="Normal 391 5 2 2" xfId="30054"/>
    <cellStyle name="Normal 391 5 3" xfId="30055"/>
    <cellStyle name="Normal 391 6" xfId="30056"/>
    <cellStyle name="Normal 391 6 2" xfId="30057"/>
    <cellStyle name="Normal 391 6 2 2" xfId="30058"/>
    <cellStyle name="Normal 391 6 3" xfId="30059"/>
    <cellStyle name="Normal 391 7" xfId="30060"/>
    <cellStyle name="Normal 392" xfId="30061"/>
    <cellStyle name="Normal 392 2" xfId="30062"/>
    <cellStyle name="Normal 392 2 2" xfId="30063"/>
    <cellStyle name="Normal 392 2 2 2" xfId="30064"/>
    <cellStyle name="Normal 392 2 3" xfId="30065"/>
    <cellStyle name="Normal 392 2 3 2" xfId="30066"/>
    <cellStyle name="Normal 392 2 3 2 2" xfId="30067"/>
    <cellStyle name="Normal 392 2 3 3" xfId="30068"/>
    <cellStyle name="Normal 392 2 4" xfId="30069"/>
    <cellStyle name="Normal 392 2 4 2" xfId="30070"/>
    <cellStyle name="Normal 392 2 4 2 2" xfId="30071"/>
    <cellStyle name="Normal 392 2 4 3" xfId="30072"/>
    <cellStyle name="Normal 392 2 5" xfId="30073"/>
    <cellStyle name="Normal 392 3" xfId="30074"/>
    <cellStyle name="Normal 392 3 2" xfId="30075"/>
    <cellStyle name="Normal 392 3 2 2" xfId="30076"/>
    <cellStyle name="Normal 392 3 2 2 2" xfId="30077"/>
    <cellStyle name="Normal 392 3 2 3" xfId="30078"/>
    <cellStyle name="Normal 392 3 2 3 2" xfId="30079"/>
    <cellStyle name="Normal 392 3 2 3 2 2" xfId="30080"/>
    <cellStyle name="Normal 392 3 2 3 3" xfId="30081"/>
    <cellStyle name="Normal 392 3 2 4" xfId="30082"/>
    <cellStyle name="Normal 392 3 3" xfId="30083"/>
    <cellStyle name="Normal 392 3 3 2" xfId="30084"/>
    <cellStyle name="Normal 392 3 3 2 2" xfId="30085"/>
    <cellStyle name="Normal 392 3 3 3" xfId="30086"/>
    <cellStyle name="Normal 392 3 4" xfId="30087"/>
    <cellStyle name="Normal 392 3 4 2" xfId="30088"/>
    <cellStyle name="Normal 392 3 4 2 2" xfId="30089"/>
    <cellStyle name="Normal 392 3 4 3" xfId="30090"/>
    <cellStyle name="Normal 392 3 5" xfId="30091"/>
    <cellStyle name="Normal 392 3 5 2" xfId="30092"/>
    <cellStyle name="Normal 392 3 5 2 2" xfId="30093"/>
    <cellStyle name="Normal 392 3 5 3" xfId="30094"/>
    <cellStyle name="Normal 392 3 6" xfId="30095"/>
    <cellStyle name="Normal 392 4" xfId="30096"/>
    <cellStyle name="Normal 392 4 2" xfId="30097"/>
    <cellStyle name="Normal 392 4 2 2" xfId="30098"/>
    <cellStyle name="Normal 392 4 3" xfId="30099"/>
    <cellStyle name="Normal 392 5" xfId="30100"/>
    <cellStyle name="Normal 392 5 2" xfId="30101"/>
    <cellStyle name="Normal 392 5 2 2" xfId="30102"/>
    <cellStyle name="Normal 392 5 3" xfId="30103"/>
    <cellStyle name="Normal 392 6" xfId="30104"/>
    <cellStyle name="Normal 392 6 2" xfId="30105"/>
    <cellStyle name="Normal 392 6 2 2" xfId="30106"/>
    <cellStyle name="Normal 392 6 3" xfId="30107"/>
    <cellStyle name="Normal 392 7" xfId="30108"/>
    <cellStyle name="Normal 393" xfId="30109"/>
    <cellStyle name="Normal 393 2" xfId="30110"/>
    <cellStyle name="Normal 393 2 2" xfId="30111"/>
    <cellStyle name="Normal 393 2 2 2" xfId="30112"/>
    <cellStyle name="Normal 393 2 3" xfId="30113"/>
    <cellStyle name="Normal 393 2 3 2" xfId="30114"/>
    <cellStyle name="Normal 393 2 3 2 2" xfId="30115"/>
    <cellStyle name="Normal 393 2 3 3" xfId="30116"/>
    <cellStyle name="Normal 393 2 4" xfId="30117"/>
    <cellStyle name="Normal 393 2 4 2" xfId="30118"/>
    <cellStyle name="Normal 393 2 4 2 2" xfId="30119"/>
    <cellStyle name="Normal 393 2 4 3" xfId="30120"/>
    <cellStyle name="Normal 393 2 5" xfId="30121"/>
    <cellStyle name="Normal 393 3" xfId="30122"/>
    <cellStyle name="Normal 393 3 2" xfId="30123"/>
    <cellStyle name="Normal 393 3 2 2" xfId="30124"/>
    <cellStyle name="Normal 393 3 2 2 2" xfId="30125"/>
    <cellStyle name="Normal 393 3 2 3" xfId="30126"/>
    <cellStyle name="Normal 393 3 2 3 2" xfId="30127"/>
    <cellStyle name="Normal 393 3 2 3 2 2" xfId="30128"/>
    <cellStyle name="Normal 393 3 2 3 3" xfId="30129"/>
    <cellStyle name="Normal 393 3 2 4" xfId="30130"/>
    <cellStyle name="Normal 393 3 3" xfId="30131"/>
    <cellStyle name="Normal 393 3 3 2" xfId="30132"/>
    <cellStyle name="Normal 393 3 3 2 2" xfId="30133"/>
    <cellStyle name="Normal 393 3 3 3" xfId="30134"/>
    <cellStyle name="Normal 393 3 4" xfId="30135"/>
    <cellStyle name="Normal 393 3 4 2" xfId="30136"/>
    <cellStyle name="Normal 393 3 4 2 2" xfId="30137"/>
    <cellStyle name="Normal 393 3 4 3" xfId="30138"/>
    <cellStyle name="Normal 393 3 5" xfId="30139"/>
    <cellStyle name="Normal 393 3 5 2" xfId="30140"/>
    <cellStyle name="Normal 393 3 5 2 2" xfId="30141"/>
    <cellStyle name="Normal 393 3 5 3" xfId="30142"/>
    <cellStyle name="Normal 393 3 6" xfId="30143"/>
    <cellStyle name="Normal 393 4" xfId="30144"/>
    <cellStyle name="Normal 393 4 2" xfId="30145"/>
    <cellStyle name="Normal 393 4 2 2" xfId="30146"/>
    <cellStyle name="Normal 393 4 3" xfId="30147"/>
    <cellStyle name="Normal 393 5" xfId="30148"/>
    <cellStyle name="Normal 393 5 2" xfId="30149"/>
    <cellStyle name="Normal 393 5 2 2" xfId="30150"/>
    <cellStyle name="Normal 393 5 3" xfId="30151"/>
    <cellStyle name="Normal 393 6" xfId="30152"/>
    <cellStyle name="Normal 393 6 2" xfId="30153"/>
    <cellStyle name="Normal 393 6 2 2" xfId="30154"/>
    <cellStyle name="Normal 393 6 3" xfId="30155"/>
    <cellStyle name="Normal 393 7" xfId="30156"/>
    <cellStyle name="Normal 394" xfId="30157"/>
    <cellStyle name="Normal 394 2" xfId="30158"/>
    <cellStyle name="Normal 394 2 2" xfId="30159"/>
    <cellStyle name="Normal 394 2 2 2" xfId="30160"/>
    <cellStyle name="Normal 394 2 3" xfId="30161"/>
    <cellStyle name="Normal 394 2 3 2" xfId="30162"/>
    <cellStyle name="Normal 394 2 3 2 2" xfId="30163"/>
    <cellStyle name="Normal 394 2 3 3" xfId="30164"/>
    <cellStyle name="Normal 394 2 4" xfId="30165"/>
    <cellStyle name="Normal 394 2 4 2" xfId="30166"/>
    <cellStyle name="Normal 394 2 4 2 2" xfId="30167"/>
    <cellStyle name="Normal 394 2 4 3" xfId="30168"/>
    <cellStyle name="Normal 394 2 5" xfId="30169"/>
    <cellStyle name="Normal 394 3" xfId="30170"/>
    <cellStyle name="Normal 394 3 2" xfId="30171"/>
    <cellStyle name="Normal 394 3 2 2" xfId="30172"/>
    <cellStyle name="Normal 394 3 2 2 2" xfId="30173"/>
    <cellStyle name="Normal 394 3 2 3" xfId="30174"/>
    <cellStyle name="Normal 394 3 2 3 2" xfId="30175"/>
    <cellStyle name="Normal 394 3 2 3 2 2" xfId="30176"/>
    <cellStyle name="Normal 394 3 2 3 3" xfId="30177"/>
    <cellStyle name="Normal 394 3 2 4" xfId="30178"/>
    <cellStyle name="Normal 394 3 3" xfId="30179"/>
    <cellStyle name="Normal 394 3 3 2" xfId="30180"/>
    <cellStyle name="Normal 394 3 3 2 2" xfId="30181"/>
    <cellStyle name="Normal 394 3 3 3" xfId="30182"/>
    <cellStyle name="Normal 394 3 4" xfId="30183"/>
    <cellStyle name="Normal 394 3 4 2" xfId="30184"/>
    <cellStyle name="Normal 394 3 4 2 2" xfId="30185"/>
    <cellStyle name="Normal 394 3 4 3" xfId="30186"/>
    <cellStyle name="Normal 394 3 5" xfId="30187"/>
    <cellStyle name="Normal 394 3 5 2" xfId="30188"/>
    <cellStyle name="Normal 394 3 5 2 2" xfId="30189"/>
    <cellStyle name="Normal 394 3 5 3" xfId="30190"/>
    <cellStyle name="Normal 394 3 6" xfId="30191"/>
    <cellStyle name="Normal 394 4" xfId="30192"/>
    <cellStyle name="Normal 394 4 2" xfId="30193"/>
    <cellStyle name="Normal 394 4 2 2" xfId="30194"/>
    <cellStyle name="Normal 394 4 3" xfId="30195"/>
    <cellStyle name="Normal 394 5" xfId="30196"/>
    <cellStyle name="Normal 394 5 2" xfId="30197"/>
    <cellStyle name="Normal 394 5 2 2" xfId="30198"/>
    <cellStyle name="Normal 394 5 3" xfId="30199"/>
    <cellStyle name="Normal 394 6" xfId="30200"/>
    <cellStyle name="Normal 394 6 2" xfId="30201"/>
    <cellStyle name="Normal 394 6 2 2" xfId="30202"/>
    <cellStyle name="Normal 394 6 3" xfId="30203"/>
    <cellStyle name="Normal 394 7" xfId="30204"/>
    <cellStyle name="Normal 395" xfId="30205"/>
    <cellStyle name="Normal 395 2" xfId="30206"/>
    <cellStyle name="Normal 395 2 2" xfId="30207"/>
    <cellStyle name="Normal 395 2 2 2" xfId="30208"/>
    <cellStyle name="Normal 395 2 3" xfId="30209"/>
    <cellStyle name="Normal 395 2 3 2" xfId="30210"/>
    <cellStyle name="Normal 395 2 3 2 2" xfId="30211"/>
    <cellStyle name="Normal 395 2 3 3" xfId="30212"/>
    <cellStyle name="Normal 395 2 4" xfId="30213"/>
    <cellStyle name="Normal 395 2 4 2" xfId="30214"/>
    <cellStyle name="Normal 395 2 4 2 2" xfId="30215"/>
    <cellStyle name="Normal 395 2 4 3" xfId="30216"/>
    <cellStyle name="Normal 395 2 5" xfId="30217"/>
    <cellStyle name="Normal 395 3" xfId="30218"/>
    <cellStyle name="Normal 395 3 2" xfId="30219"/>
    <cellStyle name="Normal 395 3 2 2" xfId="30220"/>
    <cellStyle name="Normal 395 3 2 2 2" xfId="30221"/>
    <cellStyle name="Normal 395 3 2 3" xfId="30222"/>
    <cellStyle name="Normal 395 3 2 3 2" xfId="30223"/>
    <cellStyle name="Normal 395 3 2 3 2 2" xfId="30224"/>
    <cellStyle name="Normal 395 3 2 3 3" xfId="30225"/>
    <cellStyle name="Normal 395 3 2 4" xfId="30226"/>
    <cellStyle name="Normal 395 3 3" xfId="30227"/>
    <cellStyle name="Normal 395 3 3 2" xfId="30228"/>
    <cellStyle name="Normal 395 3 3 2 2" xfId="30229"/>
    <cellStyle name="Normal 395 3 3 3" xfId="30230"/>
    <cellStyle name="Normal 395 3 4" xfId="30231"/>
    <cellStyle name="Normal 395 3 4 2" xfId="30232"/>
    <cellStyle name="Normal 395 3 4 2 2" xfId="30233"/>
    <cellStyle name="Normal 395 3 4 3" xfId="30234"/>
    <cellStyle name="Normal 395 3 5" xfId="30235"/>
    <cellStyle name="Normal 395 3 5 2" xfId="30236"/>
    <cellStyle name="Normal 395 3 5 2 2" xfId="30237"/>
    <cellStyle name="Normal 395 3 5 3" xfId="30238"/>
    <cellStyle name="Normal 395 3 6" xfId="30239"/>
    <cellStyle name="Normal 395 4" xfId="30240"/>
    <cellStyle name="Normal 395 4 2" xfId="30241"/>
    <cellStyle name="Normal 395 4 2 2" xfId="30242"/>
    <cellStyle name="Normal 395 4 3" xfId="30243"/>
    <cellStyle name="Normal 395 5" xfId="30244"/>
    <cellStyle name="Normal 395 5 2" xfId="30245"/>
    <cellStyle name="Normal 395 5 2 2" xfId="30246"/>
    <cellStyle name="Normal 395 5 3" xfId="30247"/>
    <cellStyle name="Normal 395 6" xfId="30248"/>
    <cellStyle name="Normal 395 6 2" xfId="30249"/>
    <cellStyle name="Normal 395 6 2 2" xfId="30250"/>
    <cellStyle name="Normal 395 6 3" xfId="30251"/>
    <cellStyle name="Normal 395 7" xfId="30252"/>
    <cellStyle name="Normal 396" xfId="30253"/>
    <cellStyle name="Normal 396 2" xfId="30254"/>
    <cellStyle name="Normal 396 2 2" xfId="30255"/>
    <cellStyle name="Normal 396 2 2 2" xfId="30256"/>
    <cellStyle name="Normal 396 2 3" xfId="30257"/>
    <cellStyle name="Normal 396 2 3 2" xfId="30258"/>
    <cellStyle name="Normal 396 2 3 2 2" xfId="30259"/>
    <cellStyle name="Normal 396 2 3 3" xfId="30260"/>
    <cellStyle name="Normal 396 2 4" xfId="30261"/>
    <cellStyle name="Normal 396 2 4 2" xfId="30262"/>
    <cellStyle name="Normal 396 2 4 2 2" xfId="30263"/>
    <cellStyle name="Normal 396 2 4 3" xfId="30264"/>
    <cellStyle name="Normal 396 2 5" xfId="30265"/>
    <cellStyle name="Normal 396 3" xfId="30266"/>
    <cellStyle name="Normal 396 3 2" xfId="30267"/>
    <cellStyle name="Normal 396 3 2 2" xfId="30268"/>
    <cellStyle name="Normal 396 3 2 2 2" xfId="30269"/>
    <cellStyle name="Normal 396 3 2 3" xfId="30270"/>
    <cellStyle name="Normal 396 3 2 3 2" xfId="30271"/>
    <cellStyle name="Normal 396 3 2 3 2 2" xfId="30272"/>
    <cellStyle name="Normal 396 3 2 3 3" xfId="30273"/>
    <cellStyle name="Normal 396 3 2 4" xfId="30274"/>
    <cellStyle name="Normal 396 3 3" xfId="30275"/>
    <cellStyle name="Normal 396 3 3 2" xfId="30276"/>
    <cellStyle name="Normal 396 3 3 2 2" xfId="30277"/>
    <cellStyle name="Normal 396 3 3 3" xfId="30278"/>
    <cellStyle name="Normal 396 3 4" xfId="30279"/>
    <cellStyle name="Normal 396 3 4 2" xfId="30280"/>
    <cellStyle name="Normal 396 3 4 2 2" xfId="30281"/>
    <cellStyle name="Normal 396 3 4 3" xfId="30282"/>
    <cellStyle name="Normal 396 3 5" xfId="30283"/>
    <cellStyle name="Normal 396 3 5 2" xfId="30284"/>
    <cellStyle name="Normal 396 3 5 2 2" xfId="30285"/>
    <cellStyle name="Normal 396 3 5 3" xfId="30286"/>
    <cellStyle name="Normal 396 3 6" xfId="30287"/>
    <cellStyle name="Normal 396 4" xfId="30288"/>
    <cellStyle name="Normal 396 4 2" xfId="30289"/>
    <cellStyle name="Normal 396 4 2 2" xfId="30290"/>
    <cellStyle name="Normal 396 4 3" xfId="30291"/>
    <cellStyle name="Normal 396 5" xfId="30292"/>
    <cellStyle name="Normal 396 5 2" xfId="30293"/>
    <cellStyle name="Normal 396 5 2 2" xfId="30294"/>
    <cellStyle name="Normal 396 5 3" xfId="30295"/>
    <cellStyle name="Normal 396 6" xfId="30296"/>
    <cellStyle name="Normal 396 6 2" xfId="30297"/>
    <cellStyle name="Normal 396 6 2 2" xfId="30298"/>
    <cellStyle name="Normal 396 6 3" xfId="30299"/>
    <cellStyle name="Normal 396 7" xfId="30300"/>
    <cellStyle name="Normal 397" xfId="30301"/>
    <cellStyle name="Normal 397 2" xfId="30302"/>
    <cellStyle name="Normal 397 2 2" xfId="30303"/>
    <cellStyle name="Normal 397 2 2 2" xfId="30304"/>
    <cellStyle name="Normal 397 2 3" xfId="30305"/>
    <cellStyle name="Normal 397 2 3 2" xfId="30306"/>
    <cellStyle name="Normal 397 2 3 2 2" xfId="30307"/>
    <cellStyle name="Normal 397 2 3 3" xfId="30308"/>
    <cellStyle name="Normal 397 2 4" xfId="30309"/>
    <cellStyle name="Normal 397 2 4 2" xfId="30310"/>
    <cellStyle name="Normal 397 2 4 2 2" xfId="30311"/>
    <cellStyle name="Normal 397 2 4 3" xfId="30312"/>
    <cellStyle name="Normal 397 2 5" xfId="30313"/>
    <cellStyle name="Normal 397 3" xfId="30314"/>
    <cellStyle name="Normal 397 3 2" xfId="30315"/>
    <cellStyle name="Normal 397 3 2 2" xfId="30316"/>
    <cellStyle name="Normal 397 3 2 2 2" xfId="30317"/>
    <cellStyle name="Normal 397 3 2 3" xfId="30318"/>
    <cellStyle name="Normal 397 3 2 3 2" xfId="30319"/>
    <cellStyle name="Normal 397 3 2 3 2 2" xfId="30320"/>
    <cellStyle name="Normal 397 3 2 3 3" xfId="30321"/>
    <cellStyle name="Normal 397 3 2 4" xfId="30322"/>
    <cellStyle name="Normal 397 3 3" xfId="30323"/>
    <cellStyle name="Normal 397 3 3 2" xfId="30324"/>
    <cellStyle name="Normal 397 3 3 2 2" xfId="30325"/>
    <cellStyle name="Normal 397 3 3 3" xfId="30326"/>
    <cellStyle name="Normal 397 3 4" xfId="30327"/>
    <cellStyle name="Normal 397 3 4 2" xfId="30328"/>
    <cellStyle name="Normal 397 3 4 2 2" xfId="30329"/>
    <cellStyle name="Normal 397 3 4 3" xfId="30330"/>
    <cellStyle name="Normal 397 3 5" xfId="30331"/>
    <cellStyle name="Normal 397 3 5 2" xfId="30332"/>
    <cellStyle name="Normal 397 3 5 2 2" xfId="30333"/>
    <cellStyle name="Normal 397 3 5 3" xfId="30334"/>
    <cellStyle name="Normal 397 3 6" xfId="30335"/>
    <cellStyle name="Normal 397 4" xfId="30336"/>
    <cellStyle name="Normal 397 4 2" xfId="30337"/>
    <cellStyle name="Normal 397 4 2 2" xfId="30338"/>
    <cellStyle name="Normal 397 4 3" xfId="30339"/>
    <cellStyle name="Normal 397 5" xfId="30340"/>
    <cellStyle name="Normal 397 5 2" xfId="30341"/>
    <cellStyle name="Normal 397 5 2 2" xfId="30342"/>
    <cellStyle name="Normal 397 5 3" xfId="30343"/>
    <cellStyle name="Normal 397 6" xfId="30344"/>
    <cellStyle name="Normal 397 6 2" xfId="30345"/>
    <cellStyle name="Normal 397 6 2 2" xfId="30346"/>
    <cellStyle name="Normal 397 6 3" xfId="30347"/>
    <cellStyle name="Normal 397 7" xfId="30348"/>
    <cellStyle name="Normal 398" xfId="30349"/>
    <cellStyle name="Normal 398 2" xfId="30350"/>
    <cellStyle name="Normal 398 2 2" xfId="30351"/>
    <cellStyle name="Normal 398 2 2 2" xfId="30352"/>
    <cellStyle name="Normal 398 2 3" xfId="30353"/>
    <cellStyle name="Normal 398 2 3 2" xfId="30354"/>
    <cellStyle name="Normal 398 2 3 2 2" xfId="30355"/>
    <cellStyle name="Normal 398 2 3 3" xfId="30356"/>
    <cellStyle name="Normal 398 2 4" xfId="30357"/>
    <cellStyle name="Normal 398 2 4 2" xfId="30358"/>
    <cellStyle name="Normal 398 2 4 2 2" xfId="30359"/>
    <cellStyle name="Normal 398 2 4 3" xfId="30360"/>
    <cellStyle name="Normal 398 2 5" xfId="30361"/>
    <cellStyle name="Normal 398 3" xfId="30362"/>
    <cellStyle name="Normal 398 3 2" xfId="30363"/>
    <cellStyle name="Normal 398 3 2 2" xfId="30364"/>
    <cellStyle name="Normal 398 3 2 2 2" xfId="30365"/>
    <cellStyle name="Normal 398 3 2 3" xfId="30366"/>
    <cellStyle name="Normal 398 3 2 3 2" xfId="30367"/>
    <cellStyle name="Normal 398 3 2 3 2 2" xfId="30368"/>
    <cellStyle name="Normal 398 3 2 3 3" xfId="30369"/>
    <cellStyle name="Normal 398 3 2 4" xfId="30370"/>
    <cellStyle name="Normal 398 3 3" xfId="30371"/>
    <cellStyle name="Normal 398 3 3 2" xfId="30372"/>
    <cellStyle name="Normal 398 3 3 2 2" xfId="30373"/>
    <cellStyle name="Normal 398 3 3 3" xfId="30374"/>
    <cellStyle name="Normal 398 3 4" xfId="30375"/>
    <cellStyle name="Normal 398 3 4 2" xfId="30376"/>
    <cellStyle name="Normal 398 3 4 2 2" xfId="30377"/>
    <cellStyle name="Normal 398 3 4 3" xfId="30378"/>
    <cellStyle name="Normal 398 3 5" xfId="30379"/>
    <cellStyle name="Normal 398 3 5 2" xfId="30380"/>
    <cellStyle name="Normal 398 3 5 2 2" xfId="30381"/>
    <cellStyle name="Normal 398 3 5 3" xfId="30382"/>
    <cellStyle name="Normal 398 3 6" xfId="30383"/>
    <cellStyle name="Normal 398 4" xfId="30384"/>
    <cellStyle name="Normal 398 4 2" xfId="30385"/>
    <cellStyle name="Normal 398 4 2 2" xfId="30386"/>
    <cellStyle name="Normal 398 4 3" xfId="30387"/>
    <cellStyle name="Normal 398 5" xfId="30388"/>
    <cellStyle name="Normal 398 5 2" xfId="30389"/>
    <cellStyle name="Normal 398 5 2 2" xfId="30390"/>
    <cellStyle name="Normal 398 5 3" xfId="30391"/>
    <cellStyle name="Normal 398 6" xfId="30392"/>
    <cellStyle name="Normal 398 6 2" xfId="30393"/>
    <cellStyle name="Normal 398 6 2 2" xfId="30394"/>
    <cellStyle name="Normal 398 6 3" xfId="30395"/>
    <cellStyle name="Normal 398 7" xfId="30396"/>
    <cellStyle name="Normal 399" xfId="30397"/>
    <cellStyle name="Normal 399 2" xfId="30398"/>
    <cellStyle name="Normal 399 2 2" xfId="30399"/>
    <cellStyle name="Normal 399 2 2 2" xfId="30400"/>
    <cellStyle name="Normal 399 2 3" xfId="30401"/>
    <cellStyle name="Normal 399 2 3 2" xfId="30402"/>
    <cellStyle name="Normal 399 2 3 2 2" xfId="30403"/>
    <cellStyle name="Normal 399 2 3 3" xfId="30404"/>
    <cellStyle name="Normal 399 2 4" xfId="30405"/>
    <cellStyle name="Normal 399 2 4 2" xfId="30406"/>
    <cellStyle name="Normal 399 2 4 2 2" xfId="30407"/>
    <cellStyle name="Normal 399 2 4 3" xfId="30408"/>
    <cellStyle name="Normal 399 2 5" xfId="30409"/>
    <cellStyle name="Normal 399 3" xfId="30410"/>
    <cellStyle name="Normal 399 3 2" xfId="30411"/>
    <cellStyle name="Normal 399 3 2 2" xfId="30412"/>
    <cellStyle name="Normal 399 3 2 2 2" xfId="30413"/>
    <cellStyle name="Normal 399 3 2 3" xfId="30414"/>
    <cellStyle name="Normal 399 3 2 3 2" xfId="30415"/>
    <cellStyle name="Normal 399 3 2 3 2 2" xfId="30416"/>
    <cellStyle name="Normal 399 3 2 3 3" xfId="30417"/>
    <cellStyle name="Normal 399 3 2 4" xfId="30418"/>
    <cellStyle name="Normal 399 3 3" xfId="30419"/>
    <cellStyle name="Normal 399 3 3 2" xfId="30420"/>
    <cellStyle name="Normal 399 3 3 2 2" xfId="30421"/>
    <cellStyle name="Normal 399 3 3 3" xfId="30422"/>
    <cellStyle name="Normal 399 3 4" xfId="30423"/>
    <cellStyle name="Normal 399 3 4 2" xfId="30424"/>
    <cellStyle name="Normal 399 3 4 2 2" xfId="30425"/>
    <cellStyle name="Normal 399 3 4 3" xfId="30426"/>
    <cellStyle name="Normal 399 3 5" xfId="30427"/>
    <cellStyle name="Normal 399 3 5 2" xfId="30428"/>
    <cellStyle name="Normal 399 3 5 2 2" xfId="30429"/>
    <cellStyle name="Normal 399 3 5 3" xfId="30430"/>
    <cellStyle name="Normal 399 3 6" xfId="30431"/>
    <cellStyle name="Normal 399 4" xfId="30432"/>
    <cellStyle name="Normal 399 4 2" xfId="30433"/>
    <cellStyle name="Normal 399 4 2 2" xfId="30434"/>
    <cellStyle name="Normal 399 4 3" xfId="30435"/>
    <cellStyle name="Normal 399 5" xfId="30436"/>
    <cellStyle name="Normal 399 5 2" xfId="30437"/>
    <cellStyle name="Normal 399 5 2 2" xfId="30438"/>
    <cellStyle name="Normal 399 5 3" xfId="30439"/>
    <cellStyle name="Normal 399 6" xfId="30440"/>
    <cellStyle name="Normal 399 6 2" xfId="30441"/>
    <cellStyle name="Normal 399 6 2 2" xfId="30442"/>
    <cellStyle name="Normal 399 6 3" xfId="30443"/>
    <cellStyle name="Normal 399 7" xfId="30444"/>
    <cellStyle name="Normal 4" xfId="33"/>
    <cellStyle name="Normal 4 10" xfId="30445"/>
    <cellStyle name="Normal 4 10 2" xfId="30446"/>
    <cellStyle name="Normal 4 11" xfId="30447"/>
    <cellStyle name="Normal 4 12" xfId="30448"/>
    <cellStyle name="Normal 4 2" xfId="103"/>
    <cellStyle name="Normal 4 2 2" xfId="30449"/>
    <cellStyle name="Normal 4 2 2 2" xfId="30450"/>
    <cellStyle name="Normal 4 2 2 2 2" xfId="30451"/>
    <cellStyle name="Normal 4 2 2 3" xfId="30452"/>
    <cellStyle name="Normal 4 2 2 3 2" xfId="30453"/>
    <cellStyle name="Normal 4 2 2 3 2 2" xfId="30454"/>
    <cellStyle name="Normal 4 2 2 3 3" xfId="30455"/>
    <cellStyle name="Normal 4 2 2 4" xfId="30456"/>
    <cellStyle name="Normal 4 2 2 4 2" xfId="30457"/>
    <cellStyle name="Normal 4 2 2 4 2 2" xfId="30458"/>
    <cellStyle name="Normal 4 2 2 4 3" xfId="30459"/>
    <cellStyle name="Normal 4 2 2 5" xfId="30460"/>
    <cellStyle name="Normal 4 2 3" xfId="30461"/>
    <cellStyle name="Normal 4 2 3 2" xfId="30462"/>
    <cellStyle name="Normal 4 2 3 2 2" xfId="30463"/>
    <cellStyle name="Normal 4 2 3 2 2 2" xfId="30464"/>
    <cellStyle name="Normal 4 2 3 2 3" xfId="30465"/>
    <cellStyle name="Normal 4 2 3 2 3 2" xfId="30466"/>
    <cellStyle name="Normal 4 2 3 2 3 2 2" xfId="30467"/>
    <cellStyle name="Normal 4 2 3 2 3 3" xfId="30468"/>
    <cellStyle name="Normal 4 2 3 2 4" xfId="30469"/>
    <cellStyle name="Normal 4 2 3 3" xfId="30470"/>
    <cellStyle name="Normal 4 2 3 3 2" xfId="30471"/>
    <cellStyle name="Normal 4 2 3 3 2 2" xfId="30472"/>
    <cellStyle name="Normal 4 2 3 3 3" xfId="30473"/>
    <cellStyle name="Normal 4 2 3 4" xfId="30474"/>
    <cellStyle name="Normal 4 2 3 4 2" xfId="30475"/>
    <cellStyle name="Normal 4 2 3 4 2 2" xfId="30476"/>
    <cellStyle name="Normal 4 2 3 4 3" xfId="30477"/>
    <cellStyle name="Normal 4 2 3 5" xfId="30478"/>
    <cellStyle name="Normal 4 2 3 5 2" xfId="30479"/>
    <cellStyle name="Normal 4 2 3 5 2 2" xfId="30480"/>
    <cellStyle name="Normal 4 2 3 5 3" xfId="30481"/>
    <cellStyle name="Normal 4 2 3 6" xfId="30482"/>
    <cellStyle name="Normal 4 2 4" xfId="30483"/>
    <cellStyle name="Normal 4 2 4 2" xfId="30484"/>
    <cellStyle name="Normal 4 2 4 2 2" xfId="30485"/>
    <cellStyle name="Normal 4 2 4 3" xfId="30486"/>
    <cellStyle name="Normal 4 2 5" xfId="30487"/>
    <cellStyle name="Normal 4 2 5 2" xfId="30488"/>
    <cellStyle name="Normal 4 2 5 2 2" xfId="30489"/>
    <cellStyle name="Normal 4 2 5 3" xfId="30490"/>
    <cellStyle name="Normal 4 2 6" xfId="30491"/>
    <cellStyle name="Normal 4 2 6 2" xfId="30492"/>
    <cellStyle name="Normal 4 2 6 2 2" xfId="30493"/>
    <cellStyle name="Normal 4 2 6 3" xfId="30494"/>
    <cellStyle name="Normal 4 2 7" xfId="30495"/>
    <cellStyle name="Normal 4 2 7 2" xfId="30496"/>
    <cellStyle name="Normal 4 2 8" xfId="30497"/>
    <cellStyle name="Normal 4 3" xfId="30498"/>
    <cellStyle name="Normal 4 3 2" xfId="30499"/>
    <cellStyle name="Normal 4 3 2 2" xfId="30500"/>
    <cellStyle name="Normal 4 3 2 2 2" xfId="30501"/>
    <cellStyle name="Normal 4 3 2 3" xfId="30502"/>
    <cellStyle name="Normal 4 3 2 3 2" xfId="30503"/>
    <cellStyle name="Normal 4 3 2 3 2 2" xfId="30504"/>
    <cellStyle name="Normal 4 3 2 3 3" xfId="30505"/>
    <cellStyle name="Normal 4 3 2 4" xfId="30506"/>
    <cellStyle name="Normal 4 3 2 4 2" xfId="30507"/>
    <cellStyle name="Normal 4 3 2 4 2 2" xfId="30508"/>
    <cellStyle name="Normal 4 3 2 4 3" xfId="30509"/>
    <cellStyle name="Normal 4 3 2 5" xfId="30510"/>
    <cellStyle name="Normal 4 3 3" xfId="30511"/>
    <cellStyle name="Normal 4 3 3 2" xfId="30512"/>
    <cellStyle name="Normal 4 3 3 2 2" xfId="30513"/>
    <cellStyle name="Normal 4 3 3 3" xfId="30514"/>
    <cellStyle name="Normal 4 3 4" xfId="30515"/>
    <cellStyle name="Normal 4 3 4 2" xfId="30516"/>
    <cellStyle name="Normal 4 3 4 2 2" xfId="30517"/>
    <cellStyle name="Normal 4 3 4 3" xfId="30518"/>
    <cellStyle name="Normal 4 3 5" xfId="30519"/>
    <cellStyle name="Normal 4 3 5 2" xfId="30520"/>
    <cellStyle name="Normal 4 3 5 2 2" xfId="30521"/>
    <cellStyle name="Normal 4 3 5 3" xfId="30522"/>
    <cellStyle name="Normal 4 3 6" xfId="30523"/>
    <cellStyle name="Normal 4 4" xfId="30524"/>
    <cellStyle name="Normal 4 4 2" xfId="30525"/>
    <cellStyle name="Normal 4 4 2 2" xfId="30526"/>
    <cellStyle name="Normal 4 4 2 2 2" xfId="30527"/>
    <cellStyle name="Normal 4 4 2 3" xfId="30528"/>
    <cellStyle name="Normal 4 4 2 3 2" xfId="30529"/>
    <cellStyle name="Normal 4 4 2 3 2 2" xfId="30530"/>
    <cellStyle name="Normal 4 4 2 3 3" xfId="30531"/>
    <cellStyle name="Normal 4 4 2 4" xfId="30532"/>
    <cellStyle name="Normal 4 4 2 4 2" xfId="30533"/>
    <cellStyle name="Normal 4 4 2 4 2 2" xfId="30534"/>
    <cellStyle name="Normal 4 4 2 4 3" xfId="30535"/>
    <cellStyle name="Normal 4 4 2 5" xfId="30536"/>
    <cellStyle name="Normal 4 4 3" xfId="30537"/>
    <cellStyle name="Normal 4 4 3 2" xfId="30538"/>
    <cellStyle name="Normal 4 4 3 2 2" xfId="30539"/>
    <cellStyle name="Normal 4 4 3 3" xfId="30540"/>
    <cellStyle name="Normal 4 4 4" xfId="30541"/>
    <cellStyle name="Normal 4 4 4 2" xfId="30542"/>
    <cellStyle name="Normal 4 4 4 2 2" xfId="30543"/>
    <cellStyle name="Normal 4 4 4 3" xfId="30544"/>
    <cellStyle name="Normal 4 4 5" xfId="30545"/>
    <cellStyle name="Normal 4 4 5 2" xfId="30546"/>
    <cellStyle name="Normal 4 4 5 2 2" xfId="30547"/>
    <cellStyle name="Normal 4 4 5 3" xfId="30548"/>
    <cellStyle name="Normal 4 4 6" xfId="30549"/>
    <cellStyle name="Normal 4 5" xfId="30550"/>
    <cellStyle name="Normal 4 5 2" xfId="30551"/>
    <cellStyle name="Normal 4 5 2 2" xfId="30552"/>
    <cellStyle name="Normal 4 5 3" xfId="30553"/>
    <cellStyle name="Normal 4 5 3 2" xfId="30554"/>
    <cellStyle name="Normal 4 5 3 2 2" xfId="30555"/>
    <cellStyle name="Normal 4 5 3 3" xfId="30556"/>
    <cellStyle name="Normal 4 5 4" xfId="30557"/>
    <cellStyle name="Normal 4 5 4 2" xfId="30558"/>
    <cellStyle name="Normal 4 5 4 2 2" xfId="30559"/>
    <cellStyle name="Normal 4 5 4 3" xfId="30560"/>
    <cellStyle name="Normal 4 5 5" xfId="30561"/>
    <cellStyle name="Normal 4 6" xfId="30562"/>
    <cellStyle name="Normal 4 6 2" xfId="30563"/>
    <cellStyle name="Normal 4 6 2 2" xfId="30564"/>
    <cellStyle name="Normal 4 6 3" xfId="30565"/>
    <cellStyle name="Normal 4 6 3 2" xfId="30566"/>
    <cellStyle name="Normal 4 6 3 2 2" xfId="30567"/>
    <cellStyle name="Normal 4 6 3 3" xfId="30568"/>
    <cellStyle name="Normal 4 6 4" xfId="30569"/>
    <cellStyle name="Normal 4 6 4 2" xfId="30570"/>
    <cellStyle name="Normal 4 6 4 2 2" xfId="30571"/>
    <cellStyle name="Normal 4 6 4 3" xfId="30572"/>
    <cellStyle name="Normal 4 6 5" xfId="30573"/>
    <cellStyle name="Normal 4 7" xfId="30574"/>
    <cellStyle name="Normal 4 7 2" xfId="30575"/>
    <cellStyle name="Normal 4 7 2 2" xfId="30576"/>
    <cellStyle name="Normal 4 7 3" xfId="30577"/>
    <cellStyle name="Normal 4 8" xfId="30578"/>
    <cellStyle name="Normal 4 8 2" xfId="30579"/>
    <cellStyle name="Normal 4 8 2 2" xfId="30580"/>
    <cellStyle name="Normal 4 8 3" xfId="30581"/>
    <cellStyle name="Normal 4 9" xfId="30582"/>
    <cellStyle name="Normal 4 9 2" xfId="30583"/>
    <cellStyle name="Normal 4 9 2 2" xfId="30584"/>
    <cellStyle name="Normal 4 9 3" xfId="30585"/>
    <cellStyle name="Normal 40" xfId="30586"/>
    <cellStyle name="Normal 40 2" xfId="30587"/>
    <cellStyle name="Normal 40 2 2" xfId="30588"/>
    <cellStyle name="Normal 40 2 2 2" xfId="30589"/>
    <cellStyle name="Normal 40 2 2 2 2" xfId="30590"/>
    <cellStyle name="Normal 40 2 2 3" xfId="30591"/>
    <cellStyle name="Normal 40 2 2 3 2" xfId="30592"/>
    <cellStyle name="Normal 40 2 2 3 2 2" xfId="30593"/>
    <cellStyle name="Normal 40 2 2 3 3" xfId="30594"/>
    <cellStyle name="Normal 40 2 2 4" xfId="30595"/>
    <cellStyle name="Normal 40 2 2 4 2" xfId="30596"/>
    <cellStyle name="Normal 40 2 2 4 2 2" xfId="30597"/>
    <cellStyle name="Normal 40 2 2 4 3" xfId="30598"/>
    <cellStyle name="Normal 40 2 2 5" xfId="30599"/>
    <cellStyle name="Normal 40 2 3" xfId="30600"/>
    <cellStyle name="Normal 40 2 3 2" xfId="30601"/>
    <cellStyle name="Normal 40 2 3 2 2" xfId="30602"/>
    <cellStyle name="Normal 40 2 3 3" xfId="30603"/>
    <cellStyle name="Normal 40 2 4" xfId="30604"/>
    <cellStyle name="Normal 40 2 4 2" xfId="30605"/>
    <cellStyle name="Normal 40 2 4 2 2" xfId="30606"/>
    <cellStyle name="Normal 40 2 4 3" xfId="30607"/>
    <cellStyle name="Normal 40 2 5" xfId="30608"/>
    <cellStyle name="Normal 40 2 5 2" xfId="30609"/>
    <cellStyle name="Normal 40 2 5 2 2" xfId="30610"/>
    <cellStyle name="Normal 40 2 5 3" xfId="30611"/>
    <cellStyle name="Normal 40 2 6" xfId="30612"/>
    <cellStyle name="Normal 40 3" xfId="30613"/>
    <cellStyle name="Normal 40 3 2" xfId="30614"/>
    <cellStyle name="Normal 40 3 2 2" xfId="30615"/>
    <cellStyle name="Normal 40 3 3" xfId="30616"/>
    <cellStyle name="Normal 40 3 3 2" xfId="30617"/>
    <cellStyle name="Normal 40 3 3 2 2" xfId="30618"/>
    <cellStyle name="Normal 40 3 3 3" xfId="30619"/>
    <cellStyle name="Normal 40 3 4" xfId="30620"/>
    <cellStyle name="Normal 40 3 4 2" xfId="30621"/>
    <cellStyle name="Normal 40 3 4 2 2" xfId="30622"/>
    <cellStyle name="Normal 40 3 4 3" xfId="30623"/>
    <cellStyle name="Normal 40 3 5" xfId="30624"/>
    <cellStyle name="Normal 40 4" xfId="30625"/>
    <cellStyle name="Normal 40 4 2" xfId="30626"/>
    <cellStyle name="Normal 40 4 2 2" xfId="30627"/>
    <cellStyle name="Normal 40 4 3" xfId="30628"/>
    <cellStyle name="Normal 40 5" xfId="30629"/>
    <cellStyle name="Normal 40 5 2" xfId="30630"/>
    <cellStyle name="Normal 40 5 2 2" xfId="30631"/>
    <cellStyle name="Normal 40 5 3" xfId="30632"/>
    <cellStyle name="Normal 40 6" xfId="30633"/>
    <cellStyle name="Normal 40 6 2" xfId="30634"/>
    <cellStyle name="Normal 40 6 2 2" xfId="30635"/>
    <cellStyle name="Normal 40 6 3" xfId="30636"/>
    <cellStyle name="Normal 40 7" xfId="30637"/>
    <cellStyle name="Normal 400" xfId="30638"/>
    <cellStyle name="Normal 400 2" xfId="30639"/>
    <cellStyle name="Normal 400 2 2" xfId="30640"/>
    <cellStyle name="Normal 400 2 2 2" xfId="30641"/>
    <cellStyle name="Normal 400 2 3" xfId="30642"/>
    <cellStyle name="Normal 400 2 3 2" xfId="30643"/>
    <cellStyle name="Normal 400 2 3 2 2" xfId="30644"/>
    <cellStyle name="Normal 400 2 3 3" xfId="30645"/>
    <cellStyle name="Normal 400 2 4" xfId="30646"/>
    <cellStyle name="Normal 400 2 4 2" xfId="30647"/>
    <cellStyle name="Normal 400 2 4 2 2" xfId="30648"/>
    <cellStyle name="Normal 400 2 4 3" xfId="30649"/>
    <cellStyle name="Normal 400 2 5" xfId="30650"/>
    <cellStyle name="Normal 400 3" xfId="30651"/>
    <cellStyle name="Normal 400 3 2" xfId="30652"/>
    <cellStyle name="Normal 400 3 2 2" xfId="30653"/>
    <cellStyle name="Normal 400 3 2 2 2" xfId="30654"/>
    <cellStyle name="Normal 400 3 2 3" xfId="30655"/>
    <cellStyle name="Normal 400 3 2 3 2" xfId="30656"/>
    <cellStyle name="Normal 400 3 2 3 2 2" xfId="30657"/>
    <cellStyle name="Normal 400 3 2 3 3" xfId="30658"/>
    <cellStyle name="Normal 400 3 2 4" xfId="30659"/>
    <cellStyle name="Normal 400 3 3" xfId="30660"/>
    <cellStyle name="Normal 400 3 3 2" xfId="30661"/>
    <cellStyle name="Normal 400 3 3 2 2" xfId="30662"/>
    <cellStyle name="Normal 400 3 3 3" xfId="30663"/>
    <cellStyle name="Normal 400 3 4" xfId="30664"/>
    <cellStyle name="Normal 400 3 4 2" xfId="30665"/>
    <cellStyle name="Normal 400 3 4 2 2" xfId="30666"/>
    <cellStyle name="Normal 400 3 4 3" xfId="30667"/>
    <cellStyle name="Normal 400 3 5" xfId="30668"/>
    <cellStyle name="Normal 400 3 5 2" xfId="30669"/>
    <cellStyle name="Normal 400 3 5 2 2" xfId="30670"/>
    <cellStyle name="Normal 400 3 5 3" xfId="30671"/>
    <cellStyle name="Normal 400 3 6" xfId="30672"/>
    <cellStyle name="Normal 400 4" xfId="30673"/>
    <cellStyle name="Normal 400 4 2" xfId="30674"/>
    <cellStyle name="Normal 400 4 2 2" xfId="30675"/>
    <cellStyle name="Normal 400 4 3" xfId="30676"/>
    <cellStyle name="Normal 400 5" xfId="30677"/>
    <cellStyle name="Normal 400 5 2" xfId="30678"/>
    <cellStyle name="Normal 400 5 2 2" xfId="30679"/>
    <cellStyle name="Normal 400 5 3" xfId="30680"/>
    <cellStyle name="Normal 400 6" xfId="30681"/>
    <cellStyle name="Normal 400 6 2" xfId="30682"/>
    <cellStyle name="Normal 400 6 2 2" xfId="30683"/>
    <cellStyle name="Normal 400 6 3" xfId="30684"/>
    <cellStyle name="Normal 400 7" xfId="30685"/>
    <cellStyle name="Normal 401" xfId="30686"/>
    <cellStyle name="Normal 401 2" xfId="30687"/>
    <cellStyle name="Normal 401 2 2" xfId="30688"/>
    <cellStyle name="Normal 401 2 2 2" xfId="30689"/>
    <cellStyle name="Normal 401 2 3" xfId="30690"/>
    <cellStyle name="Normal 401 2 3 2" xfId="30691"/>
    <cellStyle name="Normal 401 2 3 2 2" xfId="30692"/>
    <cellStyle name="Normal 401 2 3 3" xfId="30693"/>
    <cellStyle name="Normal 401 2 4" xfId="30694"/>
    <cellStyle name="Normal 401 2 4 2" xfId="30695"/>
    <cellStyle name="Normal 401 2 4 2 2" xfId="30696"/>
    <cellStyle name="Normal 401 2 4 3" xfId="30697"/>
    <cellStyle name="Normal 401 2 5" xfId="30698"/>
    <cellStyle name="Normal 401 3" xfId="30699"/>
    <cellStyle name="Normal 401 3 2" xfId="30700"/>
    <cellStyle name="Normal 401 3 2 2" xfId="30701"/>
    <cellStyle name="Normal 401 3 2 2 2" xfId="30702"/>
    <cellStyle name="Normal 401 3 2 3" xfId="30703"/>
    <cellStyle name="Normal 401 3 2 3 2" xfId="30704"/>
    <cellStyle name="Normal 401 3 2 3 2 2" xfId="30705"/>
    <cellStyle name="Normal 401 3 2 3 3" xfId="30706"/>
    <cellStyle name="Normal 401 3 2 4" xfId="30707"/>
    <cellStyle name="Normal 401 3 3" xfId="30708"/>
    <cellStyle name="Normal 401 3 3 2" xfId="30709"/>
    <cellStyle name="Normal 401 3 3 2 2" xfId="30710"/>
    <cellStyle name="Normal 401 3 3 3" xfId="30711"/>
    <cellStyle name="Normal 401 3 4" xfId="30712"/>
    <cellStyle name="Normal 401 3 4 2" xfId="30713"/>
    <cellStyle name="Normal 401 3 4 2 2" xfId="30714"/>
    <cellStyle name="Normal 401 3 4 3" xfId="30715"/>
    <cellStyle name="Normal 401 3 5" xfId="30716"/>
    <cellStyle name="Normal 401 3 5 2" xfId="30717"/>
    <cellStyle name="Normal 401 3 5 2 2" xfId="30718"/>
    <cellStyle name="Normal 401 3 5 3" xfId="30719"/>
    <cellStyle name="Normal 401 3 6" xfId="30720"/>
    <cellStyle name="Normal 401 4" xfId="30721"/>
    <cellStyle name="Normal 401 4 2" xfId="30722"/>
    <cellStyle name="Normal 401 4 2 2" xfId="30723"/>
    <cellStyle name="Normal 401 4 3" xfId="30724"/>
    <cellStyle name="Normal 401 5" xfId="30725"/>
    <cellStyle name="Normal 401 5 2" xfId="30726"/>
    <cellStyle name="Normal 401 5 2 2" xfId="30727"/>
    <cellStyle name="Normal 401 5 3" xfId="30728"/>
    <cellStyle name="Normal 401 6" xfId="30729"/>
    <cellStyle name="Normal 401 6 2" xfId="30730"/>
    <cellStyle name="Normal 401 6 2 2" xfId="30731"/>
    <cellStyle name="Normal 401 6 3" xfId="30732"/>
    <cellStyle name="Normal 401 7" xfId="30733"/>
    <cellStyle name="Normal 402" xfId="30734"/>
    <cellStyle name="Normal 402 2" xfId="30735"/>
    <cellStyle name="Normal 402 2 2" xfId="30736"/>
    <cellStyle name="Normal 402 2 2 2" xfId="30737"/>
    <cellStyle name="Normal 402 2 3" xfId="30738"/>
    <cellStyle name="Normal 402 2 3 2" xfId="30739"/>
    <cellStyle name="Normal 402 2 3 2 2" xfId="30740"/>
    <cellStyle name="Normal 402 2 3 3" xfId="30741"/>
    <cellStyle name="Normal 402 2 4" xfId="30742"/>
    <cellStyle name="Normal 402 2 4 2" xfId="30743"/>
    <cellStyle name="Normal 402 2 4 2 2" xfId="30744"/>
    <cellStyle name="Normal 402 2 4 3" xfId="30745"/>
    <cellStyle name="Normal 402 2 5" xfId="30746"/>
    <cellStyle name="Normal 402 3" xfId="30747"/>
    <cellStyle name="Normal 402 3 2" xfId="30748"/>
    <cellStyle name="Normal 402 3 2 2" xfId="30749"/>
    <cellStyle name="Normal 402 3 2 2 2" xfId="30750"/>
    <cellStyle name="Normal 402 3 2 3" xfId="30751"/>
    <cellStyle name="Normal 402 3 2 3 2" xfId="30752"/>
    <cellStyle name="Normal 402 3 2 3 2 2" xfId="30753"/>
    <cellStyle name="Normal 402 3 2 3 3" xfId="30754"/>
    <cellStyle name="Normal 402 3 2 4" xfId="30755"/>
    <cellStyle name="Normal 402 3 3" xfId="30756"/>
    <cellStyle name="Normal 402 3 3 2" xfId="30757"/>
    <cellStyle name="Normal 402 3 3 2 2" xfId="30758"/>
    <cellStyle name="Normal 402 3 3 3" xfId="30759"/>
    <cellStyle name="Normal 402 3 4" xfId="30760"/>
    <cellStyle name="Normal 402 3 4 2" xfId="30761"/>
    <cellStyle name="Normal 402 3 4 2 2" xfId="30762"/>
    <cellStyle name="Normal 402 3 4 3" xfId="30763"/>
    <cellStyle name="Normal 402 3 5" xfId="30764"/>
    <cellStyle name="Normal 402 3 5 2" xfId="30765"/>
    <cellStyle name="Normal 402 3 5 2 2" xfId="30766"/>
    <cellStyle name="Normal 402 3 5 3" xfId="30767"/>
    <cellStyle name="Normal 402 3 6" xfId="30768"/>
    <cellStyle name="Normal 402 4" xfId="30769"/>
    <cellStyle name="Normal 402 4 2" xfId="30770"/>
    <cellStyle name="Normal 402 4 2 2" xfId="30771"/>
    <cellStyle name="Normal 402 4 3" xfId="30772"/>
    <cellStyle name="Normal 402 5" xfId="30773"/>
    <cellStyle name="Normal 402 5 2" xfId="30774"/>
    <cellStyle name="Normal 402 5 2 2" xfId="30775"/>
    <cellStyle name="Normal 402 5 3" xfId="30776"/>
    <cellStyle name="Normal 402 6" xfId="30777"/>
    <cellStyle name="Normal 402 6 2" xfId="30778"/>
    <cellStyle name="Normal 402 6 2 2" xfId="30779"/>
    <cellStyle name="Normal 402 6 3" xfId="30780"/>
    <cellStyle name="Normal 402 7" xfId="30781"/>
    <cellStyle name="Normal 403" xfId="30782"/>
    <cellStyle name="Normal 403 2" xfId="30783"/>
    <cellStyle name="Normal 403 2 2" xfId="30784"/>
    <cellStyle name="Normal 403 2 2 2" xfId="30785"/>
    <cellStyle name="Normal 403 2 3" xfId="30786"/>
    <cellStyle name="Normal 403 2 3 2" xfId="30787"/>
    <cellStyle name="Normal 403 2 3 2 2" xfId="30788"/>
    <cellStyle name="Normal 403 2 3 3" xfId="30789"/>
    <cellStyle name="Normal 403 2 4" xfId="30790"/>
    <cellStyle name="Normal 403 2 4 2" xfId="30791"/>
    <cellStyle name="Normal 403 2 4 2 2" xfId="30792"/>
    <cellStyle name="Normal 403 2 4 3" xfId="30793"/>
    <cellStyle name="Normal 403 2 5" xfId="30794"/>
    <cellStyle name="Normal 403 3" xfId="30795"/>
    <cellStyle name="Normal 403 3 2" xfId="30796"/>
    <cellStyle name="Normal 403 3 2 2" xfId="30797"/>
    <cellStyle name="Normal 403 3 2 2 2" xfId="30798"/>
    <cellStyle name="Normal 403 3 2 3" xfId="30799"/>
    <cellStyle name="Normal 403 3 2 3 2" xfId="30800"/>
    <cellStyle name="Normal 403 3 2 3 2 2" xfId="30801"/>
    <cellStyle name="Normal 403 3 2 3 3" xfId="30802"/>
    <cellStyle name="Normal 403 3 2 4" xfId="30803"/>
    <cellStyle name="Normal 403 3 3" xfId="30804"/>
    <cellStyle name="Normal 403 3 3 2" xfId="30805"/>
    <cellStyle name="Normal 403 3 3 2 2" xfId="30806"/>
    <cellStyle name="Normal 403 3 3 3" xfId="30807"/>
    <cellStyle name="Normal 403 3 4" xfId="30808"/>
    <cellStyle name="Normal 403 3 4 2" xfId="30809"/>
    <cellStyle name="Normal 403 3 4 2 2" xfId="30810"/>
    <cellStyle name="Normal 403 3 4 3" xfId="30811"/>
    <cellStyle name="Normal 403 3 5" xfId="30812"/>
    <cellStyle name="Normal 403 3 5 2" xfId="30813"/>
    <cellStyle name="Normal 403 3 5 2 2" xfId="30814"/>
    <cellStyle name="Normal 403 3 5 3" xfId="30815"/>
    <cellStyle name="Normal 403 3 6" xfId="30816"/>
    <cellStyle name="Normal 403 4" xfId="30817"/>
    <cellStyle name="Normal 403 4 2" xfId="30818"/>
    <cellStyle name="Normal 403 4 2 2" xfId="30819"/>
    <cellStyle name="Normal 403 4 3" xfId="30820"/>
    <cellStyle name="Normal 403 5" xfId="30821"/>
    <cellStyle name="Normal 403 5 2" xfId="30822"/>
    <cellStyle name="Normal 403 5 2 2" xfId="30823"/>
    <cellStyle name="Normal 403 5 3" xfId="30824"/>
    <cellStyle name="Normal 403 6" xfId="30825"/>
    <cellStyle name="Normal 403 6 2" xfId="30826"/>
    <cellStyle name="Normal 403 6 2 2" xfId="30827"/>
    <cellStyle name="Normal 403 6 3" xfId="30828"/>
    <cellStyle name="Normal 403 7" xfId="30829"/>
    <cellStyle name="Normal 404" xfId="30830"/>
    <cellStyle name="Normal 404 2" xfId="30831"/>
    <cellStyle name="Normal 404 2 2" xfId="30832"/>
    <cellStyle name="Normal 404 2 2 2" xfId="30833"/>
    <cellStyle name="Normal 404 2 3" xfId="30834"/>
    <cellStyle name="Normal 404 2 3 2" xfId="30835"/>
    <cellStyle name="Normal 404 2 3 2 2" xfId="30836"/>
    <cellStyle name="Normal 404 2 3 3" xfId="30837"/>
    <cellStyle name="Normal 404 2 4" xfId="30838"/>
    <cellStyle name="Normal 404 2 4 2" xfId="30839"/>
    <cellStyle name="Normal 404 2 4 2 2" xfId="30840"/>
    <cellStyle name="Normal 404 2 4 3" xfId="30841"/>
    <cellStyle name="Normal 404 2 5" xfId="30842"/>
    <cellStyle name="Normal 404 3" xfId="30843"/>
    <cellStyle name="Normal 404 3 2" xfId="30844"/>
    <cellStyle name="Normal 404 3 2 2" xfId="30845"/>
    <cellStyle name="Normal 404 3 2 2 2" xfId="30846"/>
    <cellStyle name="Normal 404 3 2 3" xfId="30847"/>
    <cellStyle name="Normal 404 3 2 3 2" xfId="30848"/>
    <cellStyle name="Normal 404 3 2 3 2 2" xfId="30849"/>
    <cellStyle name="Normal 404 3 2 3 3" xfId="30850"/>
    <cellStyle name="Normal 404 3 2 4" xfId="30851"/>
    <cellStyle name="Normal 404 3 3" xfId="30852"/>
    <cellStyle name="Normal 404 3 3 2" xfId="30853"/>
    <cellStyle name="Normal 404 3 3 2 2" xfId="30854"/>
    <cellStyle name="Normal 404 3 3 3" xfId="30855"/>
    <cellStyle name="Normal 404 3 4" xfId="30856"/>
    <cellStyle name="Normal 404 3 4 2" xfId="30857"/>
    <cellStyle name="Normal 404 3 4 2 2" xfId="30858"/>
    <cellStyle name="Normal 404 3 4 3" xfId="30859"/>
    <cellStyle name="Normal 404 3 5" xfId="30860"/>
    <cellStyle name="Normal 404 3 5 2" xfId="30861"/>
    <cellStyle name="Normal 404 3 5 2 2" xfId="30862"/>
    <cellStyle name="Normal 404 3 5 3" xfId="30863"/>
    <cellStyle name="Normal 404 3 6" xfId="30864"/>
    <cellStyle name="Normal 404 4" xfId="30865"/>
    <cellStyle name="Normal 404 4 2" xfId="30866"/>
    <cellStyle name="Normal 404 4 2 2" xfId="30867"/>
    <cellStyle name="Normal 404 4 3" xfId="30868"/>
    <cellStyle name="Normal 404 5" xfId="30869"/>
    <cellStyle name="Normal 404 5 2" xfId="30870"/>
    <cellStyle name="Normal 404 5 2 2" xfId="30871"/>
    <cellStyle name="Normal 404 5 3" xfId="30872"/>
    <cellStyle name="Normal 404 6" xfId="30873"/>
    <cellStyle name="Normal 404 6 2" xfId="30874"/>
    <cellStyle name="Normal 404 6 2 2" xfId="30875"/>
    <cellStyle name="Normal 404 6 3" xfId="30876"/>
    <cellStyle name="Normal 404 7" xfId="30877"/>
    <cellStyle name="Normal 405" xfId="30878"/>
    <cellStyle name="Normal 405 2" xfId="30879"/>
    <cellStyle name="Normal 405 2 2" xfId="30880"/>
    <cellStyle name="Normal 405 2 2 2" xfId="30881"/>
    <cellStyle name="Normal 405 2 3" xfId="30882"/>
    <cellStyle name="Normal 405 2 3 2" xfId="30883"/>
    <cellStyle name="Normal 405 2 3 2 2" xfId="30884"/>
    <cellStyle name="Normal 405 2 3 3" xfId="30885"/>
    <cellStyle name="Normal 405 2 4" xfId="30886"/>
    <cellStyle name="Normal 405 2 4 2" xfId="30887"/>
    <cellStyle name="Normal 405 2 4 2 2" xfId="30888"/>
    <cellStyle name="Normal 405 2 4 3" xfId="30889"/>
    <cellStyle name="Normal 405 2 5" xfId="30890"/>
    <cellStyle name="Normal 405 3" xfId="30891"/>
    <cellStyle name="Normal 405 3 2" xfId="30892"/>
    <cellStyle name="Normal 405 3 2 2" xfId="30893"/>
    <cellStyle name="Normal 405 3 2 2 2" xfId="30894"/>
    <cellStyle name="Normal 405 3 2 3" xfId="30895"/>
    <cellStyle name="Normal 405 3 2 3 2" xfId="30896"/>
    <cellStyle name="Normal 405 3 2 3 2 2" xfId="30897"/>
    <cellStyle name="Normal 405 3 2 3 3" xfId="30898"/>
    <cellStyle name="Normal 405 3 2 4" xfId="30899"/>
    <cellStyle name="Normal 405 3 3" xfId="30900"/>
    <cellStyle name="Normal 405 3 3 2" xfId="30901"/>
    <cellStyle name="Normal 405 3 3 2 2" xfId="30902"/>
    <cellStyle name="Normal 405 3 3 3" xfId="30903"/>
    <cellStyle name="Normal 405 3 4" xfId="30904"/>
    <cellStyle name="Normal 405 3 4 2" xfId="30905"/>
    <cellStyle name="Normal 405 3 4 2 2" xfId="30906"/>
    <cellStyle name="Normal 405 3 4 3" xfId="30907"/>
    <cellStyle name="Normal 405 3 5" xfId="30908"/>
    <cellStyle name="Normal 405 3 5 2" xfId="30909"/>
    <cellStyle name="Normal 405 3 5 2 2" xfId="30910"/>
    <cellStyle name="Normal 405 3 5 3" xfId="30911"/>
    <cellStyle name="Normal 405 3 6" xfId="30912"/>
    <cellStyle name="Normal 405 4" xfId="30913"/>
    <cellStyle name="Normal 405 4 2" xfId="30914"/>
    <cellStyle name="Normal 405 4 2 2" xfId="30915"/>
    <cellStyle name="Normal 405 4 3" xfId="30916"/>
    <cellStyle name="Normal 405 5" xfId="30917"/>
    <cellStyle name="Normal 405 5 2" xfId="30918"/>
    <cellStyle name="Normal 405 5 2 2" xfId="30919"/>
    <cellStyle name="Normal 405 5 3" xfId="30920"/>
    <cellStyle name="Normal 405 6" xfId="30921"/>
    <cellStyle name="Normal 405 6 2" xfId="30922"/>
    <cellStyle name="Normal 405 6 2 2" xfId="30923"/>
    <cellStyle name="Normal 405 6 3" xfId="30924"/>
    <cellStyle name="Normal 405 7" xfId="30925"/>
    <cellStyle name="Normal 406" xfId="30926"/>
    <cellStyle name="Normal 406 2" xfId="30927"/>
    <cellStyle name="Normal 406 2 2" xfId="30928"/>
    <cellStyle name="Normal 406 2 2 2" xfId="30929"/>
    <cellStyle name="Normal 406 2 3" xfId="30930"/>
    <cellStyle name="Normal 406 2 3 2" xfId="30931"/>
    <cellStyle name="Normal 406 2 3 2 2" xfId="30932"/>
    <cellStyle name="Normal 406 2 3 3" xfId="30933"/>
    <cellStyle name="Normal 406 2 4" xfId="30934"/>
    <cellStyle name="Normal 406 2 4 2" xfId="30935"/>
    <cellStyle name="Normal 406 2 4 2 2" xfId="30936"/>
    <cellStyle name="Normal 406 2 4 3" xfId="30937"/>
    <cellStyle name="Normal 406 2 5" xfId="30938"/>
    <cellStyle name="Normal 406 3" xfId="30939"/>
    <cellStyle name="Normal 406 3 2" xfId="30940"/>
    <cellStyle name="Normal 406 3 2 2" xfId="30941"/>
    <cellStyle name="Normal 406 3 2 2 2" xfId="30942"/>
    <cellStyle name="Normal 406 3 2 3" xfId="30943"/>
    <cellStyle name="Normal 406 3 2 3 2" xfId="30944"/>
    <cellStyle name="Normal 406 3 2 3 2 2" xfId="30945"/>
    <cellStyle name="Normal 406 3 2 3 3" xfId="30946"/>
    <cellStyle name="Normal 406 3 2 4" xfId="30947"/>
    <cellStyle name="Normal 406 3 3" xfId="30948"/>
    <cellStyle name="Normal 406 3 3 2" xfId="30949"/>
    <cellStyle name="Normal 406 3 3 2 2" xfId="30950"/>
    <cellStyle name="Normal 406 3 3 3" xfId="30951"/>
    <cellStyle name="Normal 406 3 4" xfId="30952"/>
    <cellStyle name="Normal 406 3 4 2" xfId="30953"/>
    <cellStyle name="Normal 406 3 4 2 2" xfId="30954"/>
    <cellStyle name="Normal 406 3 4 3" xfId="30955"/>
    <cellStyle name="Normal 406 3 5" xfId="30956"/>
    <cellStyle name="Normal 406 3 5 2" xfId="30957"/>
    <cellStyle name="Normal 406 3 5 2 2" xfId="30958"/>
    <cellStyle name="Normal 406 3 5 3" xfId="30959"/>
    <cellStyle name="Normal 406 3 6" xfId="30960"/>
    <cellStyle name="Normal 406 4" xfId="30961"/>
    <cellStyle name="Normal 406 4 2" xfId="30962"/>
    <cellStyle name="Normal 406 4 2 2" xfId="30963"/>
    <cellStyle name="Normal 406 4 3" xfId="30964"/>
    <cellStyle name="Normal 406 5" xfId="30965"/>
    <cellStyle name="Normal 406 5 2" xfId="30966"/>
    <cellStyle name="Normal 406 5 2 2" xfId="30967"/>
    <cellStyle name="Normal 406 5 3" xfId="30968"/>
    <cellStyle name="Normal 406 6" xfId="30969"/>
    <cellStyle name="Normal 406 6 2" xfId="30970"/>
    <cellStyle name="Normal 406 6 2 2" xfId="30971"/>
    <cellStyle name="Normal 406 6 3" xfId="30972"/>
    <cellStyle name="Normal 406 7" xfId="30973"/>
    <cellStyle name="Normal 407" xfId="30974"/>
    <cellStyle name="Normal 407 2" xfId="30975"/>
    <cellStyle name="Normal 407 2 2" xfId="30976"/>
    <cellStyle name="Normal 407 2 2 2" xfId="30977"/>
    <cellStyle name="Normal 407 2 3" xfId="30978"/>
    <cellStyle name="Normal 407 2 3 2" xfId="30979"/>
    <cellStyle name="Normal 407 2 3 2 2" xfId="30980"/>
    <cellStyle name="Normal 407 2 3 3" xfId="30981"/>
    <cellStyle name="Normal 407 2 4" xfId="30982"/>
    <cellStyle name="Normal 407 2 4 2" xfId="30983"/>
    <cellStyle name="Normal 407 2 4 2 2" xfId="30984"/>
    <cellStyle name="Normal 407 2 4 3" xfId="30985"/>
    <cellStyle name="Normal 407 2 5" xfId="30986"/>
    <cellStyle name="Normal 407 3" xfId="30987"/>
    <cellStyle name="Normal 407 3 2" xfId="30988"/>
    <cellStyle name="Normal 407 3 2 2" xfId="30989"/>
    <cellStyle name="Normal 407 3 2 2 2" xfId="30990"/>
    <cellStyle name="Normal 407 3 2 3" xfId="30991"/>
    <cellStyle name="Normal 407 3 2 3 2" xfId="30992"/>
    <cellStyle name="Normal 407 3 2 3 2 2" xfId="30993"/>
    <cellStyle name="Normal 407 3 2 3 3" xfId="30994"/>
    <cellStyle name="Normal 407 3 2 4" xfId="30995"/>
    <cellStyle name="Normal 407 3 3" xfId="30996"/>
    <cellStyle name="Normal 407 3 3 2" xfId="30997"/>
    <cellStyle name="Normal 407 3 3 2 2" xfId="30998"/>
    <cellStyle name="Normal 407 3 3 3" xfId="30999"/>
    <cellStyle name="Normal 407 3 4" xfId="31000"/>
    <cellStyle name="Normal 407 3 4 2" xfId="31001"/>
    <cellStyle name="Normal 407 3 4 2 2" xfId="31002"/>
    <cellStyle name="Normal 407 3 4 3" xfId="31003"/>
    <cellStyle name="Normal 407 3 5" xfId="31004"/>
    <cellStyle name="Normal 407 3 5 2" xfId="31005"/>
    <cellStyle name="Normal 407 3 5 2 2" xfId="31006"/>
    <cellStyle name="Normal 407 3 5 3" xfId="31007"/>
    <cellStyle name="Normal 407 3 6" xfId="31008"/>
    <cellStyle name="Normal 407 4" xfId="31009"/>
    <cellStyle name="Normal 407 4 2" xfId="31010"/>
    <cellStyle name="Normal 407 4 2 2" xfId="31011"/>
    <cellStyle name="Normal 407 4 3" xfId="31012"/>
    <cellStyle name="Normal 407 5" xfId="31013"/>
    <cellStyle name="Normal 407 5 2" xfId="31014"/>
    <cellStyle name="Normal 407 5 2 2" xfId="31015"/>
    <cellStyle name="Normal 407 5 3" xfId="31016"/>
    <cellStyle name="Normal 407 6" xfId="31017"/>
    <cellStyle name="Normal 407 6 2" xfId="31018"/>
    <cellStyle name="Normal 407 6 2 2" xfId="31019"/>
    <cellStyle name="Normal 407 6 3" xfId="31020"/>
    <cellStyle name="Normal 407 7" xfId="31021"/>
    <cellStyle name="Normal 408" xfId="31022"/>
    <cellStyle name="Normal 408 2" xfId="31023"/>
    <cellStyle name="Normal 408 2 2" xfId="31024"/>
    <cellStyle name="Normal 408 2 2 2" xfId="31025"/>
    <cellStyle name="Normal 408 2 3" xfId="31026"/>
    <cellStyle name="Normal 408 2 3 2" xfId="31027"/>
    <cellStyle name="Normal 408 2 3 2 2" xfId="31028"/>
    <cellStyle name="Normal 408 2 3 3" xfId="31029"/>
    <cellStyle name="Normal 408 2 4" xfId="31030"/>
    <cellStyle name="Normal 408 2 4 2" xfId="31031"/>
    <cellStyle name="Normal 408 2 4 2 2" xfId="31032"/>
    <cellStyle name="Normal 408 2 4 3" xfId="31033"/>
    <cellStyle name="Normal 408 2 5" xfId="31034"/>
    <cellStyle name="Normal 408 3" xfId="31035"/>
    <cellStyle name="Normal 408 3 2" xfId="31036"/>
    <cellStyle name="Normal 408 3 2 2" xfId="31037"/>
    <cellStyle name="Normal 408 3 2 2 2" xfId="31038"/>
    <cellStyle name="Normal 408 3 2 3" xfId="31039"/>
    <cellStyle name="Normal 408 3 2 3 2" xfId="31040"/>
    <cellStyle name="Normal 408 3 2 3 2 2" xfId="31041"/>
    <cellStyle name="Normal 408 3 2 3 3" xfId="31042"/>
    <cellStyle name="Normal 408 3 2 4" xfId="31043"/>
    <cellStyle name="Normal 408 3 3" xfId="31044"/>
    <cellStyle name="Normal 408 3 3 2" xfId="31045"/>
    <cellStyle name="Normal 408 3 3 2 2" xfId="31046"/>
    <cellStyle name="Normal 408 3 3 3" xfId="31047"/>
    <cellStyle name="Normal 408 3 4" xfId="31048"/>
    <cellStyle name="Normal 408 3 4 2" xfId="31049"/>
    <cellStyle name="Normal 408 3 4 2 2" xfId="31050"/>
    <cellStyle name="Normal 408 3 4 3" xfId="31051"/>
    <cellStyle name="Normal 408 3 5" xfId="31052"/>
    <cellStyle name="Normal 408 3 5 2" xfId="31053"/>
    <cellStyle name="Normal 408 3 5 2 2" xfId="31054"/>
    <cellStyle name="Normal 408 3 5 3" xfId="31055"/>
    <cellStyle name="Normal 408 3 6" xfId="31056"/>
    <cellStyle name="Normal 408 4" xfId="31057"/>
    <cellStyle name="Normal 408 4 2" xfId="31058"/>
    <cellStyle name="Normal 408 4 2 2" xfId="31059"/>
    <cellStyle name="Normal 408 4 3" xfId="31060"/>
    <cellStyle name="Normal 408 5" xfId="31061"/>
    <cellStyle name="Normal 408 5 2" xfId="31062"/>
    <cellStyle name="Normal 408 5 2 2" xfId="31063"/>
    <cellStyle name="Normal 408 5 3" xfId="31064"/>
    <cellStyle name="Normal 408 6" xfId="31065"/>
    <cellStyle name="Normal 408 6 2" xfId="31066"/>
    <cellStyle name="Normal 408 6 2 2" xfId="31067"/>
    <cellStyle name="Normal 408 6 3" xfId="31068"/>
    <cellStyle name="Normal 408 7" xfId="31069"/>
    <cellStyle name="Normal 409" xfId="31070"/>
    <cellStyle name="Normal 409 2" xfId="31071"/>
    <cellStyle name="Normal 409 2 2" xfId="31072"/>
    <cellStyle name="Normal 409 2 2 2" xfId="31073"/>
    <cellStyle name="Normal 409 2 3" xfId="31074"/>
    <cellStyle name="Normal 409 2 3 2" xfId="31075"/>
    <cellStyle name="Normal 409 2 3 2 2" xfId="31076"/>
    <cellStyle name="Normal 409 2 3 3" xfId="31077"/>
    <cellStyle name="Normal 409 2 4" xfId="31078"/>
    <cellStyle name="Normal 409 2 4 2" xfId="31079"/>
    <cellStyle name="Normal 409 2 4 2 2" xfId="31080"/>
    <cellStyle name="Normal 409 2 4 3" xfId="31081"/>
    <cellStyle name="Normal 409 2 5" xfId="31082"/>
    <cellStyle name="Normal 409 3" xfId="31083"/>
    <cellStyle name="Normal 409 3 2" xfId="31084"/>
    <cellStyle name="Normal 409 3 2 2" xfId="31085"/>
    <cellStyle name="Normal 409 3 2 2 2" xfId="31086"/>
    <cellStyle name="Normal 409 3 2 3" xfId="31087"/>
    <cellStyle name="Normal 409 3 2 3 2" xfId="31088"/>
    <cellStyle name="Normal 409 3 2 3 2 2" xfId="31089"/>
    <cellStyle name="Normal 409 3 2 3 3" xfId="31090"/>
    <cellStyle name="Normal 409 3 2 4" xfId="31091"/>
    <cellStyle name="Normal 409 3 3" xfId="31092"/>
    <cellStyle name="Normal 409 3 3 2" xfId="31093"/>
    <cellStyle name="Normal 409 3 3 2 2" xfId="31094"/>
    <cellStyle name="Normal 409 3 3 3" xfId="31095"/>
    <cellStyle name="Normal 409 3 4" xfId="31096"/>
    <cellStyle name="Normal 409 3 4 2" xfId="31097"/>
    <cellStyle name="Normal 409 3 4 2 2" xfId="31098"/>
    <cellStyle name="Normal 409 3 4 3" xfId="31099"/>
    <cellStyle name="Normal 409 3 5" xfId="31100"/>
    <cellStyle name="Normal 409 3 5 2" xfId="31101"/>
    <cellStyle name="Normal 409 3 5 2 2" xfId="31102"/>
    <cellStyle name="Normal 409 3 5 3" xfId="31103"/>
    <cellStyle name="Normal 409 3 6" xfId="31104"/>
    <cellStyle name="Normal 409 4" xfId="31105"/>
    <cellStyle name="Normal 409 4 2" xfId="31106"/>
    <cellStyle name="Normal 409 4 2 2" xfId="31107"/>
    <cellStyle name="Normal 409 4 3" xfId="31108"/>
    <cellStyle name="Normal 409 5" xfId="31109"/>
    <cellStyle name="Normal 409 5 2" xfId="31110"/>
    <cellStyle name="Normal 409 5 2 2" xfId="31111"/>
    <cellStyle name="Normal 409 5 3" xfId="31112"/>
    <cellStyle name="Normal 409 6" xfId="31113"/>
    <cellStyle name="Normal 409 6 2" xfId="31114"/>
    <cellStyle name="Normal 409 6 2 2" xfId="31115"/>
    <cellStyle name="Normal 409 6 3" xfId="31116"/>
    <cellStyle name="Normal 409 7" xfId="31117"/>
    <cellStyle name="Normal 41" xfId="31118"/>
    <cellStyle name="Normal 41 2" xfId="31119"/>
    <cellStyle name="Normal 41 2 2" xfId="31120"/>
    <cellStyle name="Normal 41 2 2 2" xfId="31121"/>
    <cellStyle name="Normal 41 2 2 2 2" xfId="31122"/>
    <cellStyle name="Normal 41 2 2 3" xfId="31123"/>
    <cellStyle name="Normal 41 2 2 3 2" xfId="31124"/>
    <cellStyle name="Normal 41 2 2 3 2 2" xfId="31125"/>
    <cellStyle name="Normal 41 2 2 3 3" xfId="31126"/>
    <cellStyle name="Normal 41 2 2 4" xfId="31127"/>
    <cellStyle name="Normal 41 2 2 4 2" xfId="31128"/>
    <cellStyle name="Normal 41 2 2 4 2 2" xfId="31129"/>
    <cellStyle name="Normal 41 2 2 4 3" xfId="31130"/>
    <cellStyle name="Normal 41 2 2 5" xfId="31131"/>
    <cellStyle name="Normal 41 2 3" xfId="31132"/>
    <cellStyle name="Normal 41 2 3 2" xfId="31133"/>
    <cellStyle name="Normal 41 2 3 2 2" xfId="31134"/>
    <cellStyle name="Normal 41 2 3 3" xfId="31135"/>
    <cellStyle name="Normal 41 2 4" xfId="31136"/>
    <cellStyle name="Normal 41 2 4 2" xfId="31137"/>
    <cellStyle name="Normal 41 2 4 2 2" xfId="31138"/>
    <cellStyle name="Normal 41 2 4 3" xfId="31139"/>
    <cellStyle name="Normal 41 2 5" xfId="31140"/>
    <cellStyle name="Normal 41 2 5 2" xfId="31141"/>
    <cellStyle name="Normal 41 2 5 2 2" xfId="31142"/>
    <cellStyle name="Normal 41 2 5 3" xfId="31143"/>
    <cellStyle name="Normal 41 2 6" xfId="31144"/>
    <cellStyle name="Normal 41 3" xfId="31145"/>
    <cellStyle name="Normal 41 3 2" xfId="31146"/>
    <cellStyle name="Normal 41 3 2 2" xfId="31147"/>
    <cellStyle name="Normal 41 3 3" xfId="31148"/>
    <cellStyle name="Normal 41 3 3 2" xfId="31149"/>
    <cellStyle name="Normal 41 3 3 2 2" xfId="31150"/>
    <cellStyle name="Normal 41 3 3 3" xfId="31151"/>
    <cellStyle name="Normal 41 3 4" xfId="31152"/>
    <cellStyle name="Normal 41 3 4 2" xfId="31153"/>
    <cellStyle name="Normal 41 3 4 2 2" xfId="31154"/>
    <cellStyle name="Normal 41 3 4 3" xfId="31155"/>
    <cellStyle name="Normal 41 3 5" xfId="31156"/>
    <cellStyle name="Normal 41 4" xfId="31157"/>
    <cellStyle name="Normal 41 4 2" xfId="31158"/>
    <cellStyle name="Normal 41 4 2 2" xfId="31159"/>
    <cellStyle name="Normal 41 4 3" xfId="31160"/>
    <cellStyle name="Normal 41 5" xfId="31161"/>
    <cellStyle name="Normal 41 5 2" xfId="31162"/>
    <cellStyle name="Normal 41 5 2 2" xfId="31163"/>
    <cellStyle name="Normal 41 5 3" xfId="31164"/>
    <cellStyle name="Normal 41 6" xfId="31165"/>
    <cellStyle name="Normal 41 6 2" xfId="31166"/>
    <cellStyle name="Normal 41 6 2 2" xfId="31167"/>
    <cellStyle name="Normal 41 6 3" xfId="31168"/>
    <cellStyle name="Normal 41 7" xfId="31169"/>
    <cellStyle name="Normal 410" xfId="31170"/>
    <cellStyle name="Normal 410 2" xfId="31171"/>
    <cellStyle name="Normal 410 2 2" xfId="31172"/>
    <cellStyle name="Normal 410 2 2 2" xfId="31173"/>
    <cellStyle name="Normal 410 2 3" xfId="31174"/>
    <cellStyle name="Normal 410 2 3 2" xfId="31175"/>
    <cellStyle name="Normal 410 2 3 2 2" xfId="31176"/>
    <cellStyle name="Normal 410 2 3 3" xfId="31177"/>
    <cellStyle name="Normal 410 2 4" xfId="31178"/>
    <cellStyle name="Normal 410 2 4 2" xfId="31179"/>
    <cellStyle name="Normal 410 2 4 2 2" xfId="31180"/>
    <cellStyle name="Normal 410 2 4 3" xfId="31181"/>
    <cellStyle name="Normal 410 2 5" xfId="31182"/>
    <cellStyle name="Normal 410 3" xfId="31183"/>
    <cellStyle name="Normal 410 3 2" xfId="31184"/>
    <cellStyle name="Normal 410 3 2 2" xfId="31185"/>
    <cellStyle name="Normal 410 3 2 2 2" xfId="31186"/>
    <cellStyle name="Normal 410 3 2 3" xfId="31187"/>
    <cellStyle name="Normal 410 3 2 3 2" xfId="31188"/>
    <cellStyle name="Normal 410 3 2 3 2 2" xfId="31189"/>
    <cellStyle name="Normal 410 3 2 3 3" xfId="31190"/>
    <cellStyle name="Normal 410 3 2 4" xfId="31191"/>
    <cellStyle name="Normal 410 3 3" xfId="31192"/>
    <cellStyle name="Normal 410 3 3 2" xfId="31193"/>
    <cellStyle name="Normal 410 3 3 2 2" xfId="31194"/>
    <cellStyle name="Normal 410 3 3 3" xfId="31195"/>
    <cellStyle name="Normal 410 3 4" xfId="31196"/>
    <cellStyle name="Normal 410 3 4 2" xfId="31197"/>
    <cellStyle name="Normal 410 3 4 2 2" xfId="31198"/>
    <cellStyle name="Normal 410 3 4 3" xfId="31199"/>
    <cellStyle name="Normal 410 3 5" xfId="31200"/>
    <cellStyle name="Normal 410 3 5 2" xfId="31201"/>
    <cellStyle name="Normal 410 3 5 2 2" xfId="31202"/>
    <cellStyle name="Normal 410 3 5 3" xfId="31203"/>
    <cellStyle name="Normal 410 3 6" xfId="31204"/>
    <cellStyle name="Normal 410 4" xfId="31205"/>
    <cellStyle name="Normal 410 4 2" xfId="31206"/>
    <cellStyle name="Normal 410 4 2 2" xfId="31207"/>
    <cellStyle name="Normal 410 4 3" xfId="31208"/>
    <cellStyle name="Normal 410 5" xfId="31209"/>
    <cellStyle name="Normal 410 5 2" xfId="31210"/>
    <cellStyle name="Normal 410 5 2 2" xfId="31211"/>
    <cellStyle name="Normal 410 5 3" xfId="31212"/>
    <cellStyle name="Normal 410 6" xfId="31213"/>
    <cellStyle name="Normal 410 6 2" xfId="31214"/>
    <cellStyle name="Normal 410 6 2 2" xfId="31215"/>
    <cellStyle name="Normal 410 6 3" xfId="31216"/>
    <cellStyle name="Normal 410 7" xfId="31217"/>
    <cellStyle name="Normal 411" xfId="31218"/>
    <cellStyle name="Normal 411 2" xfId="31219"/>
    <cellStyle name="Normal 411 2 2" xfId="31220"/>
    <cellStyle name="Normal 411 2 2 2" xfId="31221"/>
    <cellStyle name="Normal 411 2 3" xfId="31222"/>
    <cellStyle name="Normal 411 2 3 2" xfId="31223"/>
    <cellStyle name="Normal 411 2 3 2 2" xfId="31224"/>
    <cellStyle name="Normal 411 2 3 3" xfId="31225"/>
    <cellStyle name="Normal 411 2 4" xfId="31226"/>
    <cellStyle name="Normal 411 2 4 2" xfId="31227"/>
    <cellStyle name="Normal 411 2 4 2 2" xfId="31228"/>
    <cellStyle name="Normal 411 2 4 3" xfId="31229"/>
    <cellStyle name="Normal 411 2 5" xfId="31230"/>
    <cellStyle name="Normal 411 3" xfId="31231"/>
    <cellStyle name="Normal 411 3 2" xfId="31232"/>
    <cellStyle name="Normal 411 3 2 2" xfId="31233"/>
    <cellStyle name="Normal 411 3 2 2 2" xfId="31234"/>
    <cellStyle name="Normal 411 3 2 3" xfId="31235"/>
    <cellStyle name="Normal 411 3 2 3 2" xfId="31236"/>
    <cellStyle name="Normal 411 3 2 3 2 2" xfId="31237"/>
    <cellStyle name="Normal 411 3 2 3 3" xfId="31238"/>
    <cellStyle name="Normal 411 3 2 4" xfId="31239"/>
    <cellStyle name="Normal 411 3 3" xfId="31240"/>
    <cellStyle name="Normal 411 3 3 2" xfId="31241"/>
    <cellStyle name="Normal 411 3 3 2 2" xfId="31242"/>
    <cellStyle name="Normal 411 3 3 3" xfId="31243"/>
    <cellStyle name="Normal 411 3 4" xfId="31244"/>
    <cellStyle name="Normal 411 3 4 2" xfId="31245"/>
    <cellStyle name="Normal 411 3 4 2 2" xfId="31246"/>
    <cellStyle name="Normal 411 3 4 3" xfId="31247"/>
    <cellStyle name="Normal 411 3 5" xfId="31248"/>
    <cellStyle name="Normal 411 3 5 2" xfId="31249"/>
    <cellStyle name="Normal 411 3 5 2 2" xfId="31250"/>
    <cellStyle name="Normal 411 3 5 3" xfId="31251"/>
    <cellStyle name="Normal 411 3 6" xfId="31252"/>
    <cellStyle name="Normal 411 4" xfId="31253"/>
    <cellStyle name="Normal 411 4 2" xfId="31254"/>
    <cellStyle name="Normal 411 4 2 2" xfId="31255"/>
    <cellStyle name="Normal 411 4 3" xfId="31256"/>
    <cellStyle name="Normal 411 5" xfId="31257"/>
    <cellStyle name="Normal 411 5 2" xfId="31258"/>
    <cellStyle name="Normal 411 5 2 2" xfId="31259"/>
    <cellStyle name="Normal 411 5 3" xfId="31260"/>
    <cellStyle name="Normal 411 6" xfId="31261"/>
    <cellStyle name="Normal 411 6 2" xfId="31262"/>
    <cellStyle name="Normal 411 6 2 2" xfId="31263"/>
    <cellStyle name="Normal 411 6 3" xfId="31264"/>
    <cellStyle name="Normal 411 7" xfId="31265"/>
    <cellStyle name="Normal 412" xfId="31266"/>
    <cellStyle name="Normal 412 2" xfId="31267"/>
    <cellStyle name="Normal 412 2 2" xfId="31268"/>
    <cellStyle name="Normal 412 2 2 2" xfId="31269"/>
    <cellStyle name="Normal 412 2 3" xfId="31270"/>
    <cellStyle name="Normal 412 2 3 2" xfId="31271"/>
    <cellStyle name="Normal 412 2 3 2 2" xfId="31272"/>
    <cellStyle name="Normal 412 2 3 3" xfId="31273"/>
    <cellStyle name="Normal 412 2 4" xfId="31274"/>
    <cellStyle name="Normal 412 2 4 2" xfId="31275"/>
    <cellStyle name="Normal 412 2 4 2 2" xfId="31276"/>
    <cellStyle name="Normal 412 2 4 3" xfId="31277"/>
    <cellStyle name="Normal 412 2 5" xfId="31278"/>
    <cellStyle name="Normal 412 3" xfId="31279"/>
    <cellStyle name="Normal 412 3 2" xfId="31280"/>
    <cellStyle name="Normal 412 3 2 2" xfId="31281"/>
    <cellStyle name="Normal 412 3 2 2 2" xfId="31282"/>
    <cellStyle name="Normal 412 3 2 3" xfId="31283"/>
    <cellStyle name="Normal 412 3 2 3 2" xfId="31284"/>
    <cellStyle name="Normal 412 3 2 3 2 2" xfId="31285"/>
    <cellStyle name="Normal 412 3 2 3 3" xfId="31286"/>
    <cellStyle name="Normal 412 3 2 4" xfId="31287"/>
    <cellStyle name="Normal 412 3 3" xfId="31288"/>
    <cellStyle name="Normal 412 3 3 2" xfId="31289"/>
    <cellStyle name="Normal 412 3 3 2 2" xfId="31290"/>
    <cellStyle name="Normal 412 3 3 3" xfId="31291"/>
    <cellStyle name="Normal 412 3 4" xfId="31292"/>
    <cellStyle name="Normal 412 3 4 2" xfId="31293"/>
    <cellStyle name="Normal 412 3 4 2 2" xfId="31294"/>
    <cellStyle name="Normal 412 3 4 3" xfId="31295"/>
    <cellStyle name="Normal 412 3 5" xfId="31296"/>
    <cellStyle name="Normal 412 3 5 2" xfId="31297"/>
    <cellStyle name="Normal 412 3 5 2 2" xfId="31298"/>
    <cellStyle name="Normal 412 3 5 3" xfId="31299"/>
    <cellStyle name="Normal 412 3 6" xfId="31300"/>
    <cellStyle name="Normal 412 4" xfId="31301"/>
    <cellStyle name="Normal 412 4 2" xfId="31302"/>
    <cellStyle name="Normal 412 4 2 2" xfId="31303"/>
    <cellStyle name="Normal 412 4 3" xfId="31304"/>
    <cellStyle name="Normal 412 5" xfId="31305"/>
    <cellStyle name="Normal 412 5 2" xfId="31306"/>
    <cellStyle name="Normal 412 5 2 2" xfId="31307"/>
    <cellStyle name="Normal 412 5 3" xfId="31308"/>
    <cellStyle name="Normal 412 6" xfId="31309"/>
    <cellStyle name="Normal 412 6 2" xfId="31310"/>
    <cellStyle name="Normal 412 6 2 2" xfId="31311"/>
    <cellStyle name="Normal 412 6 3" xfId="31312"/>
    <cellStyle name="Normal 412 7" xfId="31313"/>
    <cellStyle name="Normal 413" xfId="31314"/>
    <cellStyle name="Normal 413 2" xfId="31315"/>
    <cellStyle name="Normal 413 2 2" xfId="31316"/>
    <cellStyle name="Normal 413 2 2 2" xfId="31317"/>
    <cellStyle name="Normal 413 2 3" xfId="31318"/>
    <cellStyle name="Normal 413 2 3 2" xfId="31319"/>
    <cellStyle name="Normal 413 2 3 2 2" xfId="31320"/>
    <cellStyle name="Normal 413 2 3 3" xfId="31321"/>
    <cellStyle name="Normal 413 2 4" xfId="31322"/>
    <cellStyle name="Normal 413 2 4 2" xfId="31323"/>
    <cellStyle name="Normal 413 2 4 2 2" xfId="31324"/>
    <cellStyle name="Normal 413 2 4 3" xfId="31325"/>
    <cellStyle name="Normal 413 2 5" xfId="31326"/>
    <cellStyle name="Normal 413 3" xfId="31327"/>
    <cellStyle name="Normal 413 3 2" xfId="31328"/>
    <cellStyle name="Normal 413 3 2 2" xfId="31329"/>
    <cellStyle name="Normal 413 3 2 2 2" xfId="31330"/>
    <cellStyle name="Normal 413 3 2 3" xfId="31331"/>
    <cellStyle name="Normal 413 3 2 3 2" xfId="31332"/>
    <cellStyle name="Normal 413 3 2 3 2 2" xfId="31333"/>
    <cellStyle name="Normal 413 3 2 3 3" xfId="31334"/>
    <cellStyle name="Normal 413 3 2 4" xfId="31335"/>
    <cellStyle name="Normal 413 3 3" xfId="31336"/>
    <cellStyle name="Normal 413 3 3 2" xfId="31337"/>
    <cellStyle name="Normal 413 3 3 2 2" xfId="31338"/>
    <cellStyle name="Normal 413 3 3 3" xfId="31339"/>
    <cellStyle name="Normal 413 3 4" xfId="31340"/>
    <cellStyle name="Normal 413 3 4 2" xfId="31341"/>
    <cellStyle name="Normal 413 3 4 2 2" xfId="31342"/>
    <cellStyle name="Normal 413 3 4 3" xfId="31343"/>
    <cellStyle name="Normal 413 3 5" xfId="31344"/>
    <cellStyle name="Normal 413 3 5 2" xfId="31345"/>
    <cellStyle name="Normal 413 3 5 2 2" xfId="31346"/>
    <cellStyle name="Normal 413 3 5 3" xfId="31347"/>
    <cellStyle name="Normal 413 3 6" xfId="31348"/>
    <cellStyle name="Normal 413 4" xfId="31349"/>
    <cellStyle name="Normal 413 4 2" xfId="31350"/>
    <cellStyle name="Normal 413 4 2 2" xfId="31351"/>
    <cellStyle name="Normal 413 4 3" xfId="31352"/>
    <cellStyle name="Normal 413 5" xfId="31353"/>
    <cellStyle name="Normal 413 5 2" xfId="31354"/>
    <cellStyle name="Normal 413 5 2 2" xfId="31355"/>
    <cellStyle name="Normal 413 5 3" xfId="31356"/>
    <cellStyle name="Normal 413 6" xfId="31357"/>
    <cellStyle name="Normal 413 6 2" xfId="31358"/>
    <cellStyle name="Normal 413 6 2 2" xfId="31359"/>
    <cellStyle name="Normal 413 6 3" xfId="31360"/>
    <cellStyle name="Normal 413 7" xfId="31361"/>
    <cellStyle name="Normal 414" xfId="31362"/>
    <cellStyle name="Normal 414 2" xfId="31363"/>
    <cellStyle name="Normal 414 2 2" xfId="31364"/>
    <cellStyle name="Normal 414 2 2 2" xfId="31365"/>
    <cellStyle name="Normal 414 2 3" xfId="31366"/>
    <cellStyle name="Normal 414 2 3 2" xfId="31367"/>
    <cellStyle name="Normal 414 2 3 2 2" xfId="31368"/>
    <cellStyle name="Normal 414 2 3 3" xfId="31369"/>
    <cellStyle name="Normal 414 2 4" xfId="31370"/>
    <cellStyle name="Normal 414 2 4 2" xfId="31371"/>
    <cellStyle name="Normal 414 2 4 2 2" xfId="31372"/>
    <cellStyle name="Normal 414 2 4 3" xfId="31373"/>
    <cellStyle name="Normal 414 2 5" xfId="31374"/>
    <cellStyle name="Normal 414 3" xfId="31375"/>
    <cellStyle name="Normal 414 3 2" xfId="31376"/>
    <cellStyle name="Normal 414 3 2 2" xfId="31377"/>
    <cellStyle name="Normal 414 3 2 2 2" xfId="31378"/>
    <cellStyle name="Normal 414 3 2 3" xfId="31379"/>
    <cellStyle name="Normal 414 3 2 3 2" xfId="31380"/>
    <cellStyle name="Normal 414 3 2 3 2 2" xfId="31381"/>
    <cellStyle name="Normal 414 3 2 3 3" xfId="31382"/>
    <cellStyle name="Normal 414 3 2 4" xfId="31383"/>
    <cellStyle name="Normal 414 3 3" xfId="31384"/>
    <cellStyle name="Normal 414 3 3 2" xfId="31385"/>
    <cellStyle name="Normal 414 3 3 2 2" xfId="31386"/>
    <cellStyle name="Normal 414 3 3 3" xfId="31387"/>
    <cellStyle name="Normal 414 3 4" xfId="31388"/>
    <cellStyle name="Normal 414 3 4 2" xfId="31389"/>
    <cellStyle name="Normal 414 3 4 2 2" xfId="31390"/>
    <cellStyle name="Normal 414 3 4 3" xfId="31391"/>
    <cellStyle name="Normal 414 3 5" xfId="31392"/>
    <cellStyle name="Normal 414 3 5 2" xfId="31393"/>
    <cellStyle name="Normal 414 3 5 2 2" xfId="31394"/>
    <cellStyle name="Normal 414 3 5 3" xfId="31395"/>
    <cellStyle name="Normal 414 3 6" xfId="31396"/>
    <cellStyle name="Normal 414 4" xfId="31397"/>
    <cellStyle name="Normal 414 4 2" xfId="31398"/>
    <cellStyle name="Normal 414 4 2 2" xfId="31399"/>
    <cellStyle name="Normal 414 4 3" xfId="31400"/>
    <cellStyle name="Normal 414 5" xfId="31401"/>
    <cellStyle name="Normal 414 5 2" xfId="31402"/>
    <cellStyle name="Normal 414 5 2 2" xfId="31403"/>
    <cellStyle name="Normal 414 5 3" xfId="31404"/>
    <cellStyle name="Normal 414 6" xfId="31405"/>
    <cellStyle name="Normal 414 6 2" xfId="31406"/>
    <cellStyle name="Normal 414 6 2 2" xfId="31407"/>
    <cellStyle name="Normal 414 6 3" xfId="31408"/>
    <cellStyle name="Normal 414 7" xfId="31409"/>
    <cellStyle name="Normal 415" xfId="31410"/>
    <cellStyle name="Normal 415 2" xfId="31411"/>
    <cellStyle name="Normal 415 2 2" xfId="31412"/>
    <cellStyle name="Normal 415 2 2 2" xfId="31413"/>
    <cellStyle name="Normal 415 2 3" xfId="31414"/>
    <cellStyle name="Normal 415 2 3 2" xfId="31415"/>
    <cellStyle name="Normal 415 2 3 2 2" xfId="31416"/>
    <cellStyle name="Normal 415 2 3 3" xfId="31417"/>
    <cellStyle name="Normal 415 2 4" xfId="31418"/>
    <cellStyle name="Normal 415 2 4 2" xfId="31419"/>
    <cellStyle name="Normal 415 2 4 2 2" xfId="31420"/>
    <cellStyle name="Normal 415 2 4 3" xfId="31421"/>
    <cellStyle name="Normal 415 2 5" xfId="31422"/>
    <cellStyle name="Normal 415 3" xfId="31423"/>
    <cellStyle name="Normal 415 3 2" xfId="31424"/>
    <cellStyle name="Normal 415 3 2 2" xfId="31425"/>
    <cellStyle name="Normal 415 3 2 2 2" xfId="31426"/>
    <cellStyle name="Normal 415 3 2 3" xfId="31427"/>
    <cellStyle name="Normal 415 3 2 3 2" xfId="31428"/>
    <cellStyle name="Normal 415 3 2 3 2 2" xfId="31429"/>
    <cellStyle name="Normal 415 3 2 3 3" xfId="31430"/>
    <cellStyle name="Normal 415 3 2 4" xfId="31431"/>
    <cellStyle name="Normal 415 3 3" xfId="31432"/>
    <cellStyle name="Normal 415 3 3 2" xfId="31433"/>
    <cellStyle name="Normal 415 3 3 2 2" xfId="31434"/>
    <cellStyle name="Normal 415 3 3 3" xfId="31435"/>
    <cellStyle name="Normal 415 3 4" xfId="31436"/>
    <cellStyle name="Normal 415 3 4 2" xfId="31437"/>
    <cellStyle name="Normal 415 3 4 2 2" xfId="31438"/>
    <cellStyle name="Normal 415 3 4 3" xfId="31439"/>
    <cellStyle name="Normal 415 3 5" xfId="31440"/>
    <cellStyle name="Normal 415 3 5 2" xfId="31441"/>
    <cellStyle name="Normal 415 3 5 2 2" xfId="31442"/>
    <cellStyle name="Normal 415 3 5 3" xfId="31443"/>
    <cellStyle name="Normal 415 3 6" xfId="31444"/>
    <cellStyle name="Normal 415 4" xfId="31445"/>
    <cellStyle name="Normal 415 4 2" xfId="31446"/>
    <cellStyle name="Normal 415 4 2 2" xfId="31447"/>
    <cellStyle name="Normal 415 4 3" xfId="31448"/>
    <cellStyle name="Normal 415 5" xfId="31449"/>
    <cellStyle name="Normal 415 5 2" xfId="31450"/>
    <cellStyle name="Normal 415 5 2 2" xfId="31451"/>
    <cellStyle name="Normal 415 5 3" xfId="31452"/>
    <cellStyle name="Normal 415 6" xfId="31453"/>
    <cellStyle name="Normal 415 6 2" xfId="31454"/>
    <cellStyle name="Normal 415 6 2 2" xfId="31455"/>
    <cellStyle name="Normal 415 6 3" xfId="31456"/>
    <cellStyle name="Normal 415 7" xfId="31457"/>
    <cellStyle name="Normal 416" xfId="31458"/>
    <cellStyle name="Normal 416 2" xfId="31459"/>
    <cellStyle name="Normal 416 2 2" xfId="31460"/>
    <cellStyle name="Normal 416 2 2 2" xfId="31461"/>
    <cellStyle name="Normal 416 2 3" xfId="31462"/>
    <cellStyle name="Normal 416 2 3 2" xfId="31463"/>
    <cellStyle name="Normal 416 2 3 2 2" xfId="31464"/>
    <cellStyle name="Normal 416 2 3 3" xfId="31465"/>
    <cellStyle name="Normal 416 2 4" xfId="31466"/>
    <cellStyle name="Normal 416 2 4 2" xfId="31467"/>
    <cellStyle name="Normal 416 2 4 2 2" xfId="31468"/>
    <cellStyle name="Normal 416 2 4 3" xfId="31469"/>
    <cellStyle name="Normal 416 2 5" xfId="31470"/>
    <cellStyle name="Normal 416 3" xfId="31471"/>
    <cellStyle name="Normal 416 3 2" xfId="31472"/>
    <cellStyle name="Normal 416 3 2 2" xfId="31473"/>
    <cellStyle name="Normal 416 3 2 2 2" xfId="31474"/>
    <cellStyle name="Normal 416 3 2 3" xfId="31475"/>
    <cellStyle name="Normal 416 3 2 3 2" xfId="31476"/>
    <cellStyle name="Normal 416 3 2 3 2 2" xfId="31477"/>
    <cellStyle name="Normal 416 3 2 3 3" xfId="31478"/>
    <cellStyle name="Normal 416 3 2 4" xfId="31479"/>
    <cellStyle name="Normal 416 3 3" xfId="31480"/>
    <cellStyle name="Normal 416 3 3 2" xfId="31481"/>
    <cellStyle name="Normal 416 3 3 2 2" xfId="31482"/>
    <cellStyle name="Normal 416 3 3 3" xfId="31483"/>
    <cellStyle name="Normal 416 3 4" xfId="31484"/>
    <cellStyle name="Normal 416 3 4 2" xfId="31485"/>
    <cellStyle name="Normal 416 3 4 2 2" xfId="31486"/>
    <cellStyle name="Normal 416 3 4 3" xfId="31487"/>
    <cellStyle name="Normal 416 3 5" xfId="31488"/>
    <cellStyle name="Normal 416 3 5 2" xfId="31489"/>
    <cellStyle name="Normal 416 3 5 2 2" xfId="31490"/>
    <cellStyle name="Normal 416 3 5 3" xfId="31491"/>
    <cellStyle name="Normal 416 3 6" xfId="31492"/>
    <cellStyle name="Normal 416 4" xfId="31493"/>
    <cellStyle name="Normal 416 4 2" xfId="31494"/>
    <cellStyle name="Normal 416 4 2 2" xfId="31495"/>
    <cellStyle name="Normal 416 4 3" xfId="31496"/>
    <cellStyle name="Normal 416 5" xfId="31497"/>
    <cellStyle name="Normal 416 5 2" xfId="31498"/>
    <cellStyle name="Normal 416 5 2 2" xfId="31499"/>
    <cellStyle name="Normal 416 5 3" xfId="31500"/>
    <cellStyle name="Normal 416 6" xfId="31501"/>
    <cellStyle name="Normal 416 6 2" xfId="31502"/>
    <cellStyle name="Normal 416 6 2 2" xfId="31503"/>
    <cellStyle name="Normal 416 6 3" xfId="31504"/>
    <cellStyle name="Normal 416 7" xfId="31505"/>
    <cellStyle name="Normal 417" xfId="31506"/>
    <cellStyle name="Normal 417 2" xfId="31507"/>
    <cellStyle name="Normal 417 2 2" xfId="31508"/>
    <cellStyle name="Normal 417 2 2 2" xfId="31509"/>
    <cellStyle name="Normal 417 2 3" xfId="31510"/>
    <cellStyle name="Normal 417 2 3 2" xfId="31511"/>
    <cellStyle name="Normal 417 2 3 2 2" xfId="31512"/>
    <cellStyle name="Normal 417 2 3 3" xfId="31513"/>
    <cellStyle name="Normal 417 2 4" xfId="31514"/>
    <cellStyle name="Normal 417 2 4 2" xfId="31515"/>
    <cellStyle name="Normal 417 2 4 2 2" xfId="31516"/>
    <cellStyle name="Normal 417 2 4 3" xfId="31517"/>
    <cellStyle name="Normal 417 2 5" xfId="31518"/>
    <cellStyle name="Normal 417 3" xfId="31519"/>
    <cellStyle name="Normal 417 3 2" xfId="31520"/>
    <cellStyle name="Normal 417 3 2 2" xfId="31521"/>
    <cellStyle name="Normal 417 3 2 2 2" xfId="31522"/>
    <cellStyle name="Normal 417 3 2 3" xfId="31523"/>
    <cellStyle name="Normal 417 3 2 3 2" xfId="31524"/>
    <cellStyle name="Normal 417 3 2 3 2 2" xfId="31525"/>
    <cellStyle name="Normal 417 3 2 3 3" xfId="31526"/>
    <cellStyle name="Normal 417 3 2 4" xfId="31527"/>
    <cellStyle name="Normal 417 3 3" xfId="31528"/>
    <cellStyle name="Normal 417 3 3 2" xfId="31529"/>
    <cellStyle name="Normal 417 3 3 2 2" xfId="31530"/>
    <cellStyle name="Normal 417 3 3 3" xfId="31531"/>
    <cellStyle name="Normal 417 3 4" xfId="31532"/>
    <cellStyle name="Normal 417 3 4 2" xfId="31533"/>
    <cellStyle name="Normal 417 3 4 2 2" xfId="31534"/>
    <cellStyle name="Normal 417 3 4 3" xfId="31535"/>
    <cellStyle name="Normal 417 3 5" xfId="31536"/>
    <cellStyle name="Normal 417 3 5 2" xfId="31537"/>
    <cellStyle name="Normal 417 3 5 2 2" xfId="31538"/>
    <cellStyle name="Normal 417 3 5 3" xfId="31539"/>
    <cellStyle name="Normal 417 3 6" xfId="31540"/>
    <cellStyle name="Normal 417 4" xfId="31541"/>
    <cellStyle name="Normal 417 4 2" xfId="31542"/>
    <cellStyle name="Normal 417 4 2 2" xfId="31543"/>
    <cellStyle name="Normal 417 4 3" xfId="31544"/>
    <cellStyle name="Normal 417 5" xfId="31545"/>
    <cellStyle name="Normal 417 5 2" xfId="31546"/>
    <cellStyle name="Normal 417 5 2 2" xfId="31547"/>
    <cellStyle name="Normal 417 5 3" xfId="31548"/>
    <cellStyle name="Normal 417 6" xfId="31549"/>
    <cellStyle name="Normal 417 6 2" xfId="31550"/>
    <cellStyle name="Normal 417 6 2 2" xfId="31551"/>
    <cellStyle name="Normal 417 6 3" xfId="31552"/>
    <cellStyle name="Normal 417 7" xfId="31553"/>
    <cellStyle name="Normal 418" xfId="31554"/>
    <cellStyle name="Normal 418 2" xfId="31555"/>
    <cellStyle name="Normal 418 2 2" xfId="31556"/>
    <cellStyle name="Normal 418 2 2 2" xfId="31557"/>
    <cellStyle name="Normal 418 2 3" xfId="31558"/>
    <cellStyle name="Normal 418 2 3 2" xfId="31559"/>
    <cellStyle name="Normal 418 2 3 2 2" xfId="31560"/>
    <cellStyle name="Normal 418 2 3 3" xfId="31561"/>
    <cellStyle name="Normal 418 2 4" xfId="31562"/>
    <cellStyle name="Normal 418 2 4 2" xfId="31563"/>
    <cellStyle name="Normal 418 2 4 2 2" xfId="31564"/>
    <cellStyle name="Normal 418 2 4 3" xfId="31565"/>
    <cellStyle name="Normal 418 2 5" xfId="31566"/>
    <cellStyle name="Normal 418 3" xfId="31567"/>
    <cellStyle name="Normal 418 3 2" xfId="31568"/>
    <cellStyle name="Normal 418 3 2 2" xfId="31569"/>
    <cellStyle name="Normal 418 3 2 2 2" xfId="31570"/>
    <cellStyle name="Normal 418 3 2 3" xfId="31571"/>
    <cellStyle name="Normal 418 3 2 3 2" xfId="31572"/>
    <cellStyle name="Normal 418 3 2 3 2 2" xfId="31573"/>
    <cellStyle name="Normal 418 3 2 3 3" xfId="31574"/>
    <cellStyle name="Normal 418 3 2 4" xfId="31575"/>
    <cellStyle name="Normal 418 3 3" xfId="31576"/>
    <cellStyle name="Normal 418 3 3 2" xfId="31577"/>
    <cellStyle name="Normal 418 3 3 2 2" xfId="31578"/>
    <cellStyle name="Normal 418 3 3 3" xfId="31579"/>
    <cellStyle name="Normal 418 3 4" xfId="31580"/>
    <cellStyle name="Normal 418 3 4 2" xfId="31581"/>
    <cellStyle name="Normal 418 3 4 2 2" xfId="31582"/>
    <cellStyle name="Normal 418 3 4 3" xfId="31583"/>
    <cellStyle name="Normal 418 3 5" xfId="31584"/>
    <cellStyle name="Normal 418 3 5 2" xfId="31585"/>
    <cellStyle name="Normal 418 3 5 2 2" xfId="31586"/>
    <cellStyle name="Normal 418 3 5 3" xfId="31587"/>
    <cellStyle name="Normal 418 3 6" xfId="31588"/>
    <cellStyle name="Normal 418 4" xfId="31589"/>
    <cellStyle name="Normal 418 4 2" xfId="31590"/>
    <cellStyle name="Normal 418 4 2 2" xfId="31591"/>
    <cellStyle name="Normal 418 4 3" xfId="31592"/>
    <cellStyle name="Normal 418 5" xfId="31593"/>
    <cellStyle name="Normal 418 5 2" xfId="31594"/>
    <cellStyle name="Normal 418 5 2 2" xfId="31595"/>
    <cellStyle name="Normal 418 5 3" xfId="31596"/>
    <cellStyle name="Normal 418 6" xfId="31597"/>
    <cellStyle name="Normal 418 6 2" xfId="31598"/>
    <cellStyle name="Normal 418 6 2 2" xfId="31599"/>
    <cellStyle name="Normal 418 6 3" xfId="31600"/>
    <cellStyle name="Normal 418 7" xfId="31601"/>
    <cellStyle name="Normal 419" xfId="31602"/>
    <cellStyle name="Normal 419 2" xfId="31603"/>
    <cellStyle name="Normal 419 2 2" xfId="31604"/>
    <cellStyle name="Normal 419 2 2 2" xfId="31605"/>
    <cellStyle name="Normal 419 2 3" xfId="31606"/>
    <cellStyle name="Normal 419 2 3 2" xfId="31607"/>
    <cellStyle name="Normal 419 2 3 2 2" xfId="31608"/>
    <cellStyle name="Normal 419 2 3 3" xfId="31609"/>
    <cellStyle name="Normal 419 2 4" xfId="31610"/>
    <cellStyle name="Normal 419 2 4 2" xfId="31611"/>
    <cellStyle name="Normal 419 2 4 2 2" xfId="31612"/>
    <cellStyle name="Normal 419 2 4 3" xfId="31613"/>
    <cellStyle name="Normal 419 2 5" xfId="31614"/>
    <cellStyle name="Normal 419 3" xfId="31615"/>
    <cellStyle name="Normal 419 3 2" xfId="31616"/>
    <cellStyle name="Normal 419 3 2 2" xfId="31617"/>
    <cellStyle name="Normal 419 3 2 2 2" xfId="31618"/>
    <cellStyle name="Normal 419 3 2 3" xfId="31619"/>
    <cellStyle name="Normal 419 3 2 3 2" xfId="31620"/>
    <cellStyle name="Normal 419 3 2 3 2 2" xfId="31621"/>
    <cellStyle name="Normal 419 3 2 3 3" xfId="31622"/>
    <cellStyle name="Normal 419 3 2 4" xfId="31623"/>
    <cellStyle name="Normal 419 3 3" xfId="31624"/>
    <cellStyle name="Normal 419 3 3 2" xfId="31625"/>
    <cellStyle name="Normal 419 3 3 2 2" xfId="31626"/>
    <cellStyle name="Normal 419 3 3 3" xfId="31627"/>
    <cellStyle name="Normal 419 3 4" xfId="31628"/>
    <cellStyle name="Normal 419 3 4 2" xfId="31629"/>
    <cellStyle name="Normal 419 3 4 2 2" xfId="31630"/>
    <cellStyle name="Normal 419 3 4 3" xfId="31631"/>
    <cellStyle name="Normal 419 3 5" xfId="31632"/>
    <cellStyle name="Normal 419 3 5 2" xfId="31633"/>
    <cellStyle name="Normal 419 3 5 2 2" xfId="31634"/>
    <cellStyle name="Normal 419 3 5 3" xfId="31635"/>
    <cellStyle name="Normal 419 3 6" xfId="31636"/>
    <cellStyle name="Normal 419 4" xfId="31637"/>
    <cellStyle name="Normal 419 4 2" xfId="31638"/>
    <cellStyle name="Normal 419 4 2 2" xfId="31639"/>
    <cellStyle name="Normal 419 4 3" xfId="31640"/>
    <cellStyle name="Normal 419 5" xfId="31641"/>
    <cellStyle name="Normal 419 5 2" xfId="31642"/>
    <cellStyle name="Normal 419 5 2 2" xfId="31643"/>
    <cellStyle name="Normal 419 5 3" xfId="31644"/>
    <cellStyle name="Normal 419 6" xfId="31645"/>
    <cellStyle name="Normal 419 6 2" xfId="31646"/>
    <cellStyle name="Normal 419 6 2 2" xfId="31647"/>
    <cellStyle name="Normal 419 6 3" xfId="31648"/>
    <cellStyle name="Normal 419 7" xfId="31649"/>
    <cellStyle name="Normal 42" xfId="31650"/>
    <cellStyle name="Normal 42 2" xfId="31651"/>
    <cellStyle name="Normal 42 2 2" xfId="31652"/>
    <cellStyle name="Normal 42 2 2 2" xfId="31653"/>
    <cellStyle name="Normal 42 2 2 2 2" xfId="31654"/>
    <cellStyle name="Normal 42 2 2 3" xfId="31655"/>
    <cellStyle name="Normal 42 2 2 3 2" xfId="31656"/>
    <cellStyle name="Normal 42 2 2 3 2 2" xfId="31657"/>
    <cellStyle name="Normal 42 2 2 3 3" xfId="31658"/>
    <cellStyle name="Normal 42 2 2 4" xfId="31659"/>
    <cellStyle name="Normal 42 2 2 4 2" xfId="31660"/>
    <cellStyle name="Normal 42 2 2 4 2 2" xfId="31661"/>
    <cellStyle name="Normal 42 2 2 4 3" xfId="31662"/>
    <cellStyle name="Normal 42 2 2 5" xfId="31663"/>
    <cellStyle name="Normal 42 2 3" xfId="31664"/>
    <cellStyle name="Normal 42 2 3 2" xfId="31665"/>
    <cellStyle name="Normal 42 2 3 2 2" xfId="31666"/>
    <cellStyle name="Normal 42 2 3 3" xfId="31667"/>
    <cellStyle name="Normal 42 2 4" xfId="31668"/>
    <cellStyle name="Normal 42 2 4 2" xfId="31669"/>
    <cellStyle name="Normal 42 2 4 2 2" xfId="31670"/>
    <cellStyle name="Normal 42 2 4 3" xfId="31671"/>
    <cellStyle name="Normal 42 2 5" xfId="31672"/>
    <cellStyle name="Normal 42 2 5 2" xfId="31673"/>
    <cellStyle name="Normal 42 2 5 2 2" xfId="31674"/>
    <cellStyle name="Normal 42 2 5 3" xfId="31675"/>
    <cellStyle name="Normal 42 2 6" xfId="31676"/>
    <cellStyle name="Normal 42 3" xfId="31677"/>
    <cellStyle name="Normal 42 3 2" xfId="31678"/>
    <cellStyle name="Normal 42 3 2 2" xfId="31679"/>
    <cellStyle name="Normal 42 3 3" xfId="31680"/>
    <cellStyle name="Normal 42 3 3 2" xfId="31681"/>
    <cellStyle name="Normal 42 3 3 2 2" xfId="31682"/>
    <cellStyle name="Normal 42 3 3 3" xfId="31683"/>
    <cellStyle name="Normal 42 3 4" xfId="31684"/>
    <cellStyle name="Normal 42 3 4 2" xfId="31685"/>
    <cellStyle name="Normal 42 3 4 2 2" xfId="31686"/>
    <cellStyle name="Normal 42 3 4 3" xfId="31687"/>
    <cellStyle name="Normal 42 3 5" xfId="31688"/>
    <cellStyle name="Normal 42 4" xfId="31689"/>
    <cellStyle name="Normal 42 4 2" xfId="31690"/>
    <cellStyle name="Normal 42 4 2 2" xfId="31691"/>
    <cellStyle name="Normal 42 4 3" xfId="31692"/>
    <cellStyle name="Normal 42 5" xfId="31693"/>
    <cellStyle name="Normal 42 5 2" xfId="31694"/>
    <cellStyle name="Normal 42 5 2 2" xfId="31695"/>
    <cellStyle name="Normal 42 5 3" xfId="31696"/>
    <cellStyle name="Normal 42 6" xfId="31697"/>
    <cellStyle name="Normal 42 6 2" xfId="31698"/>
    <cellStyle name="Normal 42 6 2 2" xfId="31699"/>
    <cellStyle name="Normal 42 6 3" xfId="31700"/>
    <cellStyle name="Normal 42 7" xfId="31701"/>
    <cellStyle name="Normal 420" xfId="31702"/>
    <cellStyle name="Normal 420 2" xfId="31703"/>
    <cellStyle name="Normal 420 2 2" xfId="31704"/>
    <cellStyle name="Normal 420 2 2 2" xfId="31705"/>
    <cellStyle name="Normal 420 2 3" xfId="31706"/>
    <cellStyle name="Normal 420 2 3 2" xfId="31707"/>
    <cellStyle name="Normal 420 2 3 2 2" xfId="31708"/>
    <cellStyle name="Normal 420 2 3 3" xfId="31709"/>
    <cellStyle name="Normal 420 2 4" xfId="31710"/>
    <cellStyle name="Normal 420 2 4 2" xfId="31711"/>
    <cellStyle name="Normal 420 2 4 2 2" xfId="31712"/>
    <cellStyle name="Normal 420 2 4 3" xfId="31713"/>
    <cellStyle name="Normal 420 2 5" xfId="31714"/>
    <cellStyle name="Normal 420 3" xfId="31715"/>
    <cellStyle name="Normal 420 3 2" xfId="31716"/>
    <cellStyle name="Normal 420 3 2 2" xfId="31717"/>
    <cellStyle name="Normal 420 3 2 2 2" xfId="31718"/>
    <cellStyle name="Normal 420 3 2 3" xfId="31719"/>
    <cellStyle name="Normal 420 3 2 3 2" xfId="31720"/>
    <cellStyle name="Normal 420 3 2 3 2 2" xfId="31721"/>
    <cellStyle name="Normal 420 3 2 3 3" xfId="31722"/>
    <cellStyle name="Normal 420 3 2 4" xfId="31723"/>
    <cellStyle name="Normal 420 3 3" xfId="31724"/>
    <cellStyle name="Normal 420 3 3 2" xfId="31725"/>
    <cellStyle name="Normal 420 3 3 2 2" xfId="31726"/>
    <cellStyle name="Normal 420 3 3 3" xfId="31727"/>
    <cellStyle name="Normal 420 3 4" xfId="31728"/>
    <cellStyle name="Normal 420 3 4 2" xfId="31729"/>
    <cellStyle name="Normal 420 3 4 2 2" xfId="31730"/>
    <cellStyle name="Normal 420 3 4 3" xfId="31731"/>
    <cellStyle name="Normal 420 3 5" xfId="31732"/>
    <cellStyle name="Normal 420 3 5 2" xfId="31733"/>
    <cellStyle name="Normal 420 3 5 2 2" xfId="31734"/>
    <cellStyle name="Normal 420 3 5 3" xfId="31735"/>
    <cellStyle name="Normal 420 3 6" xfId="31736"/>
    <cellStyle name="Normal 420 4" xfId="31737"/>
    <cellStyle name="Normal 420 4 2" xfId="31738"/>
    <cellStyle name="Normal 420 4 2 2" xfId="31739"/>
    <cellStyle name="Normal 420 4 3" xfId="31740"/>
    <cellStyle name="Normal 420 5" xfId="31741"/>
    <cellStyle name="Normal 420 5 2" xfId="31742"/>
    <cellStyle name="Normal 420 5 2 2" xfId="31743"/>
    <cellStyle name="Normal 420 5 3" xfId="31744"/>
    <cellStyle name="Normal 420 6" xfId="31745"/>
    <cellStyle name="Normal 420 6 2" xfId="31746"/>
    <cellStyle name="Normal 420 6 2 2" xfId="31747"/>
    <cellStyle name="Normal 420 6 3" xfId="31748"/>
    <cellStyle name="Normal 420 7" xfId="31749"/>
    <cellStyle name="Normal 421" xfId="31750"/>
    <cellStyle name="Normal 421 2" xfId="31751"/>
    <cellStyle name="Normal 421 2 2" xfId="31752"/>
    <cellStyle name="Normal 421 2 2 2" xfId="31753"/>
    <cellStyle name="Normal 421 2 2 2 2" xfId="31754"/>
    <cellStyle name="Normal 421 2 2 3" xfId="31755"/>
    <cellStyle name="Normal 421 2 2 3 2" xfId="31756"/>
    <cellStyle name="Normal 421 2 2 3 2 2" xfId="31757"/>
    <cellStyle name="Normal 421 2 2 3 3" xfId="31758"/>
    <cellStyle name="Normal 421 2 2 4" xfId="31759"/>
    <cellStyle name="Normal 421 2 2 4 2" xfId="31760"/>
    <cellStyle name="Normal 421 2 2 4 2 2" xfId="31761"/>
    <cellStyle name="Normal 421 2 2 4 3" xfId="31762"/>
    <cellStyle name="Normal 421 2 2 5" xfId="31763"/>
    <cellStyle name="Normal 421 2 3" xfId="31764"/>
    <cellStyle name="Normal 421 2 3 2" xfId="31765"/>
    <cellStyle name="Normal 421 2 3 2 2" xfId="31766"/>
    <cellStyle name="Normal 421 2 3 2 2 2" xfId="31767"/>
    <cellStyle name="Normal 421 2 3 2 3" xfId="31768"/>
    <cellStyle name="Normal 421 2 3 2 3 2" xfId="31769"/>
    <cellStyle name="Normal 421 2 3 2 3 2 2" xfId="31770"/>
    <cellStyle name="Normal 421 2 3 2 3 3" xfId="31771"/>
    <cellStyle name="Normal 421 2 3 2 4" xfId="31772"/>
    <cellStyle name="Normal 421 2 3 3" xfId="31773"/>
    <cellStyle name="Normal 421 2 3 3 2" xfId="31774"/>
    <cellStyle name="Normal 421 2 3 3 2 2" xfId="31775"/>
    <cellStyle name="Normal 421 2 3 3 3" xfId="31776"/>
    <cellStyle name="Normal 421 2 3 4" xfId="31777"/>
    <cellStyle name="Normal 421 2 3 4 2" xfId="31778"/>
    <cellStyle name="Normal 421 2 3 4 2 2" xfId="31779"/>
    <cellStyle name="Normal 421 2 3 4 3" xfId="31780"/>
    <cellStyle name="Normal 421 2 3 5" xfId="31781"/>
    <cellStyle name="Normal 421 2 3 5 2" xfId="31782"/>
    <cellStyle name="Normal 421 2 3 5 2 2" xfId="31783"/>
    <cellStyle name="Normal 421 2 3 5 3" xfId="31784"/>
    <cellStyle name="Normal 421 2 3 6" xfId="31785"/>
    <cellStyle name="Normal 421 2 4" xfId="31786"/>
    <cellStyle name="Normal 421 2 4 2" xfId="31787"/>
    <cellStyle name="Normal 421 2 4 2 2" xfId="31788"/>
    <cellStyle name="Normal 421 2 4 3" xfId="31789"/>
    <cellStyle name="Normal 421 2 5" xfId="31790"/>
    <cellStyle name="Normal 421 2 5 2" xfId="31791"/>
    <cellStyle name="Normal 421 2 5 2 2" xfId="31792"/>
    <cellStyle name="Normal 421 2 5 3" xfId="31793"/>
    <cellStyle name="Normal 421 2 6" xfId="31794"/>
    <cellStyle name="Normal 421 2 6 2" xfId="31795"/>
    <cellStyle name="Normal 421 2 6 2 2" xfId="31796"/>
    <cellStyle name="Normal 421 2 6 3" xfId="31797"/>
    <cellStyle name="Normal 421 2 7" xfId="31798"/>
    <cellStyle name="Normal 421 3" xfId="31799"/>
    <cellStyle name="Normal 421 3 2" xfId="31800"/>
    <cellStyle name="Normal 421 3 2 2" xfId="31801"/>
    <cellStyle name="Normal 421 3 3" xfId="31802"/>
    <cellStyle name="Normal 421 3 3 2" xfId="31803"/>
    <cellStyle name="Normal 421 3 3 2 2" xfId="31804"/>
    <cellStyle name="Normal 421 3 3 3" xfId="31805"/>
    <cellStyle name="Normal 421 3 4" xfId="31806"/>
    <cellStyle name="Normal 421 3 4 2" xfId="31807"/>
    <cellStyle name="Normal 421 3 4 2 2" xfId="31808"/>
    <cellStyle name="Normal 421 3 4 3" xfId="31809"/>
    <cellStyle name="Normal 421 3 5" xfId="31810"/>
    <cellStyle name="Normal 421 4" xfId="31811"/>
    <cellStyle name="Normal 421 4 2" xfId="31812"/>
    <cellStyle name="Normal 421 4 2 2" xfId="31813"/>
    <cellStyle name="Normal 421 4 2 2 2" xfId="31814"/>
    <cellStyle name="Normal 421 4 2 3" xfId="31815"/>
    <cellStyle name="Normal 421 4 2 3 2" xfId="31816"/>
    <cellStyle name="Normal 421 4 2 3 2 2" xfId="31817"/>
    <cellStyle name="Normal 421 4 2 3 3" xfId="31818"/>
    <cellStyle name="Normal 421 4 2 4" xfId="31819"/>
    <cellStyle name="Normal 421 4 3" xfId="31820"/>
    <cellStyle name="Normal 421 4 3 2" xfId="31821"/>
    <cellStyle name="Normal 421 4 3 2 2" xfId="31822"/>
    <cellStyle name="Normal 421 4 3 3" xfId="31823"/>
    <cellStyle name="Normal 421 4 4" xfId="31824"/>
    <cellStyle name="Normal 421 4 4 2" xfId="31825"/>
    <cellStyle name="Normal 421 4 4 2 2" xfId="31826"/>
    <cellStyle name="Normal 421 4 4 3" xfId="31827"/>
    <cellStyle name="Normal 421 4 5" xfId="31828"/>
    <cellStyle name="Normal 421 4 5 2" xfId="31829"/>
    <cellStyle name="Normal 421 4 5 2 2" xfId="31830"/>
    <cellStyle name="Normal 421 4 5 3" xfId="31831"/>
    <cellStyle name="Normal 421 4 6" xfId="31832"/>
    <cellStyle name="Normal 421 5" xfId="31833"/>
    <cellStyle name="Normal 421 5 2" xfId="31834"/>
    <cellStyle name="Normal 421 5 2 2" xfId="31835"/>
    <cellStyle name="Normal 421 5 3" xfId="31836"/>
    <cellStyle name="Normal 421 6" xfId="31837"/>
    <cellStyle name="Normal 421 6 2" xfId="31838"/>
    <cellStyle name="Normal 421 6 2 2" xfId="31839"/>
    <cellStyle name="Normal 421 6 3" xfId="31840"/>
    <cellStyle name="Normal 421 7" xfId="31841"/>
    <cellStyle name="Normal 421 7 2" xfId="31842"/>
    <cellStyle name="Normal 421 7 2 2" xfId="31843"/>
    <cellStyle name="Normal 421 7 3" xfId="31844"/>
    <cellStyle name="Normal 421 8" xfId="31845"/>
    <cellStyle name="Normal 421 8 2" xfId="31846"/>
    <cellStyle name="Normal 421 8 2 2" xfId="31847"/>
    <cellStyle name="Normal 421 8 3" xfId="31848"/>
    <cellStyle name="Normal 421 8 3 2" xfId="31849"/>
    <cellStyle name="Normal 421 8 4" xfId="31850"/>
    <cellStyle name="Normal 421 9" xfId="31851"/>
    <cellStyle name="Normal 422" xfId="31852"/>
    <cellStyle name="Normal 422 2" xfId="31853"/>
    <cellStyle name="Normal 422 2 2" xfId="31854"/>
    <cellStyle name="Normal 422 2 2 2" xfId="31855"/>
    <cellStyle name="Normal 422 2 2 2 2" xfId="31856"/>
    <cellStyle name="Normal 422 2 2 3" xfId="31857"/>
    <cellStyle name="Normal 422 2 2 3 2" xfId="31858"/>
    <cellStyle name="Normal 422 2 2 3 2 2" xfId="31859"/>
    <cellStyle name="Normal 422 2 2 3 3" xfId="31860"/>
    <cellStyle name="Normal 422 2 2 4" xfId="31861"/>
    <cellStyle name="Normal 422 2 2 4 2" xfId="31862"/>
    <cellStyle name="Normal 422 2 2 4 2 2" xfId="31863"/>
    <cellStyle name="Normal 422 2 2 4 3" xfId="31864"/>
    <cellStyle name="Normal 422 2 2 5" xfId="31865"/>
    <cellStyle name="Normal 422 2 3" xfId="31866"/>
    <cellStyle name="Normal 422 2 3 2" xfId="31867"/>
    <cellStyle name="Normal 422 2 3 2 2" xfId="31868"/>
    <cellStyle name="Normal 422 2 3 2 2 2" xfId="31869"/>
    <cellStyle name="Normal 422 2 3 2 3" xfId="31870"/>
    <cellStyle name="Normal 422 2 3 2 3 2" xfId="31871"/>
    <cellStyle name="Normal 422 2 3 2 3 2 2" xfId="31872"/>
    <cellStyle name="Normal 422 2 3 2 3 3" xfId="31873"/>
    <cellStyle name="Normal 422 2 3 2 4" xfId="31874"/>
    <cellStyle name="Normal 422 2 3 3" xfId="31875"/>
    <cellStyle name="Normal 422 2 3 3 2" xfId="31876"/>
    <cellStyle name="Normal 422 2 3 3 2 2" xfId="31877"/>
    <cellStyle name="Normal 422 2 3 3 3" xfId="31878"/>
    <cellStyle name="Normal 422 2 3 4" xfId="31879"/>
    <cellStyle name="Normal 422 2 3 4 2" xfId="31880"/>
    <cellStyle name="Normal 422 2 3 4 2 2" xfId="31881"/>
    <cellStyle name="Normal 422 2 3 4 3" xfId="31882"/>
    <cellStyle name="Normal 422 2 3 5" xfId="31883"/>
    <cellStyle name="Normal 422 2 3 5 2" xfId="31884"/>
    <cellStyle name="Normal 422 2 3 5 2 2" xfId="31885"/>
    <cellStyle name="Normal 422 2 3 5 3" xfId="31886"/>
    <cellStyle name="Normal 422 2 3 6" xfId="31887"/>
    <cellStyle name="Normal 422 2 4" xfId="31888"/>
    <cellStyle name="Normal 422 2 4 2" xfId="31889"/>
    <cellStyle name="Normal 422 2 4 2 2" xfId="31890"/>
    <cellStyle name="Normal 422 2 4 3" xfId="31891"/>
    <cellStyle name="Normal 422 2 5" xfId="31892"/>
    <cellStyle name="Normal 422 2 5 2" xfId="31893"/>
    <cellStyle name="Normal 422 2 5 2 2" xfId="31894"/>
    <cellStyle name="Normal 422 2 5 3" xfId="31895"/>
    <cellStyle name="Normal 422 2 6" xfId="31896"/>
    <cellStyle name="Normal 422 2 6 2" xfId="31897"/>
    <cellStyle name="Normal 422 2 6 2 2" xfId="31898"/>
    <cellStyle name="Normal 422 2 6 3" xfId="31899"/>
    <cellStyle name="Normal 422 2 7" xfId="31900"/>
    <cellStyle name="Normal 422 3" xfId="31901"/>
    <cellStyle name="Normal 422 3 2" xfId="31902"/>
    <cellStyle name="Normal 422 3 2 2" xfId="31903"/>
    <cellStyle name="Normal 422 3 3" xfId="31904"/>
    <cellStyle name="Normal 422 3 3 2" xfId="31905"/>
    <cellStyle name="Normal 422 3 3 2 2" xfId="31906"/>
    <cellStyle name="Normal 422 3 3 3" xfId="31907"/>
    <cellStyle name="Normal 422 3 4" xfId="31908"/>
    <cellStyle name="Normal 422 3 4 2" xfId="31909"/>
    <cellStyle name="Normal 422 3 4 2 2" xfId="31910"/>
    <cellStyle name="Normal 422 3 4 3" xfId="31911"/>
    <cellStyle name="Normal 422 3 5" xfId="31912"/>
    <cellStyle name="Normal 422 4" xfId="31913"/>
    <cellStyle name="Normal 422 4 2" xfId="31914"/>
    <cellStyle name="Normal 422 4 2 2" xfId="31915"/>
    <cellStyle name="Normal 422 4 2 2 2" xfId="31916"/>
    <cellStyle name="Normal 422 4 2 3" xfId="31917"/>
    <cellStyle name="Normal 422 4 2 3 2" xfId="31918"/>
    <cellStyle name="Normal 422 4 2 3 2 2" xfId="31919"/>
    <cellStyle name="Normal 422 4 2 3 3" xfId="31920"/>
    <cellStyle name="Normal 422 4 2 4" xfId="31921"/>
    <cellStyle name="Normal 422 4 3" xfId="31922"/>
    <cellStyle name="Normal 422 4 3 2" xfId="31923"/>
    <cellStyle name="Normal 422 4 3 2 2" xfId="31924"/>
    <cellStyle name="Normal 422 4 3 3" xfId="31925"/>
    <cellStyle name="Normal 422 4 4" xfId="31926"/>
    <cellStyle name="Normal 422 4 4 2" xfId="31927"/>
    <cellStyle name="Normal 422 4 4 2 2" xfId="31928"/>
    <cellStyle name="Normal 422 4 4 3" xfId="31929"/>
    <cellStyle name="Normal 422 4 5" xfId="31930"/>
    <cellStyle name="Normal 422 4 5 2" xfId="31931"/>
    <cellStyle name="Normal 422 4 5 2 2" xfId="31932"/>
    <cellStyle name="Normal 422 4 5 3" xfId="31933"/>
    <cellStyle name="Normal 422 4 6" xfId="31934"/>
    <cellStyle name="Normal 422 5" xfId="31935"/>
    <cellStyle name="Normal 422 5 2" xfId="31936"/>
    <cellStyle name="Normal 422 5 2 2" xfId="31937"/>
    <cellStyle name="Normal 422 5 3" xfId="31938"/>
    <cellStyle name="Normal 422 6" xfId="31939"/>
    <cellStyle name="Normal 422 6 2" xfId="31940"/>
    <cellStyle name="Normal 422 6 2 2" xfId="31941"/>
    <cellStyle name="Normal 422 6 3" xfId="31942"/>
    <cellStyle name="Normal 422 7" xfId="31943"/>
    <cellStyle name="Normal 422 7 2" xfId="31944"/>
    <cellStyle name="Normal 422 7 2 2" xfId="31945"/>
    <cellStyle name="Normal 422 7 3" xfId="31946"/>
    <cellStyle name="Normal 422 8" xfId="31947"/>
    <cellStyle name="Normal 422 8 2" xfId="31948"/>
    <cellStyle name="Normal 422 8 2 2" xfId="31949"/>
    <cellStyle name="Normal 422 8 3" xfId="31950"/>
    <cellStyle name="Normal 422 8 3 2" xfId="31951"/>
    <cellStyle name="Normal 422 8 4" xfId="31952"/>
    <cellStyle name="Normal 422 9" xfId="31953"/>
    <cellStyle name="Normal 423" xfId="31954"/>
    <cellStyle name="Normal 423 2" xfId="31955"/>
    <cellStyle name="Normal 423 2 2" xfId="31956"/>
    <cellStyle name="Normal 423 2 2 2" xfId="31957"/>
    <cellStyle name="Normal 423 2 2 2 2" xfId="31958"/>
    <cellStyle name="Normal 423 2 2 3" xfId="31959"/>
    <cellStyle name="Normal 423 2 2 3 2" xfId="31960"/>
    <cellStyle name="Normal 423 2 2 3 2 2" xfId="31961"/>
    <cellStyle name="Normal 423 2 2 3 3" xfId="31962"/>
    <cellStyle name="Normal 423 2 2 4" xfId="31963"/>
    <cellStyle name="Normal 423 2 2 4 2" xfId="31964"/>
    <cellStyle name="Normal 423 2 2 4 2 2" xfId="31965"/>
    <cellStyle name="Normal 423 2 2 4 3" xfId="31966"/>
    <cellStyle name="Normal 423 2 2 5" xfId="31967"/>
    <cellStyle name="Normal 423 2 3" xfId="31968"/>
    <cellStyle name="Normal 423 2 3 2" xfId="31969"/>
    <cellStyle name="Normal 423 2 3 2 2" xfId="31970"/>
    <cellStyle name="Normal 423 2 3 2 2 2" xfId="31971"/>
    <cellStyle name="Normal 423 2 3 2 3" xfId="31972"/>
    <cellStyle name="Normal 423 2 3 2 3 2" xfId="31973"/>
    <cellStyle name="Normal 423 2 3 2 3 2 2" xfId="31974"/>
    <cellStyle name="Normal 423 2 3 2 3 3" xfId="31975"/>
    <cellStyle name="Normal 423 2 3 2 4" xfId="31976"/>
    <cellStyle name="Normal 423 2 3 3" xfId="31977"/>
    <cellStyle name="Normal 423 2 3 3 2" xfId="31978"/>
    <cellStyle name="Normal 423 2 3 3 2 2" xfId="31979"/>
    <cellStyle name="Normal 423 2 3 3 3" xfId="31980"/>
    <cellStyle name="Normal 423 2 3 4" xfId="31981"/>
    <cellStyle name="Normal 423 2 3 4 2" xfId="31982"/>
    <cellStyle name="Normal 423 2 3 4 2 2" xfId="31983"/>
    <cellStyle name="Normal 423 2 3 4 3" xfId="31984"/>
    <cellStyle name="Normal 423 2 3 5" xfId="31985"/>
    <cellStyle name="Normal 423 2 3 5 2" xfId="31986"/>
    <cellStyle name="Normal 423 2 3 5 2 2" xfId="31987"/>
    <cellStyle name="Normal 423 2 3 5 3" xfId="31988"/>
    <cellStyle name="Normal 423 2 3 6" xfId="31989"/>
    <cellStyle name="Normal 423 2 4" xfId="31990"/>
    <cellStyle name="Normal 423 2 4 2" xfId="31991"/>
    <cellStyle name="Normal 423 2 4 2 2" xfId="31992"/>
    <cellStyle name="Normal 423 2 4 3" xfId="31993"/>
    <cellStyle name="Normal 423 2 5" xfId="31994"/>
    <cellStyle name="Normal 423 2 5 2" xfId="31995"/>
    <cellStyle name="Normal 423 2 5 2 2" xfId="31996"/>
    <cellStyle name="Normal 423 2 5 3" xfId="31997"/>
    <cellStyle name="Normal 423 2 6" xfId="31998"/>
    <cellStyle name="Normal 423 2 6 2" xfId="31999"/>
    <cellStyle name="Normal 423 2 6 2 2" xfId="32000"/>
    <cellStyle name="Normal 423 2 6 3" xfId="32001"/>
    <cellStyle name="Normal 423 2 7" xfId="32002"/>
    <cellStyle name="Normal 423 3" xfId="32003"/>
    <cellStyle name="Normal 423 3 2" xfId="32004"/>
    <cellStyle name="Normal 423 3 2 2" xfId="32005"/>
    <cellStyle name="Normal 423 3 3" xfId="32006"/>
    <cellStyle name="Normal 423 3 3 2" xfId="32007"/>
    <cellStyle name="Normal 423 3 3 2 2" xfId="32008"/>
    <cellStyle name="Normal 423 3 3 3" xfId="32009"/>
    <cellStyle name="Normal 423 3 4" xfId="32010"/>
    <cellStyle name="Normal 423 3 4 2" xfId="32011"/>
    <cellStyle name="Normal 423 3 4 2 2" xfId="32012"/>
    <cellStyle name="Normal 423 3 4 3" xfId="32013"/>
    <cellStyle name="Normal 423 3 5" xfId="32014"/>
    <cellStyle name="Normal 423 4" xfId="32015"/>
    <cellStyle name="Normal 423 4 2" xfId="32016"/>
    <cellStyle name="Normal 423 4 2 2" xfId="32017"/>
    <cellStyle name="Normal 423 4 2 2 2" xfId="32018"/>
    <cellStyle name="Normal 423 4 2 3" xfId="32019"/>
    <cellStyle name="Normal 423 4 2 3 2" xfId="32020"/>
    <cellStyle name="Normal 423 4 2 3 2 2" xfId="32021"/>
    <cellStyle name="Normal 423 4 2 3 3" xfId="32022"/>
    <cellStyle name="Normal 423 4 2 4" xfId="32023"/>
    <cellStyle name="Normal 423 4 3" xfId="32024"/>
    <cellStyle name="Normal 423 4 3 2" xfId="32025"/>
    <cellStyle name="Normal 423 4 3 2 2" xfId="32026"/>
    <cellStyle name="Normal 423 4 3 3" xfId="32027"/>
    <cellStyle name="Normal 423 4 4" xfId="32028"/>
    <cellStyle name="Normal 423 4 4 2" xfId="32029"/>
    <cellStyle name="Normal 423 4 4 2 2" xfId="32030"/>
    <cellStyle name="Normal 423 4 4 3" xfId="32031"/>
    <cellStyle name="Normal 423 4 5" xfId="32032"/>
    <cellStyle name="Normal 423 4 5 2" xfId="32033"/>
    <cellStyle name="Normal 423 4 5 2 2" xfId="32034"/>
    <cellStyle name="Normal 423 4 5 3" xfId="32035"/>
    <cellStyle name="Normal 423 4 6" xfId="32036"/>
    <cellStyle name="Normal 423 5" xfId="32037"/>
    <cellStyle name="Normal 423 5 2" xfId="32038"/>
    <cellStyle name="Normal 423 5 2 2" xfId="32039"/>
    <cellStyle name="Normal 423 5 3" xfId="32040"/>
    <cellStyle name="Normal 423 6" xfId="32041"/>
    <cellStyle name="Normal 423 6 2" xfId="32042"/>
    <cellStyle name="Normal 423 6 2 2" xfId="32043"/>
    <cellStyle name="Normal 423 6 3" xfId="32044"/>
    <cellStyle name="Normal 423 7" xfId="32045"/>
    <cellStyle name="Normal 423 7 2" xfId="32046"/>
    <cellStyle name="Normal 423 7 2 2" xfId="32047"/>
    <cellStyle name="Normal 423 7 3" xfId="32048"/>
    <cellStyle name="Normal 423 8" xfId="32049"/>
    <cellStyle name="Normal 423 8 2" xfId="32050"/>
    <cellStyle name="Normal 423 8 2 2" xfId="32051"/>
    <cellStyle name="Normal 423 8 3" xfId="32052"/>
    <cellStyle name="Normal 423 8 3 2" xfId="32053"/>
    <cellStyle name="Normal 423 8 4" xfId="32054"/>
    <cellStyle name="Normal 423 9" xfId="32055"/>
    <cellStyle name="Normal 424" xfId="32056"/>
    <cellStyle name="Normal 424 2" xfId="32057"/>
    <cellStyle name="Normal 424 2 2" xfId="32058"/>
    <cellStyle name="Normal 424 2 2 2" xfId="32059"/>
    <cellStyle name="Normal 424 2 2 2 2" xfId="32060"/>
    <cellStyle name="Normal 424 2 2 3" xfId="32061"/>
    <cellStyle name="Normal 424 2 2 3 2" xfId="32062"/>
    <cellStyle name="Normal 424 2 2 3 2 2" xfId="32063"/>
    <cellStyle name="Normal 424 2 2 3 3" xfId="32064"/>
    <cellStyle name="Normal 424 2 2 4" xfId="32065"/>
    <cellStyle name="Normal 424 2 2 4 2" xfId="32066"/>
    <cellStyle name="Normal 424 2 2 4 2 2" xfId="32067"/>
    <cellStyle name="Normal 424 2 2 4 3" xfId="32068"/>
    <cellStyle name="Normal 424 2 2 5" xfId="32069"/>
    <cellStyle name="Normal 424 2 3" xfId="32070"/>
    <cellStyle name="Normal 424 2 3 2" xfId="32071"/>
    <cellStyle name="Normal 424 2 3 2 2" xfId="32072"/>
    <cellStyle name="Normal 424 2 3 2 2 2" xfId="32073"/>
    <cellStyle name="Normal 424 2 3 2 3" xfId="32074"/>
    <cellStyle name="Normal 424 2 3 2 3 2" xfId="32075"/>
    <cellStyle name="Normal 424 2 3 2 3 2 2" xfId="32076"/>
    <cellStyle name="Normal 424 2 3 2 3 3" xfId="32077"/>
    <cellStyle name="Normal 424 2 3 2 4" xfId="32078"/>
    <cellStyle name="Normal 424 2 3 3" xfId="32079"/>
    <cellStyle name="Normal 424 2 3 3 2" xfId="32080"/>
    <cellStyle name="Normal 424 2 3 3 2 2" xfId="32081"/>
    <cellStyle name="Normal 424 2 3 3 3" xfId="32082"/>
    <cellStyle name="Normal 424 2 3 4" xfId="32083"/>
    <cellStyle name="Normal 424 2 3 4 2" xfId="32084"/>
    <cellStyle name="Normal 424 2 3 4 2 2" xfId="32085"/>
    <cellStyle name="Normal 424 2 3 4 3" xfId="32086"/>
    <cellStyle name="Normal 424 2 3 5" xfId="32087"/>
    <cellStyle name="Normal 424 2 3 5 2" xfId="32088"/>
    <cellStyle name="Normal 424 2 3 5 2 2" xfId="32089"/>
    <cellStyle name="Normal 424 2 3 5 3" xfId="32090"/>
    <cellStyle name="Normal 424 2 3 6" xfId="32091"/>
    <cellStyle name="Normal 424 2 4" xfId="32092"/>
    <cellStyle name="Normal 424 2 4 2" xfId="32093"/>
    <cellStyle name="Normal 424 2 4 2 2" xfId="32094"/>
    <cellStyle name="Normal 424 2 4 3" xfId="32095"/>
    <cellStyle name="Normal 424 2 5" xfId="32096"/>
    <cellStyle name="Normal 424 2 5 2" xfId="32097"/>
    <cellStyle name="Normal 424 2 5 2 2" xfId="32098"/>
    <cellStyle name="Normal 424 2 5 3" xfId="32099"/>
    <cellStyle name="Normal 424 2 6" xfId="32100"/>
    <cellStyle name="Normal 424 2 6 2" xfId="32101"/>
    <cellStyle name="Normal 424 2 6 2 2" xfId="32102"/>
    <cellStyle name="Normal 424 2 6 3" xfId="32103"/>
    <cellStyle name="Normal 424 2 7" xfId="32104"/>
    <cellStyle name="Normal 424 3" xfId="32105"/>
    <cellStyle name="Normal 424 3 2" xfId="32106"/>
    <cellStyle name="Normal 424 3 2 2" xfId="32107"/>
    <cellStyle name="Normal 424 3 3" xfId="32108"/>
    <cellStyle name="Normal 424 3 3 2" xfId="32109"/>
    <cellStyle name="Normal 424 3 3 2 2" xfId="32110"/>
    <cellStyle name="Normal 424 3 3 3" xfId="32111"/>
    <cellStyle name="Normal 424 3 4" xfId="32112"/>
    <cellStyle name="Normal 424 3 4 2" xfId="32113"/>
    <cellStyle name="Normal 424 3 4 2 2" xfId="32114"/>
    <cellStyle name="Normal 424 3 4 3" xfId="32115"/>
    <cellStyle name="Normal 424 3 5" xfId="32116"/>
    <cellStyle name="Normal 424 4" xfId="32117"/>
    <cellStyle name="Normal 424 4 2" xfId="32118"/>
    <cellStyle name="Normal 424 4 2 2" xfId="32119"/>
    <cellStyle name="Normal 424 4 2 2 2" xfId="32120"/>
    <cellStyle name="Normal 424 4 2 3" xfId="32121"/>
    <cellStyle name="Normal 424 4 2 3 2" xfId="32122"/>
    <cellStyle name="Normal 424 4 2 3 2 2" xfId="32123"/>
    <cellStyle name="Normal 424 4 2 3 3" xfId="32124"/>
    <cellStyle name="Normal 424 4 2 4" xfId="32125"/>
    <cellStyle name="Normal 424 4 3" xfId="32126"/>
    <cellStyle name="Normal 424 4 3 2" xfId="32127"/>
    <cellStyle name="Normal 424 4 3 2 2" xfId="32128"/>
    <cellStyle name="Normal 424 4 3 3" xfId="32129"/>
    <cellStyle name="Normal 424 4 4" xfId="32130"/>
    <cellStyle name="Normal 424 4 4 2" xfId="32131"/>
    <cellStyle name="Normal 424 4 4 2 2" xfId="32132"/>
    <cellStyle name="Normal 424 4 4 3" xfId="32133"/>
    <cellStyle name="Normal 424 4 5" xfId="32134"/>
    <cellStyle name="Normal 424 4 5 2" xfId="32135"/>
    <cellStyle name="Normal 424 4 5 2 2" xfId="32136"/>
    <cellStyle name="Normal 424 4 5 3" xfId="32137"/>
    <cellStyle name="Normal 424 4 6" xfId="32138"/>
    <cellStyle name="Normal 424 5" xfId="32139"/>
    <cellStyle name="Normal 424 5 2" xfId="32140"/>
    <cellStyle name="Normal 424 5 2 2" xfId="32141"/>
    <cellStyle name="Normal 424 5 3" xfId="32142"/>
    <cellStyle name="Normal 424 6" xfId="32143"/>
    <cellStyle name="Normal 424 6 2" xfId="32144"/>
    <cellStyle name="Normal 424 6 2 2" xfId="32145"/>
    <cellStyle name="Normal 424 6 3" xfId="32146"/>
    <cellStyle name="Normal 424 7" xfId="32147"/>
    <cellStyle name="Normal 424 7 2" xfId="32148"/>
    <cellStyle name="Normal 424 7 2 2" xfId="32149"/>
    <cellStyle name="Normal 424 7 3" xfId="32150"/>
    <cellStyle name="Normal 424 8" xfId="32151"/>
    <cellStyle name="Normal 424 8 2" xfId="32152"/>
    <cellStyle name="Normal 424 8 2 2" xfId="32153"/>
    <cellStyle name="Normal 424 8 3" xfId="32154"/>
    <cellStyle name="Normal 424 8 3 2" xfId="32155"/>
    <cellStyle name="Normal 424 8 4" xfId="32156"/>
    <cellStyle name="Normal 424 9" xfId="32157"/>
    <cellStyle name="Normal 425" xfId="32158"/>
    <cellStyle name="Normal 425 10" xfId="32159"/>
    <cellStyle name="Normal 425 2" xfId="32160"/>
    <cellStyle name="Normal 425 2 2" xfId="32161"/>
    <cellStyle name="Normal 425 2 2 2" xfId="32162"/>
    <cellStyle name="Normal 425 2 2 2 2" xfId="32163"/>
    <cellStyle name="Normal 425 2 2 3" xfId="32164"/>
    <cellStyle name="Normal 425 2 2 3 2" xfId="32165"/>
    <cellStyle name="Normal 425 2 2 3 2 2" xfId="32166"/>
    <cellStyle name="Normal 425 2 2 3 3" xfId="32167"/>
    <cellStyle name="Normal 425 2 2 4" xfId="32168"/>
    <cellStyle name="Normal 425 2 3" xfId="32169"/>
    <cellStyle name="Normal 425 2 3 2" xfId="32170"/>
    <cellStyle name="Normal 425 2 3 2 2" xfId="32171"/>
    <cellStyle name="Normal 425 2 3 3" xfId="32172"/>
    <cellStyle name="Normal 425 2 4" xfId="32173"/>
    <cellStyle name="Normal 425 2 4 2" xfId="32174"/>
    <cellStyle name="Normal 425 2 4 2 2" xfId="32175"/>
    <cellStyle name="Normal 425 2 4 3" xfId="32176"/>
    <cellStyle name="Normal 425 2 5" xfId="32177"/>
    <cellStyle name="Normal 425 2 5 2" xfId="32178"/>
    <cellStyle name="Normal 425 2 5 2 2" xfId="32179"/>
    <cellStyle name="Normal 425 2 5 3" xfId="32180"/>
    <cellStyle name="Normal 425 2 6" xfId="32181"/>
    <cellStyle name="Normal 425 3" xfId="32182"/>
    <cellStyle name="Normal 425 3 2" xfId="32183"/>
    <cellStyle name="Normal 425 3 2 2" xfId="32184"/>
    <cellStyle name="Normal 425 3 3" xfId="32185"/>
    <cellStyle name="Normal 425 3 3 2" xfId="32186"/>
    <cellStyle name="Normal 425 3 3 2 2" xfId="32187"/>
    <cellStyle name="Normal 425 3 3 3" xfId="32188"/>
    <cellStyle name="Normal 425 3 4" xfId="32189"/>
    <cellStyle name="Normal 425 3 4 2" xfId="32190"/>
    <cellStyle name="Normal 425 3 4 2 2" xfId="32191"/>
    <cellStyle name="Normal 425 3 4 3" xfId="32192"/>
    <cellStyle name="Normal 425 3 5" xfId="32193"/>
    <cellStyle name="Normal 425 4" xfId="32194"/>
    <cellStyle name="Normal 425 4 2" xfId="32195"/>
    <cellStyle name="Normal 425 4 2 2" xfId="32196"/>
    <cellStyle name="Normal 425 4 2 2 2" xfId="32197"/>
    <cellStyle name="Normal 425 4 2 3" xfId="32198"/>
    <cellStyle name="Normal 425 4 2 3 2" xfId="32199"/>
    <cellStyle name="Normal 425 4 2 3 2 2" xfId="32200"/>
    <cellStyle name="Normal 425 4 2 3 3" xfId="32201"/>
    <cellStyle name="Normal 425 4 2 4" xfId="32202"/>
    <cellStyle name="Normal 425 4 3" xfId="32203"/>
    <cellStyle name="Normal 425 4 3 2" xfId="32204"/>
    <cellStyle name="Normal 425 4 3 2 2" xfId="32205"/>
    <cellStyle name="Normal 425 4 3 3" xfId="32206"/>
    <cellStyle name="Normal 425 4 4" xfId="32207"/>
    <cellStyle name="Normal 425 4 4 2" xfId="32208"/>
    <cellStyle name="Normal 425 4 4 2 2" xfId="32209"/>
    <cellStyle name="Normal 425 4 4 3" xfId="32210"/>
    <cellStyle name="Normal 425 4 5" xfId="32211"/>
    <cellStyle name="Normal 425 4 5 2" xfId="32212"/>
    <cellStyle name="Normal 425 4 5 2 2" xfId="32213"/>
    <cellStyle name="Normal 425 4 5 3" xfId="32214"/>
    <cellStyle name="Normal 425 4 6" xfId="32215"/>
    <cellStyle name="Normal 425 5" xfId="32216"/>
    <cellStyle name="Normal 425 5 2" xfId="32217"/>
    <cellStyle name="Normal 425 5 2 2" xfId="32218"/>
    <cellStyle name="Normal 425 5 3" xfId="32219"/>
    <cellStyle name="Normal 425 6" xfId="32220"/>
    <cellStyle name="Normal 425 6 2" xfId="32221"/>
    <cellStyle name="Normal 425 6 2 2" xfId="32222"/>
    <cellStyle name="Normal 425 6 3" xfId="32223"/>
    <cellStyle name="Normal 425 7" xfId="32224"/>
    <cellStyle name="Normal 425 7 2" xfId="32225"/>
    <cellStyle name="Normal 425 7 2 2" xfId="32226"/>
    <cellStyle name="Normal 425 7 3" xfId="32227"/>
    <cellStyle name="Normal 425 8" xfId="32228"/>
    <cellStyle name="Normal 425 8 2" xfId="32229"/>
    <cellStyle name="Normal 425 8 2 2" xfId="32230"/>
    <cellStyle name="Normal 425 8 3" xfId="32231"/>
    <cellStyle name="Normal 425 8 3 2" xfId="32232"/>
    <cellStyle name="Normal 425 8 4" xfId="32233"/>
    <cellStyle name="Normal 425 9" xfId="32234"/>
    <cellStyle name="Normal 426" xfId="32235"/>
    <cellStyle name="Normal 426 10" xfId="32236"/>
    <cellStyle name="Normal 426 2" xfId="32237"/>
    <cellStyle name="Normal 426 2 2" xfId="32238"/>
    <cellStyle name="Normal 426 2 2 2" xfId="32239"/>
    <cellStyle name="Normal 426 2 2 2 2" xfId="32240"/>
    <cellStyle name="Normal 426 2 2 3" xfId="32241"/>
    <cellStyle name="Normal 426 2 2 3 2" xfId="32242"/>
    <cellStyle name="Normal 426 2 2 3 2 2" xfId="32243"/>
    <cellStyle name="Normal 426 2 2 3 3" xfId="32244"/>
    <cellStyle name="Normal 426 2 2 4" xfId="32245"/>
    <cellStyle name="Normal 426 2 3" xfId="32246"/>
    <cellStyle name="Normal 426 2 3 2" xfId="32247"/>
    <cellStyle name="Normal 426 2 3 2 2" xfId="32248"/>
    <cellStyle name="Normal 426 2 3 3" xfId="32249"/>
    <cellStyle name="Normal 426 2 4" xfId="32250"/>
    <cellStyle name="Normal 426 2 4 2" xfId="32251"/>
    <cellStyle name="Normal 426 2 4 2 2" xfId="32252"/>
    <cellStyle name="Normal 426 2 4 3" xfId="32253"/>
    <cellStyle name="Normal 426 2 5" xfId="32254"/>
    <cellStyle name="Normal 426 2 5 2" xfId="32255"/>
    <cellStyle name="Normal 426 2 5 2 2" xfId="32256"/>
    <cellStyle name="Normal 426 2 5 3" xfId="32257"/>
    <cellStyle name="Normal 426 2 6" xfId="32258"/>
    <cellStyle name="Normal 426 3" xfId="32259"/>
    <cellStyle name="Normal 426 3 2" xfId="32260"/>
    <cellStyle name="Normal 426 3 2 2" xfId="32261"/>
    <cellStyle name="Normal 426 3 3" xfId="32262"/>
    <cellStyle name="Normal 426 3 3 2" xfId="32263"/>
    <cellStyle name="Normal 426 3 3 2 2" xfId="32264"/>
    <cellStyle name="Normal 426 3 3 3" xfId="32265"/>
    <cellStyle name="Normal 426 3 4" xfId="32266"/>
    <cellStyle name="Normal 426 3 4 2" xfId="32267"/>
    <cellStyle name="Normal 426 3 4 2 2" xfId="32268"/>
    <cellStyle name="Normal 426 3 4 3" xfId="32269"/>
    <cellStyle name="Normal 426 3 5" xfId="32270"/>
    <cellStyle name="Normal 426 4" xfId="32271"/>
    <cellStyle name="Normal 426 4 2" xfId="32272"/>
    <cellStyle name="Normal 426 4 2 2" xfId="32273"/>
    <cellStyle name="Normal 426 4 2 2 2" xfId="32274"/>
    <cellStyle name="Normal 426 4 2 3" xfId="32275"/>
    <cellStyle name="Normal 426 4 2 3 2" xfId="32276"/>
    <cellStyle name="Normal 426 4 2 3 2 2" xfId="32277"/>
    <cellStyle name="Normal 426 4 2 3 3" xfId="32278"/>
    <cellStyle name="Normal 426 4 2 4" xfId="32279"/>
    <cellStyle name="Normal 426 4 3" xfId="32280"/>
    <cellStyle name="Normal 426 4 3 2" xfId="32281"/>
    <cellStyle name="Normal 426 4 3 2 2" xfId="32282"/>
    <cellStyle name="Normal 426 4 3 3" xfId="32283"/>
    <cellStyle name="Normal 426 4 4" xfId="32284"/>
    <cellStyle name="Normal 426 4 4 2" xfId="32285"/>
    <cellStyle name="Normal 426 4 4 2 2" xfId="32286"/>
    <cellStyle name="Normal 426 4 4 3" xfId="32287"/>
    <cellStyle name="Normal 426 4 5" xfId="32288"/>
    <cellStyle name="Normal 426 4 5 2" xfId="32289"/>
    <cellStyle name="Normal 426 4 5 2 2" xfId="32290"/>
    <cellStyle name="Normal 426 4 5 3" xfId="32291"/>
    <cellStyle name="Normal 426 4 6" xfId="32292"/>
    <cellStyle name="Normal 426 5" xfId="32293"/>
    <cellStyle name="Normal 426 5 2" xfId="32294"/>
    <cellStyle name="Normal 426 5 2 2" xfId="32295"/>
    <cellStyle name="Normal 426 5 3" xfId="32296"/>
    <cellStyle name="Normal 426 6" xfId="32297"/>
    <cellStyle name="Normal 426 6 2" xfId="32298"/>
    <cellStyle name="Normal 426 6 2 2" xfId="32299"/>
    <cellStyle name="Normal 426 6 3" xfId="32300"/>
    <cellStyle name="Normal 426 7" xfId="32301"/>
    <cellStyle name="Normal 426 7 2" xfId="32302"/>
    <cellStyle name="Normal 426 7 2 2" xfId="32303"/>
    <cellStyle name="Normal 426 7 3" xfId="32304"/>
    <cellStyle name="Normal 426 8" xfId="32305"/>
    <cellStyle name="Normal 426 8 2" xfId="32306"/>
    <cellStyle name="Normal 426 8 2 2" xfId="32307"/>
    <cellStyle name="Normal 426 8 3" xfId="32308"/>
    <cellStyle name="Normal 426 8 3 2" xfId="32309"/>
    <cellStyle name="Normal 426 8 4" xfId="32310"/>
    <cellStyle name="Normal 426 9" xfId="32311"/>
    <cellStyle name="Normal 427" xfId="32312"/>
    <cellStyle name="Normal 427 10" xfId="32313"/>
    <cellStyle name="Normal 427 2" xfId="32314"/>
    <cellStyle name="Normal 427 2 2" xfId="32315"/>
    <cellStyle name="Normal 427 2 2 2" xfId="32316"/>
    <cellStyle name="Normal 427 2 2 2 2" xfId="32317"/>
    <cellStyle name="Normal 427 2 2 3" xfId="32318"/>
    <cellStyle name="Normal 427 2 2 3 2" xfId="32319"/>
    <cellStyle name="Normal 427 2 2 3 2 2" xfId="32320"/>
    <cellStyle name="Normal 427 2 2 3 3" xfId="32321"/>
    <cellStyle name="Normal 427 2 2 4" xfId="32322"/>
    <cellStyle name="Normal 427 2 3" xfId="32323"/>
    <cellStyle name="Normal 427 2 3 2" xfId="32324"/>
    <cellStyle name="Normal 427 2 3 2 2" xfId="32325"/>
    <cellStyle name="Normal 427 2 3 3" xfId="32326"/>
    <cellStyle name="Normal 427 2 4" xfId="32327"/>
    <cellStyle name="Normal 427 2 4 2" xfId="32328"/>
    <cellStyle name="Normal 427 2 4 2 2" xfId="32329"/>
    <cellStyle name="Normal 427 2 4 3" xfId="32330"/>
    <cellStyle name="Normal 427 2 5" xfId="32331"/>
    <cellStyle name="Normal 427 2 5 2" xfId="32332"/>
    <cellStyle name="Normal 427 2 5 2 2" xfId="32333"/>
    <cellStyle name="Normal 427 2 5 3" xfId="32334"/>
    <cellStyle name="Normal 427 2 6" xfId="32335"/>
    <cellStyle name="Normal 427 3" xfId="32336"/>
    <cellStyle name="Normal 427 3 2" xfId="32337"/>
    <cellStyle name="Normal 427 3 2 2" xfId="32338"/>
    <cellStyle name="Normal 427 3 3" xfId="32339"/>
    <cellStyle name="Normal 427 3 3 2" xfId="32340"/>
    <cellStyle name="Normal 427 3 3 2 2" xfId="32341"/>
    <cellStyle name="Normal 427 3 3 3" xfId="32342"/>
    <cellStyle name="Normal 427 3 4" xfId="32343"/>
    <cellStyle name="Normal 427 3 4 2" xfId="32344"/>
    <cellStyle name="Normal 427 3 4 2 2" xfId="32345"/>
    <cellStyle name="Normal 427 3 4 3" xfId="32346"/>
    <cellStyle name="Normal 427 3 5" xfId="32347"/>
    <cellStyle name="Normal 427 4" xfId="32348"/>
    <cellStyle name="Normal 427 4 2" xfId="32349"/>
    <cellStyle name="Normal 427 4 2 2" xfId="32350"/>
    <cellStyle name="Normal 427 4 2 2 2" xfId="32351"/>
    <cellStyle name="Normal 427 4 2 3" xfId="32352"/>
    <cellStyle name="Normal 427 4 2 3 2" xfId="32353"/>
    <cellStyle name="Normal 427 4 2 3 2 2" xfId="32354"/>
    <cellStyle name="Normal 427 4 2 3 3" xfId="32355"/>
    <cellStyle name="Normal 427 4 2 4" xfId="32356"/>
    <cellStyle name="Normal 427 4 3" xfId="32357"/>
    <cellStyle name="Normal 427 4 3 2" xfId="32358"/>
    <cellStyle name="Normal 427 4 3 2 2" xfId="32359"/>
    <cellStyle name="Normal 427 4 3 3" xfId="32360"/>
    <cellStyle name="Normal 427 4 4" xfId="32361"/>
    <cellStyle name="Normal 427 4 4 2" xfId="32362"/>
    <cellStyle name="Normal 427 4 4 2 2" xfId="32363"/>
    <cellStyle name="Normal 427 4 4 3" xfId="32364"/>
    <cellStyle name="Normal 427 4 5" xfId="32365"/>
    <cellStyle name="Normal 427 4 5 2" xfId="32366"/>
    <cellStyle name="Normal 427 4 5 2 2" xfId="32367"/>
    <cellStyle name="Normal 427 4 5 3" xfId="32368"/>
    <cellStyle name="Normal 427 4 6" xfId="32369"/>
    <cellStyle name="Normal 427 5" xfId="32370"/>
    <cellStyle name="Normal 427 5 2" xfId="32371"/>
    <cellStyle name="Normal 427 5 2 2" xfId="32372"/>
    <cellStyle name="Normal 427 5 3" xfId="32373"/>
    <cellStyle name="Normal 427 6" xfId="32374"/>
    <cellStyle name="Normal 427 6 2" xfId="32375"/>
    <cellStyle name="Normal 427 6 2 2" xfId="32376"/>
    <cellStyle name="Normal 427 6 3" xfId="32377"/>
    <cellStyle name="Normal 427 7" xfId="32378"/>
    <cellStyle name="Normal 427 7 2" xfId="32379"/>
    <cellStyle name="Normal 427 7 2 2" xfId="32380"/>
    <cellStyle name="Normal 427 7 3" xfId="32381"/>
    <cellStyle name="Normal 427 8" xfId="32382"/>
    <cellStyle name="Normal 427 8 2" xfId="32383"/>
    <cellStyle name="Normal 427 8 2 2" xfId="32384"/>
    <cellStyle name="Normal 427 8 3" xfId="32385"/>
    <cellStyle name="Normal 427 8 3 2" xfId="32386"/>
    <cellStyle name="Normal 427 8 4" xfId="32387"/>
    <cellStyle name="Normal 427 9" xfId="32388"/>
    <cellStyle name="Normal 428" xfId="32389"/>
    <cellStyle name="Normal 428 10" xfId="32390"/>
    <cellStyle name="Normal 428 2" xfId="32391"/>
    <cellStyle name="Normal 428 2 2" xfId="32392"/>
    <cellStyle name="Normal 428 2 2 2" xfId="32393"/>
    <cellStyle name="Normal 428 2 2 2 2" xfId="32394"/>
    <cellStyle name="Normal 428 2 2 3" xfId="32395"/>
    <cellStyle name="Normal 428 2 2 3 2" xfId="32396"/>
    <cellStyle name="Normal 428 2 2 3 2 2" xfId="32397"/>
    <cellStyle name="Normal 428 2 2 3 3" xfId="32398"/>
    <cellStyle name="Normal 428 2 2 4" xfId="32399"/>
    <cellStyle name="Normal 428 2 3" xfId="32400"/>
    <cellStyle name="Normal 428 2 3 2" xfId="32401"/>
    <cellStyle name="Normal 428 2 3 2 2" xfId="32402"/>
    <cellStyle name="Normal 428 2 3 3" xfId="32403"/>
    <cellStyle name="Normal 428 2 4" xfId="32404"/>
    <cellStyle name="Normal 428 2 4 2" xfId="32405"/>
    <cellStyle name="Normal 428 2 4 2 2" xfId="32406"/>
    <cellStyle name="Normal 428 2 4 3" xfId="32407"/>
    <cellStyle name="Normal 428 2 5" xfId="32408"/>
    <cellStyle name="Normal 428 2 5 2" xfId="32409"/>
    <cellStyle name="Normal 428 2 5 2 2" xfId="32410"/>
    <cellStyle name="Normal 428 2 5 3" xfId="32411"/>
    <cellStyle name="Normal 428 2 6" xfId="32412"/>
    <cellStyle name="Normal 428 3" xfId="32413"/>
    <cellStyle name="Normal 428 3 2" xfId="32414"/>
    <cellStyle name="Normal 428 3 2 2" xfId="32415"/>
    <cellStyle name="Normal 428 3 3" xfId="32416"/>
    <cellStyle name="Normal 428 3 3 2" xfId="32417"/>
    <cellStyle name="Normal 428 3 3 2 2" xfId="32418"/>
    <cellStyle name="Normal 428 3 3 3" xfId="32419"/>
    <cellStyle name="Normal 428 3 4" xfId="32420"/>
    <cellStyle name="Normal 428 3 4 2" xfId="32421"/>
    <cellStyle name="Normal 428 3 4 2 2" xfId="32422"/>
    <cellStyle name="Normal 428 3 4 3" xfId="32423"/>
    <cellStyle name="Normal 428 3 5" xfId="32424"/>
    <cellStyle name="Normal 428 4" xfId="32425"/>
    <cellStyle name="Normal 428 4 2" xfId="32426"/>
    <cellStyle name="Normal 428 4 2 2" xfId="32427"/>
    <cellStyle name="Normal 428 4 2 2 2" xfId="32428"/>
    <cellStyle name="Normal 428 4 2 3" xfId="32429"/>
    <cellStyle name="Normal 428 4 2 3 2" xfId="32430"/>
    <cellStyle name="Normal 428 4 2 3 2 2" xfId="32431"/>
    <cellStyle name="Normal 428 4 2 3 3" xfId="32432"/>
    <cellStyle name="Normal 428 4 2 4" xfId="32433"/>
    <cellStyle name="Normal 428 4 3" xfId="32434"/>
    <cellStyle name="Normal 428 4 3 2" xfId="32435"/>
    <cellStyle name="Normal 428 4 3 2 2" xfId="32436"/>
    <cellStyle name="Normal 428 4 3 3" xfId="32437"/>
    <cellStyle name="Normal 428 4 4" xfId="32438"/>
    <cellStyle name="Normal 428 4 4 2" xfId="32439"/>
    <cellStyle name="Normal 428 4 4 2 2" xfId="32440"/>
    <cellStyle name="Normal 428 4 4 3" xfId="32441"/>
    <cellStyle name="Normal 428 4 5" xfId="32442"/>
    <cellStyle name="Normal 428 4 5 2" xfId="32443"/>
    <cellStyle name="Normal 428 4 5 2 2" xfId="32444"/>
    <cellStyle name="Normal 428 4 5 3" xfId="32445"/>
    <cellStyle name="Normal 428 4 6" xfId="32446"/>
    <cellStyle name="Normal 428 5" xfId="32447"/>
    <cellStyle name="Normal 428 5 2" xfId="32448"/>
    <cellStyle name="Normal 428 5 2 2" xfId="32449"/>
    <cellStyle name="Normal 428 5 3" xfId="32450"/>
    <cellStyle name="Normal 428 6" xfId="32451"/>
    <cellStyle name="Normal 428 6 2" xfId="32452"/>
    <cellStyle name="Normal 428 6 2 2" xfId="32453"/>
    <cellStyle name="Normal 428 6 3" xfId="32454"/>
    <cellStyle name="Normal 428 7" xfId="32455"/>
    <cellStyle name="Normal 428 7 2" xfId="32456"/>
    <cellStyle name="Normal 428 7 2 2" xfId="32457"/>
    <cellStyle name="Normal 428 7 3" xfId="32458"/>
    <cellStyle name="Normal 428 8" xfId="32459"/>
    <cellStyle name="Normal 428 8 2" xfId="32460"/>
    <cellStyle name="Normal 428 8 2 2" xfId="32461"/>
    <cellStyle name="Normal 428 8 3" xfId="32462"/>
    <cellStyle name="Normal 428 8 3 2" xfId="32463"/>
    <cellStyle name="Normal 428 8 4" xfId="32464"/>
    <cellStyle name="Normal 428 9" xfId="32465"/>
    <cellStyle name="Normal 429" xfId="32466"/>
    <cellStyle name="Normal 429 10" xfId="32467"/>
    <cellStyle name="Normal 429 2" xfId="32468"/>
    <cellStyle name="Normal 429 2 2" xfId="32469"/>
    <cellStyle name="Normal 429 2 2 2" xfId="32470"/>
    <cellStyle name="Normal 429 2 2 2 2" xfId="32471"/>
    <cellStyle name="Normal 429 2 2 3" xfId="32472"/>
    <cellStyle name="Normal 429 2 2 3 2" xfId="32473"/>
    <cellStyle name="Normal 429 2 2 3 2 2" xfId="32474"/>
    <cellStyle name="Normal 429 2 2 3 3" xfId="32475"/>
    <cellStyle name="Normal 429 2 2 4" xfId="32476"/>
    <cellStyle name="Normal 429 2 3" xfId="32477"/>
    <cellStyle name="Normal 429 2 3 2" xfId="32478"/>
    <cellStyle name="Normal 429 2 3 2 2" xfId="32479"/>
    <cellStyle name="Normal 429 2 3 3" xfId="32480"/>
    <cellStyle name="Normal 429 2 4" xfId="32481"/>
    <cellStyle name="Normal 429 2 4 2" xfId="32482"/>
    <cellStyle name="Normal 429 2 4 2 2" xfId="32483"/>
    <cellStyle name="Normal 429 2 4 3" xfId="32484"/>
    <cellStyle name="Normal 429 2 5" xfId="32485"/>
    <cellStyle name="Normal 429 2 5 2" xfId="32486"/>
    <cellStyle name="Normal 429 2 5 2 2" xfId="32487"/>
    <cellStyle name="Normal 429 2 5 3" xfId="32488"/>
    <cellStyle name="Normal 429 2 6" xfId="32489"/>
    <cellStyle name="Normal 429 3" xfId="32490"/>
    <cellStyle name="Normal 429 3 2" xfId="32491"/>
    <cellStyle name="Normal 429 3 2 2" xfId="32492"/>
    <cellStyle name="Normal 429 3 3" xfId="32493"/>
    <cellStyle name="Normal 429 3 3 2" xfId="32494"/>
    <cellStyle name="Normal 429 3 3 2 2" xfId="32495"/>
    <cellStyle name="Normal 429 3 3 3" xfId="32496"/>
    <cellStyle name="Normal 429 3 4" xfId="32497"/>
    <cellStyle name="Normal 429 3 4 2" xfId="32498"/>
    <cellStyle name="Normal 429 3 4 2 2" xfId="32499"/>
    <cellStyle name="Normal 429 3 4 3" xfId="32500"/>
    <cellStyle name="Normal 429 3 5" xfId="32501"/>
    <cellStyle name="Normal 429 4" xfId="32502"/>
    <cellStyle name="Normal 429 4 2" xfId="32503"/>
    <cellStyle name="Normal 429 4 2 2" xfId="32504"/>
    <cellStyle name="Normal 429 4 2 2 2" xfId="32505"/>
    <cellStyle name="Normal 429 4 2 3" xfId="32506"/>
    <cellStyle name="Normal 429 4 2 3 2" xfId="32507"/>
    <cellStyle name="Normal 429 4 2 3 2 2" xfId="32508"/>
    <cellStyle name="Normal 429 4 2 3 3" xfId="32509"/>
    <cellStyle name="Normal 429 4 2 4" xfId="32510"/>
    <cellStyle name="Normal 429 4 3" xfId="32511"/>
    <cellStyle name="Normal 429 4 3 2" xfId="32512"/>
    <cellStyle name="Normal 429 4 3 2 2" xfId="32513"/>
    <cellStyle name="Normal 429 4 3 3" xfId="32514"/>
    <cellStyle name="Normal 429 4 4" xfId="32515"/>
    <cellStyle name="Normal 429 4 4 2" xfId="32516"/>
    <cellStyle name="Normal 429 4 4 2 2" xfId="32517"/>
    <cellStyle name="Normal 429 4 4 3" xfId="32518"/>
    <cellStyle name="Normal 429 4 5" xfId="32519"/>
    <cellStyle name="Normal 429 4 5 2" xfId="32520"/>
    <cellStyle name="Normal 429 4 5 2 2" xfId="32521"/>
    <cellStyle name="Normal 429 4 5 3" xfId="32522"/>
    <cellStyle name="Normal 429 4 6" xfId="32523"/>
    <cellStyle name="Normal 429 5" xfId="32524"/>
    <cellStyle name="Normal 429 5 2" xfId="32525"/>
    <cellStyle name="Normal 429 5 2 2" xfId="32526"/>
    <cellStyle name="Normal 429 5 3" xfId="32527"/>
    <cellStyle name="Normal 429 6" xfId="32528"/>
    <cellStyle name="Normal 429 6 2" xfId="32529"/>
    <cellStyle name="Normal 429 6 2 2" xfId="32530"/>
    <cellStyle name="Normal 429 6 3" xfId="32531"/>
    <cellStyle name="Normal 429 7" xfId="32532"/>
    <cellStyle name="Normal 429 7 2" xfId="32533"/>
    <cellStyle name="Normal 429 7 2 2" xfId="32534"/>
    <cellStyle name="Normal 429 7 3" xfId="32535"/>
    <cellStyle name="Normal 429 8" xfId="32536"/>
    <cellStyle name="Normal 429 8 2" xfId="32537"/>
    <cellStyle name="Normal 429 8 2 2" xfId="32538"/>
    <cellStyle name="Normal 429 8 3" xfId="32539"/>
    <cellStyle name="Normal 429 8 3 2" xfId="32540"/>
    <cellStyle name="Normal 429 8 4" xfId="32541"/>
    <cellStyle name="Normal 429 9" xfId="32542"/>
    <cellStyle name="Normal 43" xfId="32543"/>
    <cellStyle name="Normal 43 2" xfId="32544"/>
    <cellStyle name="Normal 43 2 2" xfId="32545"/>
    <cellStyle name="Normal 43 2 2 2" xfId="32546"/>
    <cellStyle name="Normal 43 2 2 2 2" xfId="32547"/>
    <cellStyle name="Normal 43 2 2 3" xfId="32548"/>
    <cellStyle name="Normal 43 2 2 3 2" xfId="32549"/>
    <cellStyle name="Normal 43 2 2 3 2 2" xfId="32550"/>
    <cellStyle name="Normal 43 2 2 3 3" xfId="32551"/>
    <cellStyle name="Normal 43 2 2 4" xfId="32552"/>
    <cellStyle name="Normal 43 2 2 4 2" xfId="32553"/>
    <cellStyle name="Normal 43 2 2 4 2 2" xfId="32554"/>
    <cellStyle name="Normal 43 2 2 4 3" xfId="32555"/>
    <cellStyle name="Normal 43 2 2 5" xfId="32556"/>
    <cellStyle name="Normal 43 2 3" xfId="32557"/>
    <cellStyle name="Normal 43 2 3 2" xfId="32558"/>
    <cellStyle name="Normal 43 2 3 2 2" xfId="32559"/>
    <cellStyle name="Normal 43 2 3 3" xfId="32560"/>
    <cellStyle name="Normal 43 2 4" xfId="32561"/>
    <cellStyle name="Normal 43 2 4 2" xfId="32562"/>
    <cellStyle name="Normal 43 2 4 2 2" xfId="32563"/>
    <cellStyle name="Normal 43 2 4 3" xfId="32564"/>
    <cellStyle name="Normal 43 2 5" xfId="32565"/>
    <cellStyle name="Normal 43 2 5 2" xfId="32566"/>
    <cellStyle name="Normal 43 2 5 2 2" xfId="32567"/>
    <cellStyle name="Normal 43 2 5 3" xfId="32568"/>
    <cellStyle name="Normal 43 2 6" xfId="32569"/>
    <cellStyle name="Normal 43 3" xfId="32570"/>
    <cellStyle name="Normal 43 3 2" xfId="32571"/>
    <cellStyle name="Normal 43 3 2 2" xfId="32572"/>
    <cellStyle name="Normal 43 3 3" xfId="32573"/>
    <cellStyle name="Normal 43 3 3 2" xfId="32574"/>
    <cellStyle name="Normal 43 3 3 2 2" xfId="32575"/>
    <cellStyle name="Normal 43 3 3 3" xfId="32576"/>
    <cellStyle name="Normal 43 3 4" xfId="32577"/>
    <cellStyle name="Normal 43 3 4 2" xfId="32578"/>
    <cellStyle name="Normal 43 3 4 2 2" xfId="32579"/>
    <cellStyle name="Normal 43 3 4 3" xfId="32580"/>
    <cellStyle name="Normal 43 3 5" xfId="32581"/>
    <cellStyle name="Normal 43 4" xfId="32582"/>
    <cellStyle name="Normal 43 4 2" xfId="32583"/>
    <cellStyle name="Normal 43 4 2 2" xfId="32584"/>
    <cellStyle name="Normal 43 4 3" xfId="32585"/>
    <cellStyle name="Normal 43 5" xfId="32586"/>
    <cellStyle name="Normal 43 5 2" xfId="32587"/>
    <cellStyle name="Normal 43 5 2 2" xfId="32588"/>
    <cellStyle name="Normal 43 5 3" xfId="32589"/>
    <cellStyle name="Normal 43 6" xfId="32590"/>
    <cellStyle name="Normal 43 6 2" xfId="32591"/>
    <cellStyle name="Normal 43 6 2 2" xfId="32592"/>
    <cellStyle name="Normal 43 6 3" xfId="32593"/>
    <cellStyle name="Normal 43 7" xfId="32594"/>
    <cellStyle name="Normal 430" xfId="32595"/>
    <cellStyle name="Normal 430 10" xfId="32596"/>
    <cellStyle name="Normal 430 2" xfId="32597"/>
    <cellStyle name="Normal 430 2 2" xfId="32598"/>
    <cellStyle name="Normal 430 2 2 2" xfId="32599"/>
    <cellStyle name="Normal 430 2 2 2 2" xfId="32600"/>
    <cellStyle name="Normal 430 2 2 3" xfId="32601"/>
    <cellStyle name="Normal 430 2 2 3 2" xfId="32602"/>
    <cellStyle name="Normal 430 2 2 3 2 2" xfId="32603"/>
    <cellStyle name="Normal 430 2 2 3 3" xfId="32604"/>
    <cellStyle name="Normal 430 2 2 4" xfId="32605"/>
    <cellStyle name="Normal 430 2 3" xfId="32606"/>
    <cellStyle name="Normal 430 2 3 2" xfId="32607"/>
    <cellStyle name="Normal 430 2 3 2 2" xfId="32608"/>
    <cellStyle name="Normal 430 2 3 3" xfId="32609"/>
    <cellStyle name="Normal 430 2 4" xfId="32610"/>
    <cellStyle name="Normal 430 2 4 2" xfId="32611"/>
    <cellStyle name="Normal 430 2 4 2 2" xfId="32612"/>
    <cellStyle name="Normal 430 2 4 3" xfId="32613"/>
    <cellStyle name="Normal 430 2 5" xfId="32614"/>
    <cellStyle name="Normal 430 2 5 2" xfId="32615"/>
    <cellStyle name="Normal 430 2 5 2 2" xfId="32616"/>
    <cellStyle name="Normal 430 2 5 3" xfId="32617"/>
    <cellStyle name="Normal 430 2 6" xfId="32618"/>
    <cellStyle name="Normal 430 3" xfId="32619"/>
    <cellStyle name="Normal 430 3 2" xfId="32620"/>
    <cellStyle name="Normal 430 3 2 2" xfId="32621"/>
    <cellStyle name="Normal 430 3 3" xfId="32622"/>
    <cellStyle name="Normal 430 3 3 2" xfId="32623"/>
    <cellStyle name="Normal 430 3 3 2 2" xfId="32624"/>
    <cellStyle name="Normal 430 3 3 3" xfId="32625"/>
    <cellStyle name="Normal 430 3 4" xfId="32626"/>
    <cellStyle name="Normal 430 3 4 2" xfId="32627"/>
    <cellStyle name="Normal 430 3 4 2 2" xfId="32628"/>
    <cellStyle name="Normal 430 3 4 3" xfId="32629"/>
    <cellStyle name="Normal 430 3 5" xfId="32630"/>
    <cellStyle name="Normal 430 4" xfId="32631"/>
    <cellStyle name="Normal 430 4 2" xfId="32632"/>
    <cellStyle name="Normal 430 4 2 2" xfId="32633"/>
    <cellStyle name="Normal 430 4 2 2 2" xfId="32634"/>
    <cellStyle name="Normal 430 4 2 3" xfId="32635"/>
    <cellStyle name="Normal 430 4 2 3 2" xfId="32636"/>
    <cellStyle name="Normal 430 4 2 3 2 2" xfId="32637"/>
    <cellStyle name="Normal 430 4 2 3 3" xfId="32638"/>
    <cellStyle name="Normal 430 4 2 4" xfId="32639"/>
    <cellStyle name="Normal 430 4 3" xfId="32640"/>
    <cellStyle name="Normal 430 4 3 2" xfId="32641"/>
    <cellStyle name="Normal 430 4 3 2 2" xfId="32642"/>
    <cellStyle name="Normal 430 4 3 3" xfId="32643"/>
    <cellStyle name="Normal 430 4 4" xfId="32644"/>
    <cellStyle name="Normal 430 4 4 2" xfId="32645"/>
    <cellStyle name="Normal 430 4 4 2 2" xfId="32646"/>
    <cellStyle name="Normal 430 4 4 3" xfId="32647"/>
    <cellStyle name="Normal 430 4 5" xfId="32648"/>
    <cellStyle name="Normal 430 4 5 2" xfId="32649"/>
    <cellStyle name="Normal 430 4 5 2 2" xfId="32650"/>
    <cellStyle name="Normal 430 4 5 3" xfId="32651"/>
    <cellStyle name="Normal 430 4 6" xfId="32652"/>
    <cellStyle name="Normal 430 5" xfId="32653"/>
    <cellStyle name="Normal 430 5 2" xfId="32654"/>
    <cellStyle name="Normal 430 5 2 2" xfId="32655"/>
    <cellStyle name="Normal 430 5 3" xfId="32656"/>
    <cellStyle name="Normal 430 6" xfId="32657"/>
    <cellStyle name="Normal 430 6 2" xfId="32658"/>
    <cellStyle name="Normal 430 6 2 2" xfId="32659"/>
    <cellStyle name="Normal 430 6 3" xfId="32660"/>
    <cellStyle name="Normal 430 7" xfId="32661"/>
    <cellStyle name="Normal 430 7 2" xfId="32662"/>
    <cellStyle name="Normal 430 7 2 2" xfId="32663"/>
    <cellStyle name="Normal 430 7 3" xfId="32664"/>
    <cellStyle name="Normal 430 8" xfId="32665"/>
    <cellStyle name="Normal 430 8 2" xfId="32666"/>
    <cellStyle name="Normal 430 8 2 2" xfId="32667"/>
    <cellStyle name="Normal 430 8 3" xfId="32668"/>
    <cellStyle name="Normal 430 8 3 2" xfId="32669"/>
    <cellStyle name="Normal 430 8 4" xfId="32670"/>
    <cellStyle name="Normal 430 9" xfId="32671"/>
    <cellStyle name="Normal 431" xfId="32672"/>
    <cellStyle name="Normal 431 10" xfId="32673"/>
    <cellStyle name="Normal 431 2" xfId="32674"/>
    <cellStyle name="Normal 431 2 2" xfId="32675"/>
    <cellStyle name="Normal 431 2 2 2" xfId="32676"/>
    <cellStyle name="Normal 431 2 2 2 2" xfId="32677"/>
    <cellStyle name="Normal 431 2 2 3" xfId="32678"/>
    <cellStyle name="Normal 431 2 2 3 2" xfId="32679"/>
    <cellStyle name="Normal 431 2 2 3 2 2" xfId="32680"/>
    <cellStyle name="Normal 431 2 2 3 3" xfId="32681"/>
    <cellStyle name="Normal 431 2 2 4" xfId="32682"/>
    <cellStyle name="Normal 431 2 3" xfId="32683"/>
    <cellStyle name="Normal 431 2 3 2" xfId="32684"/>
    <cellStyle name="Normal 431 2 3 2 2" xfId="32685"/>
    <cellStyle name="Normal 431 2 3 3" xfId="32686"/>
    <cellStyle name="Normal 431 2 4" xfId="32687"/>
    <cellStyle name="Normal 431 2 4 2" xfId="32688"/>
    <cellStyle name="Normal 431 2 4 2 2" xfId="32689"/>
    <cellStyle name="Normal 431 2 4 3" xfId="32690"/>
    <cellStyle name="Normal 431 2 5" xfId="32691"/>
    <cellStyle name="Normal 431 2 5 2" xfId="32692"/>
    <cellStyle name="Normal 431 2 5 2 2" xfId="32693"/>
    <cellStyle name="Normal 431 2 5 3" xfId="32694"/>
    <cellStyle name="Normal 431 2 6" xfId="32695"/>
    <cellStyle name="Normal 431 3" xfId="32696"/>
    <cellStyle name="Normal 431 3 2" xfId="32697"/>
    <cellStyle name="Normal 431 3 2 2" xfId="32698"/>
    <cellStyle name="Normal 431 3 3" xfId="32699"/>
    <cellStyle name="Normal 431 3 3 2" xfId="32700"/>
    <cellStyle name="Normal 431 3 3 2 2" xfId="32701"/>
    <cellStyle name="Normal 431 3 3 3" xfId="32702"/>
    <cellStyle name="Normal 431 3 4" xfId="32703"/>
    <cellStyle name="Normal 431 3 4 2" xfId="32704"/>
    <cellStyle name="Normal 431 3 4 2 2" xfId="32705"/>
    <cellStyle name="Normal 431 3 4 3" xfId="32706"/>
    <cellStyle name="Normal 431 3 5" xfId="32707"/>
    <cellStyle name="Normal 431 4" xfId="32708"/>
    <cellStyle name="Normal 431 4 2" xfId="32709"/>
    <cellStyle name="Normal 431 4 2 2" xfId="32710"/>
    <cellStyle name="Normal 431 4 2 2 2" xfId="32711"/>
    <cellStyle name="Normal 431 4 2 3" xfId="32712"/>
    <cellStyle name="Normal 431 4 2 3 2" xfId="32713"/>
    <cellStyle name="Normal 431 4 2 3 2 2" xfId="32714"/>
    <cellStyle name="Normal 431 4 2 3 3" xfId="32715"/>
    <cellStyle name="Normal 431 4 2 4" xfId="32716"/>
    <cellStyle name="Normal 431 4 3" xfId="32717"/>
    <cellStyle name="Normal 431 4 3 2" xfId="32718"/>
    <cellStyle name="Normal 431 4 3 2 2" xfId="32719"/>
    <cellStyle name="Normal 431 4 3 3" xfId="32720"/>
    <cellStyle name="Normal 431 4 4" xfId="32721"/>
    <cellStyle name="Normal 431 4 4 2" xfId="32722"/>
    <cellStyle name="Normal 431 4 4 2 2" xfId="32723"/>
    <cellStyle name="Normal 431 4 4 3" xfId="32724"/>
    <cellStyle name="Normal 431 4 5" xfId="32725"/>
    <cellStyle name="Normal 431 4 5 2" xfId="32726"/>
    <cellStyle name="Normal 431 4 5 2 2" xfId="32727"/>
    <cellStyle name="Normal 431 4 5 3" xfId="32728"/>
    <cellStyle name="Normal 431 4 6" xfId="32729"/>
    <cellStyle name="Normal 431 5" xfId="32730"/>
    <cellStyle name="Normal 431 5 2" xfId="32731"/>
    <cellStyle name="Normal 431 5 2 2" xfId="32732"/>
    <cellStyle name="Normal 431 5 3" xfId="32733"/>
    <cellStyle name="Normal 431 6" xfId="32734"/>
    <cellStyle name="Normal 431 6 2" xfId="32735"/>
    <cellStyle name="Normal 431 6 2 2" xfId="32736"/>
    <cellStyle name="Normal 431 6 3" xfId="32737"/>
    <cellStyle name="Normal 431 7" xfId="32738"/>
    <cellStyle name="Normal 431 7 2" xfId="32739"/>
    <cellStyle name="Normal 431 7 2 2" xfId="32740"/>
    <cellStyle name="Normal 431 7 3" xfId="32741"/>
    <cellStyle name="Normal 431 8" xfId="32742"/>
    <cellStyle name="Normal 431 8 2" xfId="32743"/>
    <cellStyle name="Normal 431 8 2 2" xfId="32744"/>
    <cellStyle name="Normal 431 8 3" xfId="32745"/>
    <cellStyle name="Normal 431 8 3 2" xfId="32746"/>
    <cellStyle name="Normal 431 8 4" xfId="32747"/>
    <cellStyle name="Normal 431 9" xfId="32748"/>
    <cellStyle name="Normal 432" xfId="32749"/>
    <cellStyle name="Normal 432 10" xfId="32750"/>
    <cellStyle name="Normal 432 2" xfId="32751"/>
    <cellStyle name="Normal 432 2 2" xfId="32752"/>
    <cellStyle name="Normal 432 2 2 2" xfId="32753"/>
    <cellStyle name="Normal 432 2 2 2 2" xfId="32754"/>
    <cellStyle name="Normal 432 2 2 3" xfId="32755"/>
    <cellStyle name="Normal 432 2 2 3 2" xfId="32756"/>
    <cellStyle name="Normal 432 2 2 3 2 2" xfId="32757"/>
    <cellStyle name="Normal 432 2 2 3 3" xfId="32758"/>
    <cellStyle name="Normal 432 2 2 4" xfId="32759"/>
    <cellStyle name="Normal 432 2 3" xfId="32760"/>
    <cellStyle name="Normal 432 2 3 2" xfId="32761"/>
    <cellStyle name="Normal 432 2 3 2 2" xfId="32762"/>
    <cellStyle name="Normal 432 2 3 3" xfId="32763"/>
    <cellStyle name="Normal 432 2 4" xfId="32764"/>
    <cellStyle name="Normal 432 2 4 2" xfId="32765"/>
    <cellStyle name="Normal 432 2 4 2 2" xfId="32766"/>
    <cellStyle name="Normal 432 2 4 3" xfId="32767"/>
    <cellStyle name="Normal 432 2 5" xfId="32768"/>
    <cellStyle name="Normal 432 2 5 2" xfId="32769"/>
    <cellStyle name="Normal 432 2 5 2 2" xfId="32770"/>
    <cellStyle name="Normal 432 2 5 3" xfId="32771"/>
    <cellStyle name="Normal 432 2 6" xfId="32772"/>
    <cellStyle name="Normal 432 3" xfId="32773"/>
    <cellStyle name="Normal 432 3 2" xfId="32774"/>
    <cellStyle name="Normal 432 3 2 2" xfId="32775"/>
    <cellStyle name="Normal 432 3 3" xfId="32776"/>
    <cellStyle name="Normal 432 3 3 2" xfId="32777"/>
    <cellStyle name="Normal 432 3 3 2 2" xfId="32778"/>
    <cellStyle name="Normal 432 3 3 3" xfId="32779"/>
    <cellStyle name="Normal 432 3 4" xfId="32780"/>
    <cellStyle name="Normal 432 3 4 2" xfId="32781"/>
    <cellStyle name="Normal 432 3 4 2 2" xfId="32782"/>
    <cellStyle name="Normal 432 3 4 3" xfId="32783"/>
    <cellStyle name="Normal 432 3 5" xfId="32784"/>
    <cellStyle name="Normal 432 4" xfId="32785"/>
    <cellStyle name="Normal 432 4 2" xfId="32786"/>
    <cellStyle name="Normal 432 4 2 2" xfId="32787"/>
    <cellStyle name="Normal 432 4 2 2 2" xfId="32788"/>
    <cellStyle name="Normal 432 4 2 3" xfId="32789"/>
    <cellStyle name="Normal 432 4 2 3 2" xfId="32790"/>
    <cellStyle name="Normal 432 4 2 3 2 2" xfId="32791"/>
    <cellStyle name="Normal 432 4 2 3 3" xfId="32792"/>
    <cellStyle name="Normal 432 4 2 4" xfId="32793"/>
    <cellStyle name="Normal 432 4 3" xfId="32794"/>
    <cellStyle name="Normal 432 4 3 2" xfId="32795"/>
    <cellStyle name="Normal 432 4 3 2 2" xfId="32796"/>
    <cellStyle name="Normal 432 4 3 3" xfId="32797"/>
    <cellStyle name="Normal 432 4 4" xfId="32798"/>
    <cellStyle name="Normal 432 4 4 2" xfId="32799"/>
    <cellStyle name="Normal 432 4 4 2 2" xfId="32800"/>
    <cellStyle name="Normal 432 4 4 3" xfId="32801"/>
    <cellStyle name="Normal 432 4 5" xfId="32802"/>
    <cellStyle name="Normal 432 4 5 2" xfId="32803"/>
    <cellStyle name="Normal 432 4 5 2 2" xfId="32804"/>
    <cellStyle name="Normal 432 4 5 3" xfId="32805"/>
    <cellStyle name="Normal 432 4 6" xfId="32806"/>
    <cellStyle name="Normal 432 5" xfId="32807"/>
    <cellStyle name="Normal 432 5 2" xfId="32808"/>
    <cellStyle name="Normal 432 5 2 2" xfId="32809"/>
    <cellStyle name="Normal 432 5 3" xfId="32810"/>
    <cellStyle name="Normal 432 6" xfId="32811"/>
    <cellStyle name="Normal 432 6 2" xfId="32812"/>
    <cellStyle name="Normal 432 6 2 2" xfId="32813"/>
    <cellStyle name="Normal 432 6 3" xfId="32814"/>
    <cellStyle name="Normal 432 7" xfId="32815"/>
    <cellStyle name="Normal 432 7 2" xfId="32816"/>
    <cellStyle name="Normal 432 7 2 2" xfId="32817"/>
    <cellStyle name="Normal 432 7 3" xfId="32818"/>
    <cellStyle name="Normal 432 8" xfId="32819"/>
    <cellStyle name="Normal 432 8 2" xfId="32820"/>
    <cellStyle name="Normal 432 8 2 2" xfId="32821"/>
    <cellStyle name="Normal 432 8 3" xfId="32822"/>
    <cellStyle name="Normal 432 8 3 2" xfId="32823"/>
    <cellStyle name="Normal 432 8 4" xfId="32824"/>
    <cellStyle name="Normal 432 9" xfId="32825"/>
    <cellStyle name="Normal 433" xfId="32826"/>
    <cellStyle name="Normal 433 10" xfId="32827"/>
    <cellStyle name="Normal 433 2" xfId="32828"/>
    <cellStyle name="Normal 433 2 2" xfId="32829"/>
    <cellStyle name="Normal 433 2 2 2" xfId="32830"/>
    <cellStyle name="Normal 433 2 2 2 2" xfId="32831"/>
    <cellStyle name="Normal 433 2 2 3" xfId="32832"/>
    <cellStyle name="Normal 433 2 2 3 2" xfId="32833"/>
    <cellStyle name="Normal 433 2 2 3 2 2" xfId="32834"/>
    <cellStyle name="Normal 433 2 2 3 3" xfId="32835"/>
    <cellStyle name="Normal 433 2 2 4" xfId="32836"/>
    <cellStyle name="Normal 433 2 3" xfId="32837"/>
    <cellStyle name="Normal 433 2 3 2" xfId="32838"/>
    <cellStyle name="Normal 433 2 3 2 2" xfId="32839"/>
    <cellStyle name="Normal 433 2 3 3" xfId="32840"/>
    <cellStyle name="Normal 433 2 4" xfId="32841"/>
    <cellStyle name="Normal 433 2 4 2" xfId="32842"/>
    <cellStyle name="Normal 433 2 4 2 2" xfId="32843"/>
    <cellStyle name="Normal 433 2 4 3" xfId="32844"/>
    <cellStyle name="Normal 433 2 5" xfId="32845"/>
    <cellStyle name="Normal 433 2 5 2" xfId="32846"/>
    <cellStyle name="Normal 433 2 5 2 2" xfId="32847"/>
    <cellStyle name="Normal 433 2 5 3" xfId="32848"/>
    <cellStyle name="Normal 433 2 6" xfId="32849"/>
    <cellStyle name="Normal 433 3" xfId="32850"/>
    <cellStyle name="Normal 433 3 2" xfId="32851"/>
    <cellStyle name="Normal 433 3 2 2" xfId="32852"/>
    <cellStyle name="Normal 433 3 3" xfId="32853"/>
    <cellStyle name="Normal 433 3 3 2" xfId="32854"/>
    <cellStyle name="Normal 433 3 3 2 2" xfId="32855"/>
    <cellStyle name="Normal 433 3 3 3" xfId="32856"/>
    <cellStyle name="Normal 433 3 4" xfId="32857"/>
    <cellStyle name="Normal 433 3 4 2" xfId="32858"/>
    <cellStyle name="Normal 433 3 4 2 2" xfId="32859"/>
    <cellStyle name="Normal 433 3 4 3" xfId="32860"/>
    <cellStyle name="Normal 433 3 5" xfId="32861"/>
    <cellStyle name="Normal 433 4" xfId="32862"/>
    <cellStyle name="Normal 433 4 2" xfId="32863"/>
    <cellStyle name="Normal 433 4 2 2" xfId="32864"/>
    <cellStyle name="Normal 433 4 2 2 2" xfId="32865"/>
    <cellStyle name="Normal 433 4 2 3" xfId="32866"/>
    <cellStyle name="Normal 433 4 2 3 2" xfId="32867"/>
    <cellStyle name="Normal 433 4 2 3 2 2" xfId="32868"/>
    <cellStyle name="Normal 433 4 2 3 3" xfId="32869"/>
    <cellStyle name="Normal 433 4 2 4" xfId="32870"/>
    <cellStyle name="Normal 433 4 3" xfId="32871"/>
    <cellStyle name="Normal 433 4 3 2" xfId="32872"/>
    <cellStyle name="Normal 433 4 3 2 2" xfId="32873"/>
    <cellStyle name="Normal 433 4 3 3" xfId="32874"/>
    <cellStyle name="Normal 433 4 4" xfId="32875"/>
    <cellStyle name="Normal 433 4 4 2" xfId="32876"/>
    <cellStyle name="Normal 433 4 4 2 2" xfId="32877"/>
    <cellStyle name="Normal 433 4 4 3" xfId="32878"/>
    <cellStyle name="Normal 433 4 5" xfId="32879"/>
    <cellStyle name="Normal 433 4 5 2" xfId="32880"/>
    <cellStyle name="Normal 433 4 5 2 2" xfId="32881"/>
    <cellStyle name="Normal 433 4 5 3" xfId="32882"/>
    <cellStyle name="Normal 433 4 6" xfId="32883"/>
    <cellStyle name="Normal 433 5" xfId="32884"/>
    <cellStyle name="Normal 433 5 2" xfId="32885"/>
    <cellStyle name="Normal 433 5 2 2" xfId="32886"/>
    <cellStyle name="Normal 433 5 3" xfId="32887"/>
    <cellStyle name="Normal 433 6" xfId="32888"/>
    <cellStyle name="Normal 433 6 2" xfId="32889"/>
    <cellStyle name="Normal 433 6 2 2" xfId="32890"/>
    <cellStyle name="Normal 433 6 3" xfId="32891"/>
    <cellStyle name="Normal 433 7" xfId="32892"/>
    <cellStyle name="Normal 433 7 2" xfId="32893"/>
    <cellStyle name="Normal 433 7 2 2" xfId="32894"/>
    <cellStyle name="Normal 433 7 3" xfId="32895"/>
    <cellStyle name="Normal 433 8" xfId="32896"/>
    <cellStyle name="Normal 433 8 2" xfId="32897"/>
    <cellStyle name="Normal 433 8 2 2" xfId="32898"/>
    <cellStyle name="Normal 433 8 3" xfId="32899"/>
    <cellStyle name="Normal 433 8 3 2" xfId="32900"/>
    <cellStyle name="Normal 433 8 4" xfId="32901"/>
    <cellStyle name="Normal 433 9" xfId="32902"/>
    <cellStyle name="Normal 434" xfId="32903"/>
    <cellStyle name="Normal 434 10" xfId="32904"/>
    <cellStyle name="Normal 434 2" xfId="32905"/>
    <cellStyle name="Normal 434 2 2" xfId="32906"/>
    <cellStyle name="Normal 434 2 2 2" xfId="32907"/>
    <cellStyle name="Normal 434 2 2 2 2" xfId="32908"/>
    <cellStyle name="Normal 434 2 2 3" xfId="32909"/>
    <cellStyle name="Normal 434 2 2 3 2" xfId="32910"/>
    <cellStyle name="Normal 434 2 2 3 2 2" xfId="32911"/>
    <cellStyle name="Normal 434 2 2 3 3" xfId="32912"/>
    <cellStyle name="Normal 434 2 2 4" xfId="32913"/>
    <cellStyle name="Normal 434 2 3" xfId="32914"/>
    <cellStyle name="Normal 434 2 3 2" xfId="32915"/>
    <cellStyle name="Normal 434 2 3 2 2" xfId="32916"/>
    <cellStyle name="Normal 434 2 3 3" xfId="32917"/>
    <cellStyle name="Normal 434 2 4" xfId="32918"/>
    <cellStyle name="Normal 434 2 4 2" xfId="32919"/>
    <cellStyle name="Normal 434 2 4 2 2" xfId="32920"/>
    <cellStyle name="Normal 434 2 4 3" xfId="32921"/>
    <cellStyle name="Normal 434 2 5" xfId="32922"/>
    <cellStyle name="Normal 434 2 5 2" xfId="32923"/>
    <cellStyle name="Normal 434 2 5 2 2" xfId="32924"/>
    <cellStyle name="Normal 434 2 5 3" xfId="32925"/>
    <cellStyle name="Normal 434 2 6" xfId="32926"/>
    <cellStyle name="Normal 434 3" xfId="32927"/>
    <cellStyle name="Normal 434 3 2" xfId="32928"/>
    <cellStyle name="Normal 434 3 2 2" xfId="32929"/>
    <cellStyle name="Normal 434 3 3" xfId="32930"/>
    <cellStyle name="Normal 434 3 3 2" xfId="32931"/>
    <cellStyle name="Normal 434 3 3 2 2" xfId="32932"/>
    <cellStyle name="Normal 434 3 3 3" xfId="32933"/>
    <cellStyle name="Normal 434 3 4" xfId="32934"/>
    <cellStyle name="Normal 434 3 4 2" xfId="32935"/>
    <cellStyle name="Normal 434 3 4 2 2" xfId="32936"/>
    <cellStyle name="Normal 434 3 4 3" xfId="32937"/>
    <cellStyle name="Normal 434 3 5" xfId="32938"/>
    <cellStyle name="Normal 434 4" xfId="32939"/>
    <cellStyle name="Normal 434 4 2" xfId="32940"/>
    <cellStyle name="Normal 434 4 2 2" xfId="32941"/>
    <cellStyle name="Normal 434 4 2 2 2" xfId="32942"/>
    <cellStyle name="Normal 434 4 2 3" xfId="32943"/>
    <cellStyle name="Normal 434 4 2 3 2" xfId="32944"/>
    <cellStyle name="Normal 434 4 2 3 2 2" xfId="32945"/>
    <cellStyle name="Normal 434 4 2 3 3" xfId="32946"/>
    <cellStyle name="Normal 434 4 2 4" xfId="32947"/>
    <cellStyle name="Normal 434 4 3" xfId="32948"/>
    <cellStyle name="Normal 434 4 3 2" xfId="32949"/>
    <cellStyle name="Normal 434 4 3 2 2" xfId="32950"/>
    <cellStyle name="Normal 434 4 3 3" xfId="32951"/>
    <cellStyle name="Normal 434 4 4" xfId="32952"/>
    <cellStyle name="Normal 434 4 4 2" xfId="32953"/>
    <cellStyle name="Normal 434 4 4 2 2" xfId="32954"/>
    <cellStyle name="Normal 434 4 4 3" xfId="32955"/>
    <cellStyle name="Normal 434 4 5" xfId="32956"/>
    <cellStyle name="Normal 434 4 5 2" xfId="32957"/>
    <cellStyle name="Normal 434 4 5 2 2" xfId="32958"/>
    <cellStyle name="Normal 434 4 5 3" xfId="32959"/>
    <cellStyle name="Normal 434 4 6" xfId="32960"/>
    <cellStyle name="Normal 434 5" xfId="32961"/>
    <cellStyle name="Normal 434 5 2" xfId="32962"/>
    <cellStyle name="Normal 434 5 2 2" xfId="32963"/>
    <cellStyle name="Normal 434 5 3" xfId="32964"/>
    <cellStyle name="Normal 434 6" xfId="32965"/>
    <cellStyle name="Normal 434 6 2" xfId="32966"/>
    <cellStyle name="Normal 434 6 2 2" xfId="32967"/>
    <cellStyle name="Normal 434 6 3" xfId="32968"/>
    <cellStyle name="Normal 434 7" xfId="32969"/>
    <cellStyle name="Normal 434 7 2" xfId="32970"/>
    <cellStyle name="Normal 434 7 2 2" xfId="32971"/>
    <cellStyle name="Normal 434 7 3" xfId="32972"/>
    <cellStyle name="Normal 434 8" xfId="32973"/>
    <cellStyle name="Normal 434 8 2" xfId="32974"/>
    <cellStyle name="Normal 434 8 2 2" xfId="32975"/>
    <cellStyle name="Normal 434 8 3" xfId="32976"/>
    <cellStyle name="Normal 434 8 3 2" xfId="32977"/>
    <cellStyle name="Normal 434 8 4" xfId="32978"/>
    <cellStyle name="Normal 434 9" xfId="32979"/>
    <cellStyle name="Normal 435" xfId="32980"/>
    <cellStyle name="Normal 435 10" xfId="32981"/>
    <cellStyle name="Normal 435 2" xfId="32982"/>
    <cellStyle name="Normal 435 2 2" xfId="32983"/>
    <cellStyle name="Normal 435 2 2 2" xfId="32984"/>
    <cellStyle name="Normal 435 2 2 2 2" xfId="32985"/>
    <cellStyle name="Normal 435 2 2 3" xfId="32986"/>
    <cellStyle name="Normal 435 2 2 3 2" xfId="32987"/>
    <cellStyle name="Normal 435 2 2 3 2 2" xfId="32988"/>
    <cellStyle name="Normal 435 2 2 3 3" xfId="32989"/>
    <cellStyle name="Normal 435 2 2 4" xfId="32990"/>
    <cellStyle name="Normal 435 2 3" xfId="32991"/>
    <cellStyle name="Normal 435 2 3 2" xfId="32992"/>
    <cellStyle name="Normal 435 2 3 2 2" xfId="32993"/>
    <cellStyle name="Normal 435 2 3 3" xfId="32994"/>
    <cellStyle name="Normal 435 2 4" xfId="32995"/>
    <cellStyle name="Normal 435 2 4 2" xfId="32996"/>
    <cellStyle name="Normal 435 2 4 2 2" xfId="32997"/>
    <cellStyle name="Normal 435 2 4 3" xfId="32998"/>
    <cellStyle name="Normal 435 2 5" xfId="32999"/>
    <cellStyle name="Normal 435 2 5 2" xfId="33000"/>
    <cellStyle name="Normal 435 2 5 2 2" xfId="33001"/>
    <cellStyle name="Normal 435 2 5 3" xfId="33002"/>
    <cellStyle name="Normal 435 2 6" xfId="33003"/>
    <cellStyle name="Normal 435 3" xfId="33004"/>
    <cellStyle name="Normal 435 3 2" xfId="33005"/>
    <cellStyle name="Normal 435 3 2 2" xfId="33006"/>
    <cellStyle name="Normal 435 3 3" xfId="33007"/>
    <cellStyle name="Normal 435 3 3 2" xfId="33008"/>
    <cellStyle name="Normal 435 3 3 2 2" xfId="33009"/>
    <cellStyle name="Normal 435 3 3 3" xfId="33010"/>
    <cellStyle name="Normal 435 3 4" xfId="33011"/>
    <cellStyle name="Normal 435 3 4 2" xfId="33012"/>
    <cellStyle name="Normal 435 3 4 2 2" xfId="33013"/>
    <cellStyle name="Normal 435 3 4 3" xfId="33014"/>
    <cellStyle name="Normal 435 3 5" xfId="33015"/>
    <cellStyle name="Normal 435 4" xfId="33016"/>
    <cellStyle name="Normal 435 4 2" xfId="33017"/>
    <cellStyle name="Normal 435 4 2 2" xfId="33018"/>
    <cellStyle name="Normal 435 4 2 2 2" xfId="33019"/>
    <cellStyle name="Normal 435 4 2 3" xfId="33020"/>
    <cellStyle name="Normal 435 4 2 3 2" xfId="33021"/>
    <cellStyle name="Normal 435 4 2 3 2 2" xfId="33022"/>
    <cellStyle name="Normal 435 4 2 3 3" xfId="33023"/>
    <cellStyle name="Normal 435 4 2 4" xfId="33024"/>
    <cellStyle name="Normal 435 4 3" xfId="33025"/>
    <cellStyle name="Normal 435 4 3 2" xfId="33026"/>
    <cellStyle name="Normal 435 4 3 2 2" xfId="33027"/>
    <cellStyle name="Normal 435 4 3 3" xfId="33028"/>
    <cellStyle name="Normal 435 4 4" xfId="33029"/>
    <cellStyle name="Normal 435 4 4 2" xfId="33030"/>
    <cellStyle name="Normal 435 4 4 2 2" xfId="33031"/>
    <cellStyle name="Normal 435 4 4 3" xfId="33032"/>
    <cellStyle name="Normal 435 4 5" xfId="33033"/>
    <cellStyle name="Normal 435 4 5 2" xfId="33034"/>
    <cellStyle name="Normal 435 4 5 2 2" xfId="33035"/>
    <cellStyle name="Normal 435 4 5 3" xfId="33036"/>
    <cellStyle name="Normal 435 4 6" xfId="33037"/>
    <cellStyle name="Normal 435 5" xfId="33038"/>
    <cellStyle name="Normal 435 5 2" xfId="33039"/>
    <cellStyle name="Normal 435 5 2 2" xfId="33040"/>
    <cellStyle name="Normal 435 5 3" xfId="33041"/>
    <cellStyle name="Normal 435 6" xfId="33042"/>
    <cellStyle name="Normal 435 6 2" xfId="33043"/>
    <cellStyle name="Normal 435 6 2 2" xfId="33044"/>
    <cellStyle name="Normal 435 6 3" xfId="33045"/>
    <cellStyle name="Normal 435 7" xfId="33046"/>
    <cellStyle name="Normal 435 7 2" xfId="33047"/>
    <cellStyle name="Normal 435 7 2 2" xfId="33048"/>
    <cellStyle name="Normal 435 7 3" xfId="33049"/>
    <cellStyle name="Normal 435 8" xfId="33050"/>
    <cellStyle name="Normal 435 8 2" xfId="33051"/>
    <cellStyle name="Normal 435 8 2 2" xfId="33052"/>
    <cellStyle name="Normal 435 8 3" xfId="33053"/>
    <cellStyle name="Normal 435 8 3 2" xfId="33054"/>
    <cellStyle name="Normal 435 8 4" xfId="33055"/>
    <cellStyle name="Normal 435 9" xfId="33056"/>
    <cellStyle name="Normal 436" xfId="33057"/>
    <cellStyle name="Normal 436 10" xfId="33058"/>
    <cellStyle name="Normal 436 2" xfId="33059"/>
    <cellStyle name="Normal 436 2 2" xfId="33060"/>
    <cellStyle name="Normal 436 2 2 2" xfId="33061"/>
    <cellStyle name="Normal 436 2 2 2 2" xfId="33062"/>
    <cellStyle name="Normal 436 2 2 3" xfId="33063"/>
    <cellStyle name="Normal 436 2 2 3 2" xfId="33064"/>
    <cellStyle name="Normal 436 2 2 3 2 2" xfId="33065"/>
    <cellStyle name="Normal 436 2 2 3 3" xfId="33066"/>
    <cellStyle name="Normal 436 2 2 4" xfId="33067"/>
    <cellStyle name="Normal 436 2 3" xfId="33068"/>
    <cellStyle name="Normal 436 2 3 2" xfId="33069"/>
    <cellStyle name="Normal 436 2 3 2 2" xfId="33070"/>
    <cellStyle name="Normal 436 2 3 3" xfId="33071"/>
    <cellStyle name="Normal 436 2 4" xfId="33072"/>
    <cellStyle name="Normal 436 2 4 2" xfId="33073"/>
    <cellStyle name="Normal 436 2 4 2 2" xfId="33074"/>
    <cellStyle name="Normal 436 2 4 3" xfId="33075"/>
    <cellStyle name="Normal 436 2 5" xfId="33076"/>
    <cellStyle name="Normal 436 2 5 2" xfId="33077"/>
    <cellStyle name="Normal 436 2 5 2 2" xfId="33078"/>
    <cellStyle name="Normal 436 2 5 3" xfId="33079"/>
    <cellStyle name="Normal 436 2 6" xfId="33080"/>
    <cellStyle name="Normal 436 3" xfId="33081"/>
    <cellStyle name="Normal 436 3 2" xfId="33082"/>
    <cellStyle name="Normal 436 3 2 2" xfId="33083"/>
    <cellStyle name="Normal 436 3 3" xfId="33084"/>
    <cellStyle name="Normal 436 3 3 2" xfId="33085"/>
    <cellStyle name="Normal 436 3 3 2 2" xfId="33086"/>
    <cellStyle name="Normal 436 3 3 3" xfId="33087"/>
    <cellStyle name="Normal 436 3 4" xfId="33088"/>
    <cellStyle name="Normal 436 3 4 2" xfId="33089"/>
    <cellStyle name="Normal 436 3 4 2 2" xfId="33090"/>
    <cellStyle name="Normal 436 3 4 3" xfId="33091"/>
    <cellStyle name="Normal 436 3 5" xfId="33092"/>
    <cellStyle name="Normal 436 4" xfId="33093"/>
    <cellStyle name="Normal 436 4 2" xfId="33094"/>
    <cellStyle name="Normal 436 4 2 2" xfId="33095"/>
    <cellStyle name="Normal 436 4 2 2 2" xfId="33096"/>
    <cellStyle name="Normal 436 4 2 3" xfId="33097"/>
    <cellStyle name="Normal 436 4 2 3 2" xfId="33098"/>
    <cellStyle name="Normal 436 4 2 3 2 2" xfId="33099"/>
    <cellStyle name="Normal 436 4 2 3 3" xfId="33100"/>
    <cellStyle name="Normal 436 4 2 4" xfId="33101"/>
    <cellStyle name="Normal 436 4 3" xfId="33102"/>
    <cellStyle name="Normal 436 4 3 2" xfId="33103"/>
    <cellStyle name="Normal 436 4 3 2 2" xfId="33104"/>
    <cellStyle name="Normal 436 4 3 3" xfId="33105"/>
    <cellStyle name="Normal 436 4 4" xfId="33106"/>
    <cellStyle name="Normal 436 4 4 2" xfId="33107"/>
    <cellStyle name="Normal 436 4 4 2 2" xfId="33108"/>
    <cellStyle name="Normal 436 4 4 3" xfId="33109"/>
    <cellStyle name="Normal 436 4 5" xfId="33110"/>
    <cellStyle name="Normal 436 4 5 2" xfId="33111"/>
    <cellStyle name="Normal 436 4 5 2 2" xfId="33112"/>
    <cellStyle name="Normal 436 4 5 3" xfId="33113"/>
    <cellStyle name="Normal 436 4 6" xfId="33114"/>
    <cellStyle name="Normal 436 5" xfId="33115"/>
    <cellStyle name="Normal 436 5 2" xfId="33116"/>
    <cellStyle name="Normal 436 5 2 2" xfId="33117"/>
    <cellStyle name="Normal 436 5 3" xfId="33118"/>
    <cellStyle name="Normal 436 6" xfId="33119"/>
    <cellStyle name="Normal 436 6 2" xfId="33120"/>
    <cellStyle name="Normal 436 6 2 2" xfId="33121"/>
    <cellStyle name="Normal 436 6 3" xfId="33122"/>
    <cellStyle name="Normal 436 7" xfId="33123"/>
    <cellStyle name="Normal 436 7 2" xfId="33124"/>
    <cellStyle name="Normal 436 7 2 2" xfId="33125"/>
    <cellStyle name="Normal 436 7 3" xfId="33126"/>
    <cellStyle name="Normal 436 8" xfId="33127"/>
    <cellStyle name="Normal 436 8 2" xfId="33128"/>
    <cellStyle name="Normal 436 8 2 2" xfId="33129"/>
    <cellStyle name="Normal 436 8 3" xfId="33130"/>
    <cellStyle name="Normal 436 8 3 2" xfId="33131"/>
    <cellStyle name="Normal 436 8 4" xfId="33132"/>
    <cellStyle name="Normal 436 9" xfId="33133"/>
    <cellStyle name="Normal 437" xfId="33134"/>
    <cellStyle name="Normal 437 10" xfId="33135"/>
    <cellStyle name="Normal 437 2" xfId="33136"/>
    <cellStyle name="Normal 437 2 2" xfId="33137"/>
    <cellStyle name="Normal 437 2 2 2" xfId="33138"/>
    <cellStyle name="Normal 437 2 2 2 2" xfId="33139"/>
    <cellStyle name="Normal 437 2 2 3" xfId="33140"/>
    <cellStyle name="Normal 437 2 2 3 2" xfId="33141"/>
    <cellStyle name="Normal 437 2 2 3 2 2" xfId="33142"/>
    <cellStyle name="Normal 437 2 2 3 3" xfId="33143"/>
    <cellStyle name="Normal 437 2 2 4" xfId="33144"/>
    <cellStyle name="Normal 437 2 3" xfId="33145"/>
    <cellStyle name="Normal 437 2 3 2" xfId="33146"/>
    <cellStyle name="Normal 437 2 3 2 2" xfId="33147"/>
    <cellStyle name="Normal 437 2 3 3" xfId="33148"/>
    <cellStyle name="Normal 437 2 4" xfId="33149"/>
    <cellStyle name="Normal 437 2 4 2" xfId="33150"/>
    <cellStyle name="Normal 437 2 4 2 2" xfId="33151"/>
    <cellStyle name="Normal 437 2 4 3" xfId="33152"/>
    <cellStyle name="Normal 437 2 5" xfId="33153"/>
    <cellStyle name="Normal 437 2 5 2" xfId="33154"/>
    <cellStyle name="Normal 437 2 5 2 2" xfId="33155"/>
    <cellStyle name="Normal 437 2 5 3" xfId="33156"/>
    <cellStyle name="Normal 437 2 6" xfId="33157"/>
    <cellStyle name="Normal 437 3" xfId="33158"/>
    <cellStyle name="Normal 437 3 2" xfId="33159"/>
    <cellStyle name="Normal 437 3 2 2" xfId="33160"/>
    <cellStyle name="Normal 437 3 3" xfId="33161"/>
    <cellStyle name="Normal 437 3 3 2" xfId="33162"/>
    <cellStyle name="Normal 437 3 3 2 2" xfId="33163"/>
    <cellStyle name="Normal 437 3 3 3" xfId="33164"/>
    <cellStyle name="Normal 437 3 4" xfId="33165"/>
    <cellStyle name="Normal 437 3 4 2" xfId="33166"/>
    <cellStyle name="Normal 437 3 4 2 2" xfId="33167"/>
    <cellStyle name="Normal 437 3 4 3" xfId="33168"/>
    <cellStyle name="Normal 437 3 5" xfId="33169"/>
    <cellStyle name="Normal 437 4" xfId="33170"/>
    <cellStyle name="Normal 437 4 2" xfId="33171"/>
    <cellStyle name="Normal 437 4 2 2" xfId="33172"/>
    <cellStyle name="Normal 437 4 2 2 2" xfId="33173"/>
    <cellStyle name="Normal 437 4 2 3" xfId="33174"/>
    <cellStyle name="Normal 437 4 2 3 2" xfId="33175"/>
    <cellStyle name="Normal 437 4 2 3 2 2" xfId="33176"/>
    <cellStyle name="Normal 437 4 2 3 3" xfId="33177"/>
    <cellStyle name="Normal 437 4 2 4" xfId="33178"/>
    <cellStyle name="Normal 437 4 3" xfId="33179"/>
    <cellStyle name="Normal 437 4 3 2" xfId="33180"/>
    <cellStyle name="Normal 437 4 3 2 2" xfId="33181"/>
    <cellStyle name="Normal 437 4 3 3" xfId="33182"/>
    <cellStyle name="Normal 437 4 4" xfId="33183"/>
    <cellStyle name="Normal 437 4 4 2" xfId="33184"/>
    <cellStyle name="Normal 437 4 4 2 2" xfId="33185"/>
    <cellStyle name="Normal 437 4 4 3" xfId="33186"/>
    <cellStyle name="Normal 437 4 5" xfId="33187"/>
    <cellStyle name="Normal 437 4 5 2" xfId="33188"/>
    <cellStyle name="Normal 437 4 5 2 2" xfId="33189"/>
    <cellStyle name="Normal 437 4 5 3" xfId="33190"/>
    <cellStyle name="Normal 437 4 6" xfId="33191"/>
    <cellStyle name="Normal 437 5" xfId="33192"/>
    <cellStyle name="Normal 437 5 2" xfId="33193"/>
    <cellStyle name="Normal 437 5 2 2" xfId="33194"/>
    <cellStyle name="Normal 437 5 3" xfId="33195"/>
    <cellStyle name="Normal 437 6" xfId="33196"/>
    <cellStyle name="Normal 437 6 2" xfId="33197"/>
    <cellStyle name="Normal 437 6 2 2" xfId="33198"/>
    <cellStyle name="Normal 437 6 3" xfId="33199"/>
    <cellStyle name="Normal 437 7" xfId="33200"/>
    <cellStyle name="Normal 437 7 2" xfId="33201"/>
    <cellStyle name="Normal 437 7 2 2" xfId="33202"/>
    <cellStyle name="Normal 437 7 3" xfId="33203"/>
    <cellStyle name="Normal 437 8" xfId="33204"/>
    <cellStyle name="Normal 437 8 2" xfId="33205"/>
    <cellStyle name="Normal 437 8 2 2" xfId="33206"/>
    <cellStyle name="Normal 437 8 3" xfId="33207"/>
    <cellStyle name="Normal 437 8 3 2" xfId="33208"/>
    <cellStyle name="Normal 437 8 4" xfId="33209"/>
    <cellStyle name="Normal 437 9" xfId="33210"/>
    <cellStyle name="Normal 438" xfId="33211"/>
    <cellStyle name="Normal 438 10" xfId="33212"/>
    <cellStyle name="Normal 438 2" xfId="33213"/>
    <cellStyle name="Normal 438 2 2" xfId="33214"/>
    <cellStyle name="Normal 438 2 2 2" xfId="33215"/>
    <cellStyle name="Normal 438 2 2 2 2" xfId="33216"/>
    <cellStyle name="Normal 438 2 2 3" xfId="33217"/>
    <cellStyle name="Normal 438 2 2 3 2" xfId="33218"/>
    <cellStyle name="Normal 438 2 2 3 2 2" xfId="33219"/>
    <cellStyle name="Normal 438 2 2 3 3" xfId="33220"/>
    <cellStyle name="Normal 438 2 2 4" xfId="33221"/>
    <cellStyle name="Normal 438 2 3" xfId="33222"/>
    <cellStyle name="Normal 438 2 3 2" xfId="33223"/>
    <cellStyle name="Normal 438 2 3 2 2" xfId="33224"/>
    <cellStyle name="Normal 438 2 3 3" xfId="33225"/>
    <cellStyle name="Normal 438 2 4" xfId="33226"/>
    <cellStyle name="Normal 438 2 4 2" xfId="33227"/>
    <cellStyle name="Normal 438 2 4 2 2" xfId="33228"/>
    <cellStyle name="Normal 438 2 4 3" xfId="33229"/>
    <cellStyle name="Normal 438 2 5" xfId="33230"/>
    <cellStyle name="Normal 438 2 5 2" xfId="33231"/>
    <cellStyle name="Normal 438 2 5 2 2" xfId="33232"/>
    <cellStyle name="Normal 438 2 5 3" xfId="33233"/>
    <cellStyle name="Normal 438 2 6" xfId="33234"/>
    <cellStyle name="Normal 438 3" xfId="33235"/>
    <cellStyle name="Normal 438 3 2" xfId="33236"/>
    <cellStyle name="Normal 438 3 2 2" xfId="33237"/>
    <cellStyle name="Normal 438 3 3" xfId="33238"/>
    <cellStyle name="Normal 438 3 3 2" xfId="33239"/>
    <cellStyle name="Normal 438 3 3 2 2" xfId="33240"/>
    <cellStyle name="Normal 438 3 3 3" xfId="33241"/>
    <cellStyle name="Normal 438 3 4" xfId="33242"/>
    <cellStyle name="Normal 438 3 4 2" xfId="33243"/>
    <cellStyle name="Normal 438 3 4 2 2" xfId="33244"/>
    <cellStyle name="Normal 438 3 4 3" xfId="33245"/>
    <cellStyle name="Normal 438 3 5" xfId="33246"/>
    <cellStyle name="Normal 438 4" xfId="33247"/>
    <cellStyle name="Normal 438 4 2" xfId="33248"/>
    <cellStyle name="Normal 438 4 2 2" xfId="33249"/>
    <cellStyle name="Normal 438 4 2 2 2" xfId="33250"/>
    <cellStyle name="Normal 438 4 2 3" xfId="33251"/>
    <cellStyle name="Normal 438 4 2 3 2" xfId="33252"/>
    <cellStyle name="Normal 438 4 2 3 2 2" xfId="33253"/>
    <cellStyle name="Normal 438 4 2 3 3" xfId="33254"/>
    <cellStyle name="Normal 438 4 2 4" xfId="33255"/>
    <cellStyle name="Normal 438 4 3" xfId="33256"/>
    <cellStyle name="Normal 438 4 3 2" xfId="33257"/>
    <cellStyle name="Normal 438 4 3 2 2" xfId="33258"/>
    <cellStyle name="Normal 438 4 3 3" xfId="33259"/>
    <cellStyle name="Normal 438 4 4" xfId="33260"/>
    <cellStyle name="Normal 438 4 4 2" xfId="33261"/>
    <cellStyle name="Normal 438 4 4 2 2" xfId="33262"/>
    <cellStyle name="Normal 438 4 4 3" xfId="33263"/>
    <cellStyle name="Normal 438 4 5" xfId="33264"/>
    <cellStyle name="Normal 438 4 5 2" xfId="33265"/>
    <cellStyle name="Normal 438 4 5 2 2" xfId="33266"/>
    <cellStyle name="Normal 438 4 5 3" xfId="33267"/>
    <cellStyle name="Normal 438 4 6" xfId="33268"/>
    <cellStyle name="Normal 438 5" xfId="33269"/>
    <cellStyle name="Normal 438 5 2" xfId="33270"/>
    <cellStyle name="Normal 438 5 2 2" xfId="33271"/>
    <cellStyle name="Normal 438 5 3" xfId="33272"/>
    <cellStyle name="Normal 438 6" xfId="33273"/>
    <cellStyle name="Normal 438 6 2" xfId="33274"/>
    <cellStyle name="Normal 438 6 2 2" xfId="33275"/>
    <cellStyle name="Normal 438 6 3" xfId="33276"/>
    <cellStyle name="Normal 438 7" xfId="33277"/>
    <cellStyle name="Normal 438 7 2" xfId="33278"/>
    <cellStyle name="Normal 438 7 2 2" xfId="33279"/>
    <cellStyle name="Normal 438 7 3" xfId="33280"/>
    <cellStyle name="Normal 438 8" xfId="33281"/>
    <cellStyle name="Normal 438 8 2" xfId="33282"/>
    <cellStyle name="Normal 438 8 2 2" xfId="33283"/>
    <cellStyle name="Normal 438 8 3" xfId="33284"/>
    <cellStyle name="Normal 438 8 3 2" xfId="33285"/>
    <cellStyle name="Normal 438 8 4" xfId="33286"/>
    <cellStyle name="Normal 438 9" xfId="33287"/>
    <cellStyle name="Normal 439" xfId="33288"/>
    <cellStyle name="Normal 439 10" xfId="33289"/>
    <cellStyle name="Normal 439 2" xfId="33290"/>
    <cellStyle name="Normal 439 2 2" xfId="33291"/>
    <cellStyle name="Normal 439 2 2 2" xfId="33292"/>
    <cellStyle name="Normal 439 2 2 2 2" xfId="33293"/>
    <cellStyle name="Normal 439 2 2 3" xfId="33294"/>
    <cellStyle name="Normal 439 2 2 3 2" xfId="33295"/>
    <cellStyle name="Normal 439 2 2 3 2 2" xfId="33296"/>
    <cellStyle name="Normal 439 2 2 3 3" xfId="33297"/>
    <cellStyle name="Normal 439 2 2 4" xfId="33298"/>
    <cellStyle name="Normal 439 2 3" xfId="33299"/>
    <cellStyle name="Normal 439 2 3 2" xfId="33300"/>
    <cellStyle name="Normal 439 2 3 2 2" xfId="33301"/>
    <cellStyle name="Normal 439 2 3 3" xfId="33302"/>
    <cellStyle name="Normal 439 2 4" xfId="33303"/>
    <cellStyle name="Normal 439 2 4 2" xfId="33304"/>
    <cellStyle name="Normal 439 2 4 2 2" xfId="33305"/>
    <cellStyle name="Normal 439 2 4 3" xfId="33306"/>
    <cellStyle name="Normal 439 2 5" xfId="33307"/>
    <cellStyle name="Normal 439 2 5 2" xfId="33308"/>
    <cellStyle name="Normal 439 2 5 2 2" xfId="33309"/>
    <cellStyle name="Normal 439 2 5 3" xfId="33310"/>
    <cellStyle name="Normal 439 2 6" xfId="33311"/>
    <cellStyle name="Normal 439 3" xfId="33312"/>
    <cellStyle name="Normal 439 3 2" xfId="33313"/>
    <cellStyle name="Normal 439 3 2 2" xfId="33314"/>
    <cellStyle name="Normal 439 3 3" xfId="33315"/>
    <cellStyle name="Normal 439 3 3 2" xfId="33316"/>
    <cellStyle name="Normal 439 3 3 2 2" xfId="33317"/>
    <cellStyle name="Normal 439 3 3 3" xfId="33318"/>
    <cellStyle name="Normal 439 3 4" xfId="33319"/>
    <cellStyle name="Normal 439 3 4 2" xfId="33320"/>
    <cellStyle name="Normal 439 3 4 2 2" xfId="33321"/>
    <cellStyle name="Normal 439 3 4 3" xfId="33322"/>
    <cellStyle name="Normal 439 3 5" xfId="33323"/>
    <cellStyle name="Normal 439 4" xfId="33324"/>
    <cellStyle name="Normal 439 4 2" xfId="33325"/>
    <cellStyle name="Normal 439 4 2 2" xfId="33326"/>
    <cellStyle name="Normal 439 4 2 2 2" xfId="33327"/>
    <cellStyle name="Normal 439 4 2 3" xfId="33328"/>
    <cellStyle name="Normal 439 4 2 3 2" xfId="33329"/>
    <cellStyle name="Normal 439 4 2 3 2 2" xfId="33330"/>
    <cellStyle name="Normal 439 4 2 3 3" xfId="33331"/>
    <cellStyle name="Normal 439 4 2 4" xfId="33332"/>
    <cellStyle name="Normal 439 4 3" xfId="33333"/>
    <cellStyle name="Normal 439 4 3 2" xfId="33334"/>
    <cellStyle name="Normal 439 4 3 2 2" xfId="33335"/>
    <cellStyle name="Normal 439 4 3 3" xfId="33336"/>
    <cellStyle name="Normal 439 4 4" xfId="33337"/>
    <cellStyle name="Normal 439 4 4 2" xfId="33338"/>
    <cellStyle name="Normal 439 4 4 2 2" xfId="33339"/>
    <cellStyle name="Normal 439 4 4 3" xfId="33340"/>
    <cellStyle name="Normal 439 4 5" xfId="33341"/>
    <cellStyle name="Normal 439 4 5 2" xfId="33342"/>
    <cellStyle name="Normal 439 4 5 2 2" xfId="33343"/>
    <cellStyle name="Normal 439 4 5 3" xfId="33344"/>
    <cellStyle name="Normal 439 4 6" xfId="33345"/>
    <cellStyle name="Normal 439 5" xfId="33346"/>
    <cellStyle name="Normal 439 5 2" xfId="33347"/>
    <cellStyle name="Normal 439 5 2 2" xfId="33348"/>
    <cellStyle name="Normal 439 5 3" xfId="33349"/>
    <cellStyle name="Normal 439 6" xfId="33350"/>
    <cellStyle name="Normal 439 6 2" xfId="33351"/>
    <cellStyle name="Normal 439 6 2 2" xfId="33352"/>
    <cellStyle name="Normal 439 6 3" xfId="33353"/>
    <cellStyle name="Normal 439 7" xfId="33354"/>
    <cellStyle name="Normal 439 7 2" xfId="33355"/>
    <cellStyle name="Normal 439 7 2 2" xfId="33356"/>
    <cellStyle name="Normal 439 7 3" xfId="33357"/>
    <cellStyle name="Normal 439 8" xfId="33358"/>
    <cellStyle name="Normal 439 8 2" xfId="33359"/>
    <cellStyle name="Normal 439 8 2 2" xfId="33360"/>
    <cellStyle name="Normal 439 8 3" xfId="33361"/>
    <cellStyle name="Normal 439 8 3 2" xfId="33362"/>
    <cellStyle name="Normal 439 8 4" xfId="33363"/>
    <cellStyle name="Normal 439 9" xfId="33364"/>
    <cellStyle name="Normal 44" xfId="33365"/>
    <cellStyle name="Normal 44 2" xfId="33366"/>
    <cellStyle name="Normal 44 2 2" xfId="33367"/>
    <cellStyle name="Normal 44 2 2 2" xfId="33368"/>
    <cellStyle name="Normal 44 2 2 2 2" xfId="33369"/>
    <cellStyle name="Normal 44 2 2 3" xfId="33370"/>
    <cellStyle name="Normal 44 2 2 3 2" xfId="33371"/>
    <cellStyle name="Normal 44 2 2 3 2 2" xfId="33372"/>
    <cellStyle name="Normal 44 2 2 3 3" xfId="33373"/>
    <cellStyle name="Normal 44 2 2 4" xfId="33374"/>
    <cellStyle name="Normal 44 2 2 4 2" xfId="33375"/>
    <cellStyle name="Normal 44 2 2 4 2 2" xfId="33376"/>
    <cellStyle name="Normal 44 2 2 4 3" xfId="33377"/>
    <cellStyle name="Normal 44 2 2 5" xfId="33378"/>
    <cellStyle name="Normal 44 2 3" xfId="33379"/>
    <cellStyle name="Normal 44 2 3 2" xfId="33380"/>
    <cellStyle name="Normal 44 2 3 2 2" xfId="33381"/>
    <cellStyle name="Normal 44 2 3 3" xfId="33382"/>
    <cellStyle name="Normal 44 2 4" xfId="33383"/>
    <cellStyle name="Normal 44 2 4 2" xfId="33384"/>
    <cellStyle name="Normal 44 2 4 2 2" xfId="33385"/>
    <cellStyle name="Normal 44 2 4 3" xfId="33386"/>
    <cellStyle name="Normal 44 2 5" xfId="33387"/>
    <cellStyle name="Normal 44 2 5 2" xfId="33388"/>
    <cellStyle name="Normal 44 2 5 2 2" xfId="33389"/>
    <cellStyle name="Normal 44 2 5 3" xfId="33390"/>
    <cellStyle name="Normal 44 2 6" xfId="33391"/>
    <cellStyle name="Normal 44 3" xfId="33392"/>
    <cellStyle name="Normal 44 3 2" xfId="33393"/>
    <cellStyle name="Normal 44 3 2 2" xfId="33394"/>
    <cellStyle name="Normal 44 3 3" xfId="33395"/>
    <cellStyle name="Normal 44 3 3 2" xfId="33396"/>
    <cellStyle name="Normal 44 3 3 2 2" xfId="33397"/>
    <cellStyle name="Normal 44 3 3 3" xfId="33398"/>
    <cellStyle name="Normal 44 3 4" xfId="33399"/>
    <cellStyle name="Normal 44 3 4 2" xfId="33400"/>
    <cellStyle name="Normal 44 3 4 2 2" xfId="33401"/>
    <cellStyle name="Normal 44 3 4 3" xfId="33402"/>
    <cellStyle name="Normal 44 3 5" xfId="33403"/>
    <cellStyle name="Normal 44 4" xfId="33404"/>
    <cellStyle name="Normal 44 4 2" xfId="33405"/>
    <cellStyle name="Normal 44 4 2 2" xfId="33406"/>
    <cellStyle name="Normal 44 4 3" xfId="33407"/>
    <cellStyle name="Normal 44 5" xfId="33408"/>
    <cellStyle name="Normal 44 5 2" xfId="33409"/>
    <cellStyle name="Normal 44 5 2 2" xfId="33410"/>
    <cellStyle name="Normal 44 5 3" xfId="33411"/>
    <cellStyle name="Normal 44 6" xfId="33412"/>
    <cellStyle name="Normal 44 6 2" xfId="33413"/>
    <cellStyle name="Normal 44 6 2 2" xfId="33414"/>
    <cellStyle name="Normal 44 6 3" xfId="33415"/>
    <cellStyle name="Normal 44 7" xfId="33416"/>
    <cellStyle name="Normal 440" xfId="33417"/>
    <cellStyle name="Normal 440 10" xfId="33418"/>
    <cellStyle name="Normal 440 2" xfId="33419"/>
    <cellStyle name="Normal 440 2 2" xfId="33420"/>
    <cellStyle name="Normal 440 2 2 2" xfId="33421"/>
    <cellStyle name="Normal 440 2 2 2 2" xfId="33422"/>
    <cellStyle name="Normal 440 2 2 3" xfId="33423"/>
    <cellStyle name="Normal 440 2 2 3 2" xfId="33424"/>
    <cellStyle name="Normal 440 2 2 3 2 2" xfId="33425"/>
    <cellStyle name="Normal 440 2 2 3 3" xfId="33426"/>
    <cellStyle name="Normal 440 2 2 4" xfId="33427"/>
    <cellStyle name="Normal 440 2 3" xfId="33428"/>
    <cellStyle name="Normal 440 2 3 2" xfId="33429"/>
    <cellStyle name="Normal 440 2 3 2 2" xfId="33430"/>
    <cellStyle name="Normal 440 2 3 3" xfId="33431"/>
    <cellStyle name="Normal 440 2 4" xfId="33432"/>
    <cellStyle name="Normal 440 2 4 2" xfId="33433"/>
    <cellStyle name="Normal 440 2 4 2 2" xfId="33434"/>
    <cellStyle name="Normal 440 2 4 3" xfId="33435"/>
    <cellStyle name="Normal 440 2 5" xfId="33436"/>
    <cellStyle name="Normal 440 2 5 2" xfId="33437"/>
    <cellStyle name="Normal 440 2 5 2 2" xfId="33438"/>
    <cellStyle name="Normal 440 2 5 3" xfId="33439"/>
    <cellStyle name="Normal 440 2 6" xfId="33440"/>
    <cellStyle name="Normal 440 3" xfId="33441"/>
    <cellStyle name="Normal 440 3 2" xfId="33442"/>
    <cellStyle name="Normal 440 3 2 2" xfId="33443"/>
    <cellStyle name="Normal 440 3 3" xfId="33444"/>
    <cellStyle name="Normal 440 3 3 2" xfId="33445"/>
    <cellStyle name="Normal 440 3 3 2 2" xfId="33446"/>
    <cellStyle name="Normal 440 3 3 3" xfId="33447"/>
    <cellStyle name="Normal 440 3 4" xfId="33448"/>
    <cellStyle name="Normal 440 3 4 2" xfId="33449"/>
    <cellStyle name="Normal 440 3 4 2 2" xfId="33450"/>
    <cellStyle name="Normal 440 3 4 3" xfId="33451"/>
    <cellStyle name="Normal 440 3 5" xfId="33452"/>
    <cellStyle name="Normal 440 4" xfId="33453"/>
    <cellStyle name="Normal 440 4 2" xfId="33454"/>
    <cellStyle name="Normal 440 4 2 2" xfId="33455"/>
    <cellStyle name="Normal 440 4 2 2 2" xfId="33456"/>
    <cellStyle name="Normal 440 4 2 3" xfId="33457"/>
    <cellStyle name="Normal 440 4 2 3 2" xfId="33458"/>
    <cellStyle name="Normal 440 4 2 3 2 2" xfId="33459"/>
    <cellStyle name="Normal 440 4 2 3 3" xfId="33460"/>
    <cellStyle name="Normal 440 4 2 4" xfId="33461"/>
    <cellStyle name="Normal 440 4 3" xfId="33462"/>
    <cellStyle name="Normal 440 4 3 2" xfId="33463"/>
    <cellStyle name="Normal 440 4 3 2 2" xfId="33464"/>
    <cellStyle name="Normal 440 4 3 3" xfId="33465"/>
    <cellStyle name="Normal 440 4 4" xfId="33466"/>
    <cellStyle name="Normal 440 4 4 2" xfId="33467"/>
    <cellStyle name="Normal 440 4 4 2 2" xfId="33468"/>
    <cellStyle name="Normal 440 4 4 3" xfId="33469"/>
    <cellStyle name="Normal 440 4 5" xfId="33470"/>
    <cellStyle name="Normal 440 4 5 2" xfId="33471"/>
    <cellStyle name="Normal 440 4 5 2 2" xfId="33472"/>
    <cellStyle name="Normal 440 4 5 3" xfId="33473"/>
    <cellStyle name="Normal 440 4 6" xfId="33474"/>
    <cellStyle name="Normal 440 5" xfId="33475"/>
    <cellStyle name="Normal 440 5 2" xfId="33476"/>
    <cellStyle name="Normal 440 5 2 2" xfId="33477"/>
    <cellStyle name="Normal 440 5 3" xfId="33478"/>
    <cellStyle name="Normal 440 6" xfId="33479"/>
    <cellStyle name="Normal 440 6 2" xfId="33480"/>
    <cellStyle name="Normal 440 6 2 2" xfId="33481"/>
    <cellStyle name="Normal 440 6 3" xfId="33482"/>
    <cellStyle name="Normal 440 7" xfId="33483"/>
    <cellStyle name="Normal 440 7 2" xfId="33484"/>
    <cellStyle name="Normal 440 7 2 2" xfId="33485"/>
    <cellStyle name="Normal 440 7 3" xfId="33486"/>
    <cellStyle name="Normal 440 8" xfId="33487"/>
    <cellStyle name="Normal 440 8 2" xfId="33488"/>
    <cellStyle name="Normal 440 8 2 2" xfId="33489"/>
    <cellStyle name="Normal 440 8 3" xfId="33490"/>
    <cellStyle name="Normal 440 8 3 2" xfId="33491"/>
    <cellStyle name="Normal 440 8 4" xfId="33492"/>
    <cellStyle name="Normal 440 9" xfId="33493"/>
    <cellStyle name="Normal 441" xfId="33494"/>
    <cellStyle name="Normal 441 2" xfId="33495"/>
    <cellStyle name="Normal 441 2 2" xfId="33496"/>
    <cellStyle name="Normal 441 2 2 2" xfId="33497"/>
    <cellStyle name="Normal 441 2 3" xfId="33498"/>
    <cellStyle name="Normal 441 2 3 2" xfId="33499"/>
    <cellStyle name="Normal 441 2 3 2 2" xfId="33500"/>
    <cellStyle name="Normal 441 2 3 3" xfId="33501"/>
    <cellStyle name="Normal 441 2 4" xfId="33502"/>
    <cellStyle name="Normal 441 2 4 2" xfId="33503"/>
    <cellStyle name="Normal 441 2 4 2 2" xfId="33504"/>
    <cellStyle name="Normal 441 2 4 3" xfId="33505"/>
    <cellStyle name="Normal 441 2 5" xfId="33506"/>
    <cellStyle name="Normal 441 3" xfId="33507"/>
    <cellStyle name="Normal 441 3 2" xfId="33508"/>
    <cellStyle name="Normal 441 3 2 2" xfId="33509"/>
    <cellStyle name="Normal 441 3 2 2 2" xfId="33510"/>
    <cellStyle name="Normal 441 3 2 3" xfId="33511"/>
    <cellStyle name="Normal 441 3 2 3 2" xfId="33512"/>
    <cellStyle name="Normal 441 3 2 3 2 2" xfId="33513"/>
    <cellStyle name="Normal 441 3 2 3 3" xfId="33514"/>
    <cellStyle name="Normal 441 3 2 4" xfId="33515"/>
    <cellStyle name="Normal 441 3 3" xfId="33516"/>
    <cellStyle name="Normal 441 3 3 2" xfId="33517"/>
    <cellStyle name="Normal 441 3 3 2 2" xfId="33518"/>
    <cellStyle name="Normal 441 3 3 3" xfId="33519"/>
    <cellStyle name="Normal 441 3 4" xfId="33520"/>
    <cellStyle name="Normal 441 3 4 2" xfId="33521"/>
    <cellStyle name="Normal 441 3 4 2 2" xfId="33522"/>
    <cellStyle name="Normal 441 3 4 3" xfId="33523"/>
    <cellStyle name="Normal 441 3 5" xfId="33524"/>
    <cellStyle name="Normal 441 3 5 2" xfId="33525"/>
    <cellStyle name="Normal 441 3 5 2 2" xfId="33526"/>
    <cellStyle name="Normal 441 3 5 3" xfId="33527"/>
    <cellStyle name="Normal 441 3 6" xfId="33528"/>
    <cellStyle name="Normal 441 4" xfId="33529"/>
    <cellStyle name="Normal 441 4 2" xfId="33530"/>
    <cellStyle name="Normal 441 4 2 2" xfId="33531"/>
    <cellStyle name="Normal 441 4 3" xfId="33532"/>
    <cellStyle name="Normal 441 5" xfId="33533"/>
    <cellStyle name="Normal 441 5 2" xfId="33534"/>
    <cellStyle name="Normal 441 5 2 2" xfId="33535"/>
    <cellStyle name="Normal 441 5 3" xfId="33536"/>
    <cellStyle name="Normal 441 6" xfId="33537"/>
    <cellStyle name="Normal 441 6 2" xfId="33538"/>
    <cellStyle name="Normal 441 6 2 2" xfId="33539"/>
    <cellStyle name="Normal 441 6 3" xfId="33540"/>
    <cellStyle name="Normal 441 7" xfId="33541"/>
    <cellStyle name="Normal 442" xfId="33542"/>
    <cellStyle name="Normal 442 2" xfId="33543"/>
    <cellStyle name="Normal 442 2 2" xfId="33544"/>
    <cellStyle name="Normal 442 2 2 2" xfId="33545"/>
    <cellStyle name="Normal 442 2 3" xfId="33546"/>
    <cellStyle name="Normal 442 2 3 2" xfId="33547"/>
    <cellStyle name="Normal 442 2 3 2 2" xfId="33548"/>
    <cellStyle name="Normal 442 2 3 3" xfId="33549"/>
    <cellStyle name="Normal 442 2 4" xfId="33550"/>
    <cellStyle name="Normal 442 2 4 2" xfId="33551"/>
    <cellStyle name="Normal 442 2 4 2 2" xfId="33552"/>
    <cellStyle name="Normal 442 2 4 3" xfId="33553"/>
    <cellStyle name="Normal 442 2 5" xfId="33554"/>
    <cellStyle name="Normal 442 3" xfId="33555"/>
    <cellStyle name="Normal 442 3 2" xfId="33556"/>
    <cellStyle name="Normal 442 3 2 2" xfId="33557"/>
    <cellStyle name="Normal 442 3 2 2 2" xfId="33558"/>
    <cellStyle name="Normal 442 3 2 3" xfId="33559"/>
    <cellStyle name="Normal 442 3 2 3 2" xfId="33560"/>
    <cellStyle name="Normal 442 3 2 3 2 2" xfId="33561"/>
    <cellStyle name="Normal 442 3 2 3 3" xfId="33562"/>
    <cellStyle name="Normal 442 3 2 4" xfId="33563"/>
    <cellStyle name="Normal 442 3 3" xfId="33564"/>
    <cellStyle name="Normal 442 3 3 2" xfId="33565"/>
    <cellStyle name="Normal 442 3 3 2 2" xfId="33566"/>
    <cellStyle name="Normal 442 3 3 3" xfId="33567"/>
    <cellStyle name="Normal 442 3 4" xfId="33568"/>
    <cellStyle name="Normal 442 3 4 2" xfId="33569"/>
    <cellStyle name="Normal 442 3 4 2 2" xfId="33570"/>
    <cellStyle name="Normal 442 3 4 3" xfId="33571"/>
    <cellStyle name="Normal 442 3 5" xfId="33572"/>
    <cellStyle name="Normal 442 3 5 2" xfId="33573"/>
    <cellStyle name="Normal 442 3 5 2 2" xfId="33574"/>
    <cellStyle name="Normal 442 3 5 3" xfId="33575"/>
    <cellStyle name="Normal 442 3 6" xfId="33576"/>
    <cellStyle name="Normal 442 4" xfId="33577"/>
    <cellStyle name="Normal 442 4 2" xfId="33578"/>
    <cellStyle name="Normal 442 4 2 2" xfId="33579"/>
    <cellStyle name="Normal 442 4 3" xfId="33580"/>
    <cellStyle name="Normal 442 5" xfId="33581"/>
    <cellStyle name="Normal 442 5 2" xfId="33582"/>
    <cellStyle name="Normal 442 5 2 2" xfId="33583"/>
    <cellStyle name="Normal 442 5 3" xfId="33584"/>
    <cellStyle name="Normal 442 6" xfId="33585"/>
    <cellStyle name="Normal 442 6 2" xfId="33586"/>
    <cellStyle name="Normal 442 6 2 2" xfId="33587"/>
    <cellStyle name="Normal 442 6 3" xfId="33588"/>
    <cellStyle name="Normal 442 7" xfId="33589"/>
    <cellStyle name="Normal 443" xfId="33590"/>
    <cellStyle name="Normal 443 2" xfId="33591"/>
    <cellStyle name="Normal 443 2 2" xfId="33592"/>
    <cellStyle name="Normal 443 2 2 2" xfId="33593"/>
    <cellStyle name="Normal 443 2 3" xfId="33594"/>
    <cellStyle name="Normal 443 2 3 2" xfId="33595"/>
    <cellStyle name="Normal 443 2 3 2 2" xfId="33596"/>
    <cellStyle name="Normal 443 2 3 3" xfId="33597"/>
    <cellStyle name="Normal 443 2 4" xfId="33598"/>
    <cellStyle name="Normal 443 2 4 2" xfId="33599"/>
    <cellStyle name="Normal 443 2 4 2 2" xfId="33600"/>
    <cellStyle name="Normal 443 2 4 3" xfId="33601"/>
    <cellStyle name="Normal 443 2 5" xfId="33602"/>
    <cellStyle name="Normal 443 3" xfId="33603"/>
    <cellStyle name="Normal 443 3 2" xfId="33604"/>
    <cellStyle name="Normal 443 3 2 2" xfId="33605"/>
    <cellStyle name="Normal 443 3 2 2 2" xfId="33606"/>
    <cellStyle name="Normal 443 3 2 3" xfId="33607"/>
    <cellStyle name="Normal 443 3 2 3 2" xfId="33608"/>
    <cellStyle name="Normal 443 3 2 3 2 2" xfId="33609"/>
    <cellStyle name="Normal 443 3 2 3 3" xfId="33610"/>
    <cellStyle name="Normal 443 3 2 4" xfId="33611"/>
    <cellStyle name="Normal 443 3 3" xfId="33612"/>
    <cellStyle name="Normal 443 3 3 2" xfId="33613"/>
    <cellStyle name="Normal 443 3 3 2 2" xfId="33614"/>
    <cellStyle name="Normal 443 3 3 3" xfId="33615"/>
    <cellStyle name="Normal 443 3 4" xfId="33616"/>
    <cellStyle name="Normal 443 3 4 2" xfId="33617"/>
    <cellStyle name="Normal 443 3 4 2 2" xfId="33618"/>
    <cellStyle name="Normal 443 3 4 3" xfId="33619"/>
    <cellStyle name="Normal 443 3 5" xfId="33620"/>
    <cellStyle name="Normal 443 3 5 2" xfId="33621"/>
    <cellStyle name="Normal 443 3 5 2 2" xfId="33622"/>
    <cellStyle name="Normal 443 3 5 3" xfId="33623"/>
    <cellStyle name="Normal 443 3 6" xfId="33624"/>
    <cellStyle name="Normal 443 4" xfId="33625"/>
    <cellStyle name="Normal 443 4 2" xfId="33626"/>
    <cellStyle name="Normal 443 4 2 2" xfId="33627"/>
    <cellStyle name="Normal 443 4 3" xfId="33628"/>
    <cellStyle name="Normal 443 5" xfId="33629"/>
    <cellStyle name="Normal 443 5 2" xfId="33630"/>
    <cellStyle name="Normal 443 5 2 2" xfId="33631"/>
    <cellStyle name="Normal 443 5 3" xfId="33632"/>
    <cellStyle name="Normal 443 6" xfId="33633"/>
    <cellStyle name="Normal 443 6 2" xfId="33634"/>
    <cellStyle name="Normal 443 6 2 2" xfId="33635"/>
    <cellStyle name="Normal 443 6 3" xfId="33636"/>
    <cellStyle name="Normal 443 7" xfId="33637"/>
    <cellStyle name="Normal 444" xfId="33638"/>
    <cellStyle name="Normal 444 2" xfId="33639"/>
    <cellStyle name="Normal 444 2 2" xfId="33640"/>
    <cellStyle name="Normal 444 2 2 2" xfId="33641"/>
    <cellStyle name="Normal 444 2 3" xfId="33642"/>
    <cellStyle name="Normal 444 2 3 2" xfId="33643"/>
    <cellStyle name="Normal 444 2 3 2 2" xfId="33644"/>
    <cellStyle name="Normal 444 2 3 3" xfId="33645"/>
    <cellStyle name="Normal 444 2 4" xfId="33646"/>
    <cellStyle name="Normal 444 2 4 2" xfId="33647"/>
    <cellStyle name="Normal 444 2 4 2 2" xfId="33648"/>
    <cellStyle name="Normal 444 2 4 3" xfId="33649"/>
    <cellStyle name="Normal 444 2 5" xfId="33650"/>
    <cellStyle name="Normal 444 3" xfId="33651"/>
    <cellStyle name="Normal 444 3 2" xfId="33652"/>
    <cellStyle name="Normal 444 3 2 2" xfId="33653"/>
    <cellStyle name="Normal 444 3 2 2 2" xfId="33654"/>
    <cellStyle name="Normal 444 3 2 3" xfId="33655"/>
    <cellStyle name="Normal 444 3 2 3 2" xfId="33656"/>
    <cellStyle name="Normal 444 3 2 3 2 2" xfId="33657"/>
    <cellStyle name="Normal 444 3 2 3 3" xfId="33658"/>
    <cellStyle name="Normal 444 3 2 4" xfId="33659"/>
    <cellStyle name="Normal 444 3 3" xfId="33660"/>
    <cellStyle name="Normal 444 3 3 2" xfId="33661"/>
    <cellStyle name="Normal 444 3 3 2 2" xfId="33662"/>
    <cellStyle name="Normal 444 3 3 3" xfId="33663"/>
    <cellStyle name="Normal 444 3 4" xfId="33664"/>
    <cellStyle name="Normal 444 3 4 2" xfId="33665"/>
    <cellStyle name="Normal 444 3 4 2 2" xfId="33666"/>
    <cellStyle name="Normal 444 3 4 3" xfId="33667"/>
    <cellStyle name="Normal 444 3 5" xfId="33668"/>
    <cellStyle name="Normal 444 3 5 2" xfId="33669"/>
    <cellStyle name="Normal 444 3 5 2 2" xfId="33670"/>
    <cellStyle name="Normal 444 3 5 3" xfId="33671"/>
    <cellStyle name="Normal 444 3 6" xfId="33672"/>
    <cellStyle name="Normal 444 4" xfId="33673"/>
    <cellStyle name="Normal 444 4 2" xfId="33674"/>
    <cellStyle name="Normal 444 4 2 2" xfId="33675"/>
    <cellStyle name="Normal 444 4 3" xfId="33676"/>
    <cellStyle name="Normal 444 5" xfId="33677"/>
    <cellStyle name="Normal 444 5 2" xfId="33678"/>
    <cellStyle name="Normal 444 5 2 2" xfId="33679"/>
    <cellStyle name="Normal 444 5 3" xfId="33680"/>
    <cellStyle name="Normal 444 6" xfId="33681"/>
    <cellStyle name="Normal 444 6 2" xfId="33682"/>
    <cellStyle name="Normal 444 6 2 2" xfId="33683"/>
    <cellStyle name="Normal 444 6 3" xfId="33684"/>
    <cellStyle name="Normal 444 7" xfId="33685"/>
    <cellStyle name="Normal 445" xfId="33686"/>
    <cellStyle name="Normal 445 2" xfId="33687"/>
    <cellStyle name="Normal 445 2 2" xfId="33688"/>
    <cellStyle name="Normal 445 2 2 2" xfId="33689"/>
    <cellStyle name="Normal 445 2 3" xfId="33690"/>
    <cellStyle name="Normal 445 2 3 2" xfId="33691"/>
    <cellStyle name="Normal 445 2 3 2 2" xfId="33692"/>
    <cellStyle name="Normal 445 2 3 3" xfId="33693"/>
    <cellStyle name="Normal 445 2 4" xfId="33694"/>
    <cellStyle name="Normal 445 2 4 2" xfId="33695"/>
    <cellStyle name="Normal 445 2 4 2 2" xfId="33696"/>
    <cellStyle name="Normal 445 2 4 3" xfId="33697"/>
    <cellStyle name="Normal 445 2 5" xfId="33698"/>
    <cellStyle name="Normal 445 3" xfId="33699"/>
    <cellStyle name="Normal 445 3 2" xfId="33700"/>
    <cellStyle name="Normal 445 3 2 2" xfId="33701"/>
    <cellStyle name="Normal 445 3 2 2 2" xfId="33702"/>
    <cellStyle name="Normal 445 3 2 3" xfId="33703"/>
    <cellStyle name="Normal 445 3 2 3 2" xfId="33704"/>
    <cellStyle name="Normal 445 3 2 3 2 2" xfId="33705"/>
    <cellStyle name="Normal 445 3 2 3 3" xfId="33706"/>
    <cellStyle name="Normal 445 3 2 4" xfId="33707"/>
    <cellStyle name="Normal 445 3 3" xfId="33708"/>
    <cellStyle name="Normal 445 3 3 2" xfId="33709"/>
    <cellStyle name="Normal 445 3 3 2 2" xfId="33710"/>
    <cellStyle name="Normal 445 3 3 3" xfId="33711"/>
    <cellStyle name="Normal 445 3 4" xfId="33712"/>
    <cellStyle name="Normal 445 3 4 2" xfId="33713"/>
    <cellStyle name="Normal 445 3 4 2 2" xfId="33714"/>
    <cellStyle name="Normal 445 3 4 3" xfId="33715"/>
    <cellStyle name="Normal 445 3 5" xfId="33716"/>
    <cellStyle name="Normal 445 3 5 2" xfId="33717"/>
    <cellStyle name="Normal 445 3 5 2 2" xfId="33718"/>
    <cellStyle name="Normal 445 3 5 3" xfId="33719"/>
    <cellStyle name="Normal 445 3 6" xfId="33720"/>
    <cellStyle name="Normal 445 4" xfId="33721"/>
    <cellStyle name="Normal 445 4 2" xfId="33722"/>
    <cellStyle name="Normal 445 4 2 2" xfId="33723"/>
    <cellStyle name="Normal 445 4 3" xfId="33724"/>
    <cellStyle name="Normal 445 5" xfId="33725"/>
    <cellStyle name="Normal 445 5 2" xfId="33726"/>
    <cellStyle name="Normal 445 5 2 2" xfId="33727"/>
    <cellStyle name="Normal 445 5 3" xfId="33728"/>
    <cellStyle name="Normal 445 6" xfId="33729"/>
    <cellStyle name="Normal 445 6 2" xfId="33730"/>
    <cellStyle name="Normal 445 6 2 2" xfId="33731"/>
    <cellStyle name="Normal 445 6 3" xfId="33732"/>
    <cellStyle name="Normal 445 7" xfId="33733"/>
    <cellStyle name="Normal 446" xfId="33734"/>
    <cellStyle name="Normal 446 2" xfId="33735"/>
    <cellStyle name="Normal 446 2 2" xfId="33736"/>
    <cellStyle name="Normal 446 2 2 2" xfId="33737"/>
    <cellStyle name="Normal 446 2 3" xfId="33738"/>
    <cellStyle name="Normal 446 2 3 2" xfId="33739"/>
    <cellStyle name="Normal 446 2 3 2 2" xfId="33740"/>
    <cellStyle name="Normal 446 2 3 3" xfId="33741"/>
    <cellStyle name="Normal 446 2 4" xfId="33742"/>
    <cellStyle name="Normal 446 2 4 2" xfId="33743"/>
    <cellStyle name="Normal 446 2 4 2 2" xfId="33744"/>
    <cellStyle name="Normal 446 2 4 3" xfId="33745"/>
    <cellStyle name="Normal 446 2 5" xfId="33746"/>
    <cellStyle name="Normal 446 3" xfId="33747"/>
    <cellStyle name="Normal 446 3 2" xfId="33748"/>
    <cellStyle name="Normal 446 3 2 2" xfId="33749"/>
    <cellStyle name="Normal 446 3 2 2 2" xfId="33750"/>
    <cellStyle name="Normal 446 3 2 3" xfId="33751"/>
    <cellStyle name="Normal 446 3 2 3 2" xfId="33752"/>
    <cellStyle name="Normal 446 3 2 3 2 2" xfId="33753"/>
    <cellStyle name="Normal 446 3 2 3 3" xfId="33754"/>
    <cellStyle name="Normal 446 3 2 4" xfId="33755"/>
    <cellStyle name="Normal 446 3 3" xfId="33756"/>
    <cellStyle name="Normal 446 3 3 2" xfId="33757"/>
    <cellStyle name="Normal 446 3 3 2 2" xfId="33758"/>
    <cellStyle name="Normal 446 3 3 3" xfId="33759"/>
    <cellStyle name="Normal 446 3 4" xfId="33760"/>
    <cellStyle name="Normal 446 3 4 2" xfId="33761"/>
    <cellStyle name="Normal 446 3 4 2 2" xfId="33762"/>
    <cellStyle name="Normal 446 3 4 3" xfId="33763"/>
    <cellStyle name="Normal 446 3 5" xfId="33764"/>
    <cellStyle name="Normal 446 3 5 2" xfId="33765"/>
    <cellStyle name="Normal 446 3 5 2 2" xfId="33766"/>
    <cellStyle name="Normal 446 3 5 3" xfId="33767"/>
    <cellStyle name="Normal 446 3 6" xfId="33768"/>
    <cellStyle name="Normal 446 4" xfId="33769"/>
    <cellStyle name="Normal 446 4 2" xfId="33770"/>
    <cellStyle name="Normal 446 4 2 2" xfId="33771"/>
    <cellStyle name="Normal 446 4 3" xfId="33772"/>
    <cellStyle name="Normal 446 5" xfId="33773"/>
    <cellStyle name="Normal 446 5 2" xfId="33774"/>
    <cellStyle name="Normal 446 5 2 2" xfId="33775"/>
    <cellStyle name="Normal 446 5 3" xfId="33776"/>
    <cellStyle name="Normal 446 6" xfId="33777"/>
    <cellStyle name="Normal 446 6 2" xfId="33778"/>
    <cellStyle name="Normal 446 6 2 2" xfId="33779"/>
    <cellStyle name="Normal 446 6 3" xfId="33780"/>
    <cellStyle name="Normal 446 7" xfId="33781"/>
    <cellStyle name="Normal 447" xfId="33782"/>
    <cellStyle name="Normal 447 2" xfId="33783"/>
    <cellStyle name="Normal 447 2 2" xfId="33784"/>
    <cellStyle name="Normal 447 2 2 2" xfId="33785"/>
    <cellStyle name="Normal 447 2 3" xfId="33786"/>
    <cellStyle name="Normal 447 2 3 2" xfId="33787"/>
    <cellStyle name="Normal 447 2 3 2 2" xfId="33788"/>
    <cellStyle name="Normal 447 2 3 3" xfId="33789"/>
    <cellStyle name="Normal 447 2 4" xfId="33790"/>
    <cellStyle name="Normal 447 2 4 2" xfId="33791"/>
    <cellStyle name="Normal 447 2 4 2 2" xfId="33792"/>
    <cellStyle name="Normal 447 2 4 3" xfId="33793"/>
    <cellStyle name="Normal 447 2 5" xfId="33794"/>
    <cellStyle name="Normal 447 3" xfId="33795"/>
    <cellStyle name="Normal 447 3 2" xfId="33796"/>
    <cellStyle name="Normal 447 3 2 2" xfId="33797"/>
    <cellStyle name="Normal 447 3 2 2 2" xfId="33798"/>
    <cellStyle name="Normal 447 3 2 3" xfId="33799"/>
    <cellStyle name="Normal 447 3 2 3 2" xfId="33800"/>
    <cellStyle name="Normal 447 3 2 3 2 2" xfId="33801"/>
    <cellStyle name="Normal 447 3 2 3 3" xfId="33802"/>
    <cellStyle name="Normal 447 3 2 4" xfId="33803"/>
    <cellStyle name="Normal 447 3 3" xfId="33804"/>
    <cellStyle name="Normal 447 3 3 2" xfId="33805"/>
    <cellStyle name="Normal 447 3 3 2 2" xfId="33806"/>
    <cellStyle name="Normal 447 3 3 3" xfId="33807"/>
    <cellStyle name="Normal 447 3 4" xfId="33808"/>
    <cellStyle name="Normal 447 3 4 2" xfId="33809"/>
    <cellStyle name="Normal 447 3 4 2 2" xfId="33810"/>
    <cellStyle name="Normal 447 3 4 3" xfId="33811"/>
    <cellStyle name="Normal 447 3 5" xfId="33812"/>
    <cellStyle name="Normal 447 3 5 2" xfId="33813"/>
    <cellStyle name="Normal 447 3 5 2 2" xfId="33814"/>
    <cellStyle name="Normal 447 3 5 3" xfId="33815"/>
    <cellStyle name="Normal 447 3 6" xfId="33816"/>
    <cellStyle name="Normal 447 4" xfId="33817"/>
    <cellStyle name="Normal 447 4 2" xfId="33818"/>
    <cellStyle name="Normal 447 4 2 2" xfId="33819"/>
    <cellStyle name="Normal 447 4 3" xfId="33820"/>
    <cellStyle name="Normal 447 5" xfId="33821"/>
    <cellStyle name="Normal 447 5 2" xfId="33822"/>
    <cellStyle name="Normal 447 5 2 2" xfId="33823"/>
    <cellStyle name="Normal 447 5 3" xfId="33824"/>
    <cellStyle name="Normal 447 6" xfId="33825"/>
    <cellStyle name="Normal 447 6 2" xfId="33826"/>
    <cellStyle name="Normal 447 6 2 2" xfId="33827"/>
    <cellStyle name="Normal 447 6 3" xfId="33828"/>
    <cellStyle name="Normal 447 7" xfId="33829"/>
    <cellStyle name="Normal 448" xfId="33830"/>
    <cellStyle name="Normal 448 2" xfId="33831"/>
    <cellStyle name="Normal 448 2 2" xfId="33832"/>
    <cellStyle name="Normal 448 2 2 2" xfId="33833"/>
    <cellStyle name="Normal 448 2 3" xfId="33834"/>
    <cellStyle name="Normal 448 2 3 2" xfId="33835"/>
    <cellStyle name="Normal 448 2 3 2 2" xfId="33836"/>
    <cellStyle name="Normal 448 2 3 3" xfId="33837"/>
    <cellStyle name="Normal 448 2 4" xfId="33838"/>
    <cellStyle name="Normal 448 2 4 2" xfId="33839"/>
    <cellStyle name="Normal 448 2 4 2 2" xfId="33840"/>
    <cellStyle name="Normal 448 2 4 3" xfId="33841"/>
    <cellStyle name="Normal 448 2 5" xfId="33842"/>
    <cellStyle name="Normal 448 3" xfId="33843"/>
    <cellStyle name="Normal 448 3 2" xfId="33844"/>
    <cellStyle name="Normal 448 3 2 2" xfId="33845"/>
    <cellStyle name="Normal 448 3 2 2 2" xfId="33846"/>
    <cellStyle name="Normal 448 3 2 3" xfId="33847"/>
    <cellStyle name="Normal 448 3 2 3 2" xfId="33848"/>
    <cellStyle name="Normal 448 3 2 3 2 2" xfId="33849"/>
    <cellStyle name="Normal 448 3 2 3 3" xfId="33850"/>
    <cellStyle name="Normal 448 3 2 4" xfId="33851"/>
    <cellStyle name="Normal 448 3 3" xfId="33852"/>
    <cellStyle name="Normal 448 3 3 2" xfId="33853"/>
    <cellStyle name="Normal 448 3 3 2 2" xfId="33854"/>
    <cellStyle name="Normal 448 3 3 3" xfId="33855"/>
    <cellStyle name="Normal 448 3 4" xfId="33856"/>
    <cellStyle name="Normal 448 3 4 2" xfId="33857"/>
    <cellStyle name="Normal 448 3 4 2 2" xfId="33858"/>
    <cellStyle name="Normal 448 3 4 3" xfId="33859"/>
    <cellStyle name="Normal 448 3 5" xfId="33860"/>
    <cellStyle name="Normal 448 3 5 2" xfId="33861"/>
    <cellStyle name="Normal 448 3 5 2 2" xfId="33862"/>
    <cellStyle name="Normal 448 3 5 3" xfId="33863"/>
    <cellStyle name="Normal 448 3 6" xfId="33864"/>
    <cellStyle name="Normal 448 4" xfId="33865"/>
    <cellStyle name="Normal 448 4 2" xfId="33866"/>
    <cellStyle name="Normal 448 4 2 2" xfId="33867"/>
    <cellStyle name="Normal 448 4 3" xfId="33868"/>
    <cellStyle name="Normal 448 5" xfId="33869"/>
    <cellStyle name="Normal 448 5 2" xfId="33870"/>
    <cellStyle name="Normal 448 5 2 2" xfId="33871"/>
    <cellStyle name="Normal 448 5 3" xfId="33872"/>
    <cellStyle name="Normal 448 6" xfId="33873"/>
    <cellStyle name="Normal 448 6 2" xfId="33874"/>
    <cellStyle name="Normal 448 6 2 2" xfId="33875"/>
    <cellStyle name="Normal 448 6 3" xfId="33876"/>
    <cellStyle name="Normal 448 7" xfId="33877"/>
    <cellStyle name="Normal 449" xfId="33878"/>
    <cellStyle name="Normal 449 2" xfId="33879"/>
    <cellStyle name="Normal 449 2 2" xfId="33880"/>
    <cellStyle name="Normal 449 2 2 2" xfId="33881"/>
    <cellStyle name="Normal 449 2 3" xfId="33882"/>
    <cellStyle name="Normal 449 2 3 2" xfId="33883"/>
    <cellStyle name="Normal 449 2 3 2 2" xfId="33884"/>
    <cellStyle name="Normal 449 2 3 3" xfId="33885"/>
    <cellStyle name="Normal 449 2 4" xfId="33886"/>
    <cellStyle name="Normal 449 2 4 2" xfId="33887"/>
    <cellStyle name="Normal 449 2 4 2 2" xfId="33888"/>
    <cellStyle name="Normal 449 2 4 3" xfId="33889"/>
    <cellStyle name="Normal 449 2 5" xfId="33890"/>
    <cellStyle name="Normal 449 3" xfId="33891"/>
    <cellStyle name="Normal 449 3 2" xfId="33892"/>
    <cellStyle name="Normal 449 3 2 2" xfId="33893"/>
    <cellStyle name="Normal 449 3 2 2 2" xfId="33894"/>
    <cellStyle name="Normal 449 3 2 3" xfId="33895"/>
    <cellStyle name="Normal 449 3 2 3 2" xfId="33896"/>
    <cellStyle name="Normal 449 3 2 3 2 2" xfId="33897"/>
    <cellStyle name="Normal 449 3 2 3 3" xfId="33898"/>
    <cellStyle name="Normal 449 3 2 4" xfId="33899"/>
    <cellStyle name="Normal 449 3 3" xfId="33900"/>
    <cellStyle name="Normal 449 3 3 2" xfId="33901"/>
    <cellStyle name="Normal 449 3 3 2 2" xfId="33902"/>
    <cellStyle name="Normal 449 3 3 3" xfId="33903"/>
    <cellStyle name="Normal 449 3 4" xfId="33904"/>
    <cellStyle name="Normal 449 3 4 2" xfId="33905"/>
    <cellStyle name="Normal 449 3 4 2 2" xfId="33906"/>
    <cellStyle name="Normal 449 3 4 3" xfId="33907"/>
    <cellStyle name="Normal 449 3 5" xfId="33908"/>
    <cellStyle name="Normal 449 3 5 2" xfId="33909"/>
    <cellStyle name="Normal 449 3 5 2 2" xfId="33910"/>
    <cellStyle name="Normal 449 3 5 3" xfId="33911"/>
    <cellStyle name="Normal 449 3 6" xfId="33912"/>
    <cellStyle name="Normal 449 4" xfId="33913"/>
    <cellStyle name="Normal 449 4 2" xfId="33914"/>
    <cellStyle name="Normal 449 4 2 2" xfId="33915"/>
    <cellStyle name="Normal 449 4 3" xfId="33916"/>
    <cellStyle name="Normal 449 5" xfId="33917"/>
    <cellStyle name="Normal 449 5 2" xfId="33918"/>
    <cellStyle name="Normal 449 5 2 2" xfId="33919"/>
    <cellStyle name="Normal 449 5 3" xfId="33920"/>
    <cellStyle name="Normal 449 6" xfId="33921"/>
    <cellStyle name="Normal 449 6 2" xfId="33922"/>
    <cellStyle name="Normal 449 6 2 2" xfId="33923"/>
    <cellStyle name="Normal 449 6 3" xfId="33924"/>
    <cellStyle name="Normal 449 7" xfId="33925"/>
    <cellStyle name="Normal 45" xfId="33926"/>
    <cellStyle name="Normal 45 2" xfId="33927"/>
    <cellStyle name="Normal 45 2 2" xfId="33928"/>
    <cellStyle name="Normal 45 2 2 2" xfId="33929"/>
    <cellStyle name="Normal 45 2 2 2 2" xfId="33930"/>
    <cellStyle name="Normal 45 2 2 3" xfId="33931"/>
    <cellStyle name="Normal 45 2 2 3 2" xfId="33932"/>
    <cellStyle name="Normal 45 2 2 3 2 2" xfId="33933"/>
    <cellStyle name="Normal 45 2 2 3 3" xfId="33934"/>
    <cellStyle name="Normal 45 2 2 4" xfId="33935"/>
    <cellStyle name="Normal 45 2 2 4 2" xfId="33936"/>
    <cellStyle name="Normal 45 2 2 4 2 2" xfId="33937"/>
    <cellStyle name="Normal 45 2 2 4 3" xfId="33938"/>
    <cellStyle name="Normal 45 2 2 5" xfId="33939"/>
    <cellStyle name="Normal 45 2 3" xfId="33940"/>
    <cellStyle name="Normal 45 2 3 2" xfId="33941"/>
    <cellStyle name="Normal 45 2 3 2 2" xfId="33942"/>
    <cellStyle name="Normal 45 2 3 3" xfId="33943"/>
    <cellStyle name="Normal 45 2 4" xfId="33944"/>
    <cellStyle name="Normal 45 2 4 2" xfId="33945"/>
    <cellStyle name="Normal 45 2 4 2 2" xfId="33946"/>
    <cellStyle name="Normal 45 2 4 3" xfId="33947"/>
    <cellStyle name="Normal 45 2 5" xfId="33948"/>
    <cellStyle name="Normal 45 2 5 2" xfId="33949"/>
    <cellStyle name="Normal 45 2 5 2 2" xfId="33950"/>
    <cellStyle name="Normal 45 2 5 3" xfId="33951"/>
    <cellStyle name="Normal 45 2 6" xfId="33952"/>
    <cellStyle name="Normal 45 3" xfId="33953"/>
    <cellStyle name="Normal 45 3 2" xfId="33954"/>
    <cellStyle name="Normal 45 3 2 2" xfId="33955"/>
    <cellStyle name="Normal 45 3 3" xfId="33956"/>
    <cellStyle name="Normal 45 3 3 2" xfId="33957"/>
    <cellStyle name="Normal 45 3 3 2 2" xfId="33958"/>
    <cellStyle name="Normal 45 3 3 3" xfId="33959"/>
    <cellStyle name="Normal 45 3 4" xfId="33960"/>
    <cellStyle name="Normal 45 3 4 2" xfId="33961"/>
    <cellStyle name="Normal 45 3 4 2 2" xfId="33962"/>
    <cellStyle name="Normal 45 3 4 3" xfId="33963"/>
    <cellStyle name="Normal 45 3 5" xfId="33964"/>
    <cellStyle name="Normal 45 4" xfId="33965"/>
    <cellStyle name="Normal 45 4 2" xfId="33966"/>
    <cellStyle name="Normal 45 4 2 2" xfId="33967"/>
    <cellStyle name="Normal 45 4 3" xfId="33968"/>
    <cellStyle name="Normal 45 5" xfId="33969"/>
    <cellStyle name="Normal 45 5 2" xfId="33970"/>
    <cellStyle name="Normal 45 5 2 2" xfId="33971"/>
    <cellStyle name="Normal 45 5 3" xfId="33972"/>
    <cellStyle name="Normal 45 6" xfId="33973"/>
    <cellStyle name="Normal 45 6 2" xfId="33974"/>
    <cellStyle name="Normal 45 6 2 2" xfId="33975"/>
    <cellStyle name="Normal 45 6 3" xfId="33976"/>
    <cellStyle name="Normal 45 7" xfId="33977"/>
    <cellStyle name="Normal 450" xfId="33978"/>
    <cellStyle name="Normal 450 2" xfId="33979"/>
    <cellStyle name="Normal 450 2 2" xfId="33980"/>
    <cellStyle name="Normal 450 2 2 2" xfId="33981"/>
    <cellStyle name="Normal 450 2 3" xfId="33982"/>
    <cellStyle name="Normal 450 2 3 2" xfId="33983"/>
    <cellStyle name="Normal 450 2 3 2 2" xfId="33984"/>
    <cellStyle name="Normal 450 2 3 3" xfId="33985"/>
    <cellStyle name="Normal 450 2 4" xfId="33986"/>
    <cellStyle name="Normal 450 2 4 2" xfId="33987"/>
    <cellStyle name="Normal 450 2 4 2 2" xfId="33988"/>
    <cellStyle name="Normal 450 2 4 3" xfId="33989"/>
    <cellStyle name="Normal 450 2 5" xfId="33990"/>
    <cellStyle name="Normal 450 3" xfId="33991"/>
    <cellStyle name="Normal 450 3 2" xfId="33992"/>
    <cellStyle name="Normal 450 3 2 2" xfId="33993"/>
    <cellStyle name="Normal 450 3 2 2 2" xfId="33994"/>
    <cellStyle name="Normal 450 3 2 3" xfId="33995"/>
    <cellStyle name="Normal 450 3 2 3 2" xfId="33996"/>
    <cellStyle name="Normal 450 3 2 3 2 2" xfId="33997"/>
    <cellStyle name="Normal 450 3 2 3 3" xfId="33998"/>
    <cellStyle name="Normal 450 3 2 4" xfId="33999"/>
    <cellStyle name="Normal 450 3 3" xfId="34000"/>
    <cellStyle name="Normal 450 3 3 2" xfId="34001"/>
    <cellStyle name="Normal 450 3 3 2 2" xfId="34002"/>
    <cellStyle name="Normal 450 3 3 3" xfId="34003"/>
    <cellStyle name="Normal 450 3 4" xfId="34004"/>
    <cellStyle name="Normal 450 3 4 2" xfId="34005"/>
    <cellStyle name="Normal 450 3 4 2 2" xfId="34006"/>
    <cellStyle name="Normal 450 3 4 3" xfId="34007"/>
    <cellStyle name="Normal 450 3 5" xfId="34008"/>
    <cellStyle name="Normal 450 3 5 2" xfId="34009"/>
    <cellStyle name="Normal 450 3 5 2 2" xfId="34010"/>
    <cellStyle name="Normal 450 3 5 3" xfId="34011"/>
    <cellStyle name="Normal 450 3 6" xfId="34012"/>
    <cellStyle name="Normal 450 4" xfId="34013"/>
    <cellStyle name="Normal 450 4 2" xfId="34014"/>
    <cellStyle name="Normal 450 4 2 2" xfId="34015"/>
    <cellStyle name="Normal 450 4 3" xfId="34016"/>
    <cellStyle name="Normal 450 5" xfId="34017"/>
    <cellStyle name="Normal 450 5 2" xfId="34018"/>
    <cellStyle name="Normal 450 5 2 2" xfId="34019"/>
    <cellStyle name="Normal 450 5 3" xfId="34020"/>
    <cellStyle name="Normal 450 6" xfId="34021"/>
    <cellStyle name="Normal 450 6 2" xfId="34022"/>
    <cellStyle name="Normal 450 6 2 2" xfId="34023"/>
    <cellStyle name="Normal 450 6 3" xfId="34024"/>
    <cellStyle name="Normal 450 7" xfId="34025"/>
    <cellStyle name="Normal 451" xfId="34026"/>
    <cellStyle name="Normal 451 2" xfId="34027"/>
    <cellStyle name="Normal 451 2 2" xfId="34028"/>
    <cellStyle name="Normal 451 2 2 2" xfId="34029"/>
    <cellStyle name="Normal 451 2 3" xfId="34030"/>
    <cellStyle name="Normal 451 2 3 2" xfId="34031"/>
    <cellStyle name="Normal 451 2 3 2 2" xfId="34032"/>
    <cellStyle name="Normal 451 2 3 3" xfId="34033"/>
    <cellStyle name="Normal 451 2 4" xfId="34034"/>
    <cellStyle name="Normal 451 3" xfId="34035"/>
    <cellStyle name="Normal 451 3 2" xfId="34036"/>
    <cellStyle name="Normal 451 3 2 2" xfId="34037"/>
    <cellStyle name="Normal 451 3 3" xfId="34038"/>
    <cellStyle name="Normal 451 4" xfId="34039"/>
    <cellStyle name="Normal 451 4 2" xfId="34040"/>
    <cellStyle name="Normal 451 4 2 2" xfId="34041"/>
    <cellStyle name="Normal 451 4 3" xfId="34042"/>
    <cellStyle name="Normal 451 5" xfId="34043"/>
    <cellStyle name="Normal 451 5 2" xfId="34044"/>
    <cellStyle name="Normal 451 5 2 2" xfId="34045"/>
    <cellStyle name="Normal 451 5 3" xfId="34046"/>
    <cellStyle name="Normal 451 6" xfId="34047"/>
    <cellStyle name="Normal 452" xfId="34048"/>
    <cellStyle name="Normal 452 2" xfId="34049"/>
    <cellStyle name="Normal 452 2 2" xfId="34050"/>
    <cellStyle name="Normal 452 2 2 2" xfId="34051"/>
    <cellStyle name="Normal 452 2 3" xfId="34052"/>
    <cellStyle name="Normal 452 2 3 2" xfId="34053"/>
    <cellStyle name="Normal 452 2 3 2 2" xfId="34054"/>
    <cellStyle name="Normal 452 2 3 3" xfId="34055"/>
    <cellStyle name="Normal 452 2 4" xfId="34056"/>
    <cellStyle name="Normal 452 3" xfId="34057"/>
    <cellStyle name="Normal 452 3 2" xfId="34058"/>
    <cellStyle name="Normal 452 3 2 2" xfId="34059"/>
    <cellStyle name="Normal 452 3 3" xfId="34060"/>
    <cellStyle name="Normal 452 4" xfId="34061"/>
    <cellStyle name="Normal 452 4 2" xfId="34062"/>
    <cellStyle name="Normal 452 4 2 2" xfId="34063"/>
    <cellStyle name="Normal 452 4 3" xfId="34064"/>
    <cellStyle name="Normal 452 5" xfId="34065"/>
    <cellStyle name="Normal 452 5 2" xfId="34066"/>
    <cellStyle name="Normal 452 5 2 2" xfId="34067"/>
    <cellStyle name="Normal 452 5 3" xfId="34068"/>
    <cellStyle name="Normal 452 6" xfId="34069"/>
    <cellStyle name="Normal 453" xfId="34070"/>
    <cellStyle name="Normal 453 2" xfId="34071"/>
    <cellStyle name="Normal 453 2 2" xfId="34072"/>
    <cellStyle name="Normal 453 2 2 2" xfId="34073"/>
    <cellStyle name="Normal 453 2 3" xfId="34074"/>
    <cellStyle name="Normal 453 2 3 2" xfId="34075"/>
    <cellStyle name="Normal 453 2 3 2 2" xfId="34076"/>
    <cellStyle name="Normal 453 2 3 3" xfId="34077"/>
    <cellStyle name="Normal 453 2 4" xfId="34078"/>
    <cellStyle name="Normal 453 3" xfId="34079"/>
    <cellStyle name="Normal 453 3 2" xfId="34080"/>
    <cellStyle name="Normal 453 3 2 2" xfId="34081"/>
    <cellStyle name="Normal 453 3 3" xfId="34082"/>
    <cellStyle name="Normal 453 4" xfId="34083"/>
    <cellStyle name="Normal 453 4 2" xfId="34084"/>
    <cellStyle name="Normal 453 4 2 2" xfId="34085"/>
    <cellStyle name="Normal 453 4 3" xfId="34086"/>
    <cellStyle name="Normal 453 5" xfId="34087"/>
    <cellStyle name="Normal 453 5 2" xfId="34088"/>
    <cellStyle name="Normal 453 5 2 2" xfId="34089"/>
    <cellStyle name="Normal 453 5 3" xfId="34090"/>
    <cellStyle name="Normal 453 6" xfId="34091"/>
    <cellStyle name="Normal 454" xfId="34092"/>
    <cellStyle name="Normal 454 2" xfId="34093"/>
    <cellStyle name="Normal 454 2 2" xfId="34094"/>
    <cellStyle name="Normal 454 2 2 2" xfId="34095"/>
    <cellStyle name="Normal 454 2 3" xfId="34096"/>
    <cellStyle name="Normal 454 2 3 2" xfId="34097"/>
    <cellStyle name="Normal 454 2 3 2 2" xfId="34098"/>
    <cellStyle name="Normal 454 2 3 3" xfId="34099"/>
    <cellStyle name="Normal 454 2 4" xfId="34100"/>
    <cellStyle name="Normal 454 3" xfId="34101"/>
    <cellStyle name="Normal 454 3 2" xfId="34102"/>
    <cellStyle name="Normal 454 3 2 2" xfId="34103"/>
    <cellStyle name="Normal 454 3 3" xfId="34104"/>
    <cellStyle name="Normal 454 4" xfId="34105"/>
    <cellStyle name="Normal 454 4 2" xfId="34106"/>
    <cellStyle name="Normal 454 4 2 2" xfId="34107"/>
    <cellStyle name="Normal 454 4 3" xfId="34108"/>
    <cellStyle name="Normal 454 5" xfId="34109"/>
    <cellStyle name="Normal 454 5 2" xfId="34110"/>
    <cellStyle name="Normal 454 5 2 2" xfId="34111"/>
    <cellStyle name="Normal 454 5 3" xfId="34112"/>
    <cellStyle name="Normal 454 6" xfId="34113"/>
    <cellStyle name="Normal 455" xfId="34114"/>
    <cellStyle name="Normal 455 2" xfId="34115"/>
    <cellStyle name="Normal 455 2 2" xfId="34116"/>
    <cellStyle name="Normal 455 2 2 2" xfId="34117"/>
    <cellStyle name="Normal 455 2 3" xfId="34118"/>
    <cellStyle name="Normal 455 2 3 2" xfId="34119"/>
    <cellStyle name="Normal 455 2 3 2 2" xfId="34120"/>
    <cellStyle name="Normal 455 2 3 3" xfId="34121"/>
    <cellStyle name="Normal 455 2 4" xfId="34122"/>
    <cellStyle name="Normal 455 3" xfId="34123"/>
    <cellStyle name="Normal 455 3 2" xfId="34124"/>
    <cellStyle name="Normal 455 3 2 2" xfId="34125"/>
    <cellStyle name="Normal 455 3 3" xfId="34126"/>
    <cellStyle name="Normal 455 4" xfId="34127"/>
    <cellStyle name="Normal 455 4 2" xfId="34128"/>
    <cellStyle name="Normal 455 4 2 2" xfId="34129"/>
    <cellStyle name="Normal 455 4 3" xfId="34130"/>
    <cellStyle name="Normal 455 5" xfId="34131"/>
    <cellStyle name="Normal 455 5 2" xfId="34132"/>
    <cellStyle name="Normal 455 5 2 2" xfId="34133"/>
    <cellStyle name="Normal 455 5 3" xfId="34134"/>
    <cellStyle name="Normal 455 6" xfId="34135"/>
    <cellStyle name="Normal 456" xfId="34136"/>
    <cellStyle name="Normal 456 2" xfId="34137"/>
    <cellStyle name="Normal 456 2 2" xfId="34138"/>
    <cellStyle name="Normal 456 2 2 2" xfId="34139"/>
    <cellStyle name="Normal 456 2 3" xfId="34140"/>
    <cellStyle name="Normal 456 2 3 2" xfId="34141"/>
    <cellStyle name="Normal 456 2 3 2 2" xfId="34142"/>
    <cellStyle name="Normal 456 2 3 3" xfId="34143"/>
    <cellStyle name="Normal 456 2 4" xfId="34144"/>
    <cellStyle name="Normal 456 3" xfId="34145"/>
    <cellStyle name="Normal 456 3 2" xfId="34146"/>
    <cellStyle name="Normal 456 3 2 2" xfId="34147"/>
    <cellStyle name="Normal 456 3 3" xfId="34148"/>
    <cellStyle name="Normal 456 4" xfId="34149"/>
    <cellStyle name="Normal 456 4 2" xfId="34150"/>
    <cellStyle name="Normal 456 4 2 2" xfId="34151"/>
    <cellStyle name="Normal 456 4 3" xfId="34152"/>
    <cellStyle name="Normal 456 5" xfId="34153"/>
    <cellStyle name="Normal 456 5 2" xfId="34154"/>
    <cellStyle name="Normal 456 5 2 2" xfId="34155"/>
    <cellStyle name="Normal 456 5 3" xfId="34156"/>
    <cellStyle name="Normal 456 6" xfId="34157"/>
    <cellStyle name="Normal 457" xfId="34158"/>
    <cellStyle name="Normal 457 2" xfId="34159"/>
    <cellStyle name="Normal 457 2 2" xfId="34160"/>
    <cellStyle name="Normal 457 2 2 2" xfId="34161"/>
    <cellStyle name="Normal 457 2 3" xfId="34162"/>
    <cellStyle name="Normal 457 2 3 2" xfId="34163"/>
    <cellStyle name="Normal 457 2 3 2 2" xfId="34164"/>
    <cellStyle name="Normal 457 2 3 3" xfId="34165"/>
    <cellStyle name="Normal 457 2 4" xfId="34166"/>
    <cellStyle name="Normal 457 3" xfId="34167"/>
    <cellStyle name="Normal 457 3 2" xfId="34168"/>
    <cellStyle name="Normal 457 3 2 2" xfId="34169"/>
    <cellStyle name="Normal 457 3 3" xfId="34170"/>
    <cellStyle name="Normal 457 4" xfId="34171"/>
    <cellStyle name="Normal 457 4 2" xfId="34172"/>
    <cellStyle name="Normal 457 4 2 2" xfId="34173"/>
    <cellStyle name="Normal 457 4 3" xfId="34174"/>
    <cellStyle name="Normal 457 5" xfId="34175"/>
    <cellStyle name="Normal 457 5 2" xfId="34176"/>
    <cellStyle name="Normal 457 5 2 2" xfId="34177"/>
    <cellStyle name="Normal 457 5 3" xfId="34178"/>
    <cellStyle name="Normal 457 6" xfId="34179"/>
    <cellStyle name="Normal 458" xfId="34180"/>
    <cellStyle name="Normal 458 2" xfId="34181"/>
    <cellStyle name="Normal 458 2 2" xfId="34182"/>
    <cellStyle name="Normal 458 2 2 2" xfId="34183"/>
    <cellStyle name="Normal 458 2 3" xfId="34184"/>
    <cellStyle name="Normal 458 2 3 2" xfId="34185"/>
    <cellStyle name="Normal 458 2 3 2 2" xfId="34186"/>
    <cellStyle name="Normal 458 2 3 3" xfId="34187"/>
    <cellStyle name="Normal 458 2 4" xfId="34188"/>
    <cellStyle name="Normal 458 3" xfId="34189"/>
    <cellStyle name="Normal 458 3 2" xfId="34190"/>
    <cellStyle name="Normal 458 3 2 2" xfId="34191"/>
    <cellStyle name="Normal 458 3 3" xfId="34192"/>
    <cellStyle name="Normal 458 4" xfId="34193"/>
    <cellStyle name="Normal 458 4 2" xfId="34194"/>
    <cellStyle name="Normal 458 4 2 2" xfId="34195"/>
    <cellStyle name="Normal 458 4 3" xfId="34196"/>
    <cellStyle name="Normal 458 5" xfId="34197"/>
    <cellStyle name="Normal 458 5 2" xfId="34198"/>
    <cellStyle name="Normal 458 5 2 2" xfId="34199"/>
    <cellStyle name="Normal 458 5 3" xfId="34200"/>
    <cellStyle name="Normal 458 6" xfId="34201"/>
    <cellStyle name="Normal 459" xfId="34202"/>
    <cellStyle name="Normal 459 2" xfId="34203"/>
    <cellStyle name="Normal 459 2 2" xfId="34204"/>
    <cellStyle name="Normal 459 2 2 2" xfId="34205"/>
    <cellStyle name="Normal 459 2 3" xfId="34206"/>
    <cellStyle name="Normal 459 2 3 2" xfId="34207"/>
    <cellStyle name="Normal 459 2 3 2 2" xfId="34208"/>
    <cellStyle name="Normal 459 2 3 3" xfId="34209"/>
    <cellStyle name="Normal 459 2 4" xfId="34210"/>
    <cellStyle name="Normal 459 3" xfId="34211"/>
    <cellStyle name="Normal 459 3 2" xfId="34212"/>
    <cellStyle name="Normal 459 3 2 2" xfId="34213"/>
    <cellStyle name="Normal 459 3 3" xfId="34214"/>
    <cellStyle name="Normal 459 4" xfId="34215"/>
    <cellStyle name="Normal 459 4 2" xfId="34216"/>
    <cellStyle name="Normal 459 4 2 2" xfId="34217"/>
    <cellStyle name="Normal 459 4 3" xfId="34218"/>
    <cellStyle name="Normal 459 5" xfId="34219"/>
    <cellStyle name="Normal 459 5 2" xfId="34220"/>
    <cellStyle name="Normal 459 5 2 2" xfId="34221"/>
    <cellStyle name="Normal 459 5 3" xfId="34222"/>
    <cellStyle name="Normal 459 6" xfId="34223"/>
    <cellStyle name="Normal 46" xfId="34224"/>
    <cellStyle name="Normal 46 2" xfId="34225"/>
    <cellStyle name="Normal 46 2 2" xfId="34226"/>
    <cellStyle name="Normal 46 2 2 2" xfId="34227"/>
    <cellStyle name="Normal 46 2 2 2 2" xfId="34228"/>
    <cellStyle name="Normal 46 2 2 3" xfId="34229"/>
    <cellStyle name="Normal 46 2 2 3 2" xfId="34230"/>
    <cellStyle name="Normal 46 2 2 3 2 2" xfId="34231"/>
    <cellStyle name="Normal 46 2 2 3 3" xfId="34232"/>
    <cellStyle name="Normal 46 2 2 4" xfId="34233"/>
    <cellStyle name="Normal 46 2 2 4 2" xfId="34234"/>
    <cellStyle name="Normal 46 2 2 4 2 2" xfId="34235"/>
    <cellStyle name="Normal 46 2 2 4 3" xfId="34236"/>
    <cellStyle name="Normal 46 2 2 5" xfId="34237"/>
    <cellStyle name="Normal 46 2 3" xfId="34238"/>
    <cellStyle name="Normal 46 2 3 2" xfId="34239"/>
    <cellStyle name="Normal 46 2 3 2 2" xfId="34240"/>
    <cellStyle name="Normal 46 2 3 3" xfId="34241"/>
    <cellStyle name="Normal 46 2 4" xfId="34242"/>
    <cellStyle name="Normal 46 2 4 2" xfId="34243"/>
    <cellStyle name="Normal 46 2 4 2 2" xfId="34244"/>
    <cellStyle name="Normal 46 2 4 3" xfId="34245"/>
    <cellStyle name="Normal 46 2 5" xfId="34246"/>
    <cellStyle name="Normal 46 2 5 2" xfId="34247"/>
    <cellStyle name="Normal 46 2 5 2 2" xfId="34248"/>
    <cellStyle name="Normal 46 2 5 3" xfId="34249"/>
    <cellStyle name="Normal 46 2 6" xfId="34250"/>
    <cellStyle name="Normal 46 3" xfId="34251"/>
    <cellStyle name="Normal 46 3 2" xfId="34252"/>
    <cellStyle name="Normal 46 3 2 2" xfId="34253"/>
    <cellStyle name="Normal 46 3 3" xfId="34254"/>
    <cellStyle name="Normal 46 3 3 2" xfId="34255"/>
    <cellStyle name="Normal 46 3 3 2 2" xfId="34256"/>
    <cellStyle name="Normal 46 3 3 3" xfId="34257"/>
    <cellStyle name="Normal 46 3 4" xfId="34258"/>
    <cellStyle name="Normal 46 3 4 2" xfId="34259"/>
    <cellStyle name="Normal 46 3 4 2 2" xfId="34260"/>
    <cellStyle name="Normal 46 3 4 3" xfId="34261"/>
    <cellStyle name="Normal 46 3 5" xfId="34262"/>
    <cellStyle name="Normal 46 4" xfId="34263"/>
    <cellStyle name="Normal 46 4 2" xfId="34264"/>
    <cellStyle name="Normal 46 4 2 2" xfId="34265"/>
    <cellStyle name="Normal 46 4 3" xfId="34266"/>
    <cellStyle name="Normal 46 5" xfId="34267"/>
    <cellStyle name="Normal 46 5 2" xfId="34268"/>
    <cellStyle name="Normal 46 5 2 2" xfId="34269"/>
    <cellStyle name="Normal 46 5 3" xfId="34270"/>
    <cellStyle name="Normal 46 6" xfId="34271"/>
    <cellStyle name="Normal 46 6 2" xfId="34272"/>
    <cellStyle name="Normal 46 6 2 2" xfId="34273"/>
    <cellStyle name="Normal 46 6 3" xfId="34274"/>
    <cellStyle name="Normal 46 7" xfId="34275"/>
    <cellStyle name="Normal 460" xfId="34276"/>
    <cellStyle name="Normal 460 2" xfId="34277"/>
    <cellStyle name="Normal 460 2 2" xfId="34278"/>
    <cellStyle name="Normal 460 2 2 2" xfId="34279"/>
    <cellStyle name="Normal 460 2 3" xfId="34280"/>
    <cellStyle name="Normal 460 2 3 2" xfId="34281"/>
    <cellStyle name="Normal 460 2 3 2 2" xfId="34282"/>
    <cellStyle name="Normal 460 2 3 3" xfId="34283"/>
    <cellStyle name="Normal 460 2 4" xfId="34284"/>
    <cellStyle name="Normal 460 3" xfId="34285"/>
    <cellStyle name="Normal 460 3 2" xfId="34286"/>
    <cellStyle name="Normal 460 3 2 2" xfId="34287"/>
    <cellStyle name="Normal 460 3 3" xfId="34288"/>
    <cellStyle name="Normal 460 4" xfId="34289"/>
    <cellStyle name="Normal 460 4 2" xfId="34290"/>
    <cellStyle name="Normal 460 4 2 2" xfId="34291"/>
    <cellStyle name="Normal 460 4 3" xfId="34292"/>
    <cellStyle name="Normal 460 5" xfId="34293"/>
    <cellStyle name="Normal 460 5 2" xfId="34294"/>
    <cellStyle name="Normal 460 5 2 2" xfId="34295"/>
    <cellStyle name="Normal 460 5 3" xfId="34296"/>
    <cellStyle name="Normal 460 6" xfId="34297"/>
    <cellStyle name="Normal 461" xfId="34298"/>
    <cellStyle name="Normal 461 2" xfId="34299"/>
    <cellStyle name="Normal 461 2 2" xfId="34300"/>
    <cellStyle name="Normal 461 2 2 2" xfId="34301"/>
    <cellStyle name="Normal 461 2 3" xfId="34302"/>
    <cellStyle name="Normal 461 2 3 2" xfId="34303"/>
    <cellStyle name="Normal 461 2 3 2 2" xfId="34304"/>
    <cellStyle name="Normal 461 2 3 3" xfId="34305"/>
    <cellStyle name="Normal 461 2 4" xfId="34306"/>
    <cellStyle name="Normal 461 3" xfId="34307"/>
    <cellStyle name="Normal 461 3 2" xfId="34308"/>
    <cellStyle name="Normal 461 3 2 2" xfId="34309"/>
    <cellStyle name="Normal 461 3 3" xfId="34310"/>
    <cellStyle name="Normal 461 4" xfId="34311"/>
    <cellStyle name="Normal 461 4 2" xfId="34312"/>
    <cellStyle name="Normal 461 4 2 2" xfId="34313"/>
    <cellStyle name="Normal 461 4 3" xfId="34314"/>
    <cellStyle name="Normal 461 5" xfId="34315"/>
    <cellStyle name="Normal 461 5 2" xfId="34316"/>
    <cellStyle name="Normal 461 5 2 2" xfId="34317"/>
    <cellStyle name="Normal 461 5 3" xfId="34318"/>
    <cellStyle name="Normal 461 6" xfId="34319"/>
    <cellStyle name="Normal 462" xfId="34320"/>
    <cellStyle name="Normal 462 2" xfId="34321"/>
    <cellStyle name="Normal 462 2 2" xfId="34322"/>
    <cellStyle name="Normal 462 2 2 2" xfId="34323"/>
    <cellStyle name="Normal 462 2 3" xfId="34324"/>
    <cellStyle name="Normal 462 2 3 2" xfId="34325"/>
    <cellStyle name="Normal 462 2 3 2 2" xfId="34326"/>
    <cellStyle name="Normal 462 2 3 3" xfId="34327"/>
    <cellStyle name="Normal 462 2 4" xfId="34328"/>
    <cellStyle name="Normal 462 3" xfId="34329"/>
    <cellStyle name="Normal 462 3 2" xfId="34330"/>
    <cellStyle name="Normal 462 3 2 2" xfId="34331"/>
    <cellStyle name="Normal 462 3 3" xfId="34332"/>
    <cellStyle name="Normal 462 4" xfId="34333"/>
    <cellStyle name="Normal 462 4 2" xfId="34334"/>
    <cellStyle name="Normal 462 4 2 2" xfId="34335"/>
    <cellStyle name="Normal 462 4 3" xfId="34336"/>
    <cellStyle name="Normal 462 5" xfId="34337"/>
    <cellStyle name="Normal 462 5 2" xfId="34338"/>
    <cellStyle name="Normal 462 5 2 2" xfId="34339"/>
    <cellStyle name="Normal 462 5 3" xfId="34340"/>
    <cellStyle name="Normal 462 6" xfId="34341"/>
    <cellStyle name="Normal 463" xfId="34342"/>
    <cellStyle name="Normal 463 2" xfId="34343"/>
    <cellStyle name="Normal 463 2 2" xfId="34344"/>
    <cellStyle name="Normal 463 2 2 2" xfId="34345"/>
    <cellStyle name="Normal 463 2 3" xfId="34346"/>
    <cellStyle name="Normal 463 2 3 2" xfId="34347"/>
    <cellStyle name="Normal 463 2 3 2 2" xfId="34348"/>
    <cellStyle name="Normal 463 2 3 3" xfId="34349"/>
    <cellStyle name="Normal 463 2 4" xfId="34350"/>
    <cellStyle name="Normal 463 3" xfId="34351"/>
    <cellStyle name="Normal 463 3 2" xfId="34352"/>
    <cellStyle name="Normal 463 3 2 2" xfId="34353"/>
    <cellStyle name="Normal 463 3 3" xfId="34354"/>
    <cellStyle name="Normal 463 4" xfId="34355"/>
    <cellStyle name="Normal 463 4 2" xfId="34356"/>
    <cellStyle name="Normal 463 4 2 2" xfId="34357"/>
    <cellStyle name="Normal 463 4 3" xfId="34358"/>
    <cellStyle name="Normal 463 5" xfId="34359"/>
    <cellStyle name="Normal 463 5 2" xfId="34360"/>
    <cellStyle name="Normal 463 5 2 2" xfId="34361"/>
    <cellStyle name="Normal 463 5 3" xfId="34362"/>
    <cellStyle name="Normal 463 6" xfId="34363"/>
    <cellStyle name="Normal 464" xfId="34364"/>
    <cellStyle name="Normal 464 2" xfId="34365"/>
    <cellStyle name="Normal 464 2 2" xfId="34366"/>
    <cellStyle name="Normal 464 2 2 2" xfId="34367"/>
    <cellStyle name="Normal 464 2 3" xfId="34368"/>
    <cellStyle name="Normal 464 2 3 2" xfId="34369"/>
    <cellStyle name="Normal 464 2 3 2 2" xfId="34370"/>
    <cellStyle name="Normal 464 2 3 3" xfId="34371"/>
    <cellStyle name="Normal 464 2 4" xfId="34372"/>
    <cellStyle name="Normal 464 3" xfId="34373"/>
    <cellStyle name="Normal 464 3 2" xfId="34374"/>
    <cellStyle name="Normal 464 3 2 2" xfId="34375"/>
    <cellStyle name="Normal 464 3 3" xfId="34376"/>
    <cellStyle name="Normal 464 4" xfId="34377"/>
    <cellStyle name="Normal 464 4 2" xfId="34378"/>
    <cellStyle name="Normal 464 4 2 2" xfId="34379"/>
    <cellStyle name="Normal 464 4 3" xfId="34380"/>
    <cellStyle name="Normal 464 5" xfId="34381"/>
    <cellStyle name="Normal 464 5 2" xfId="34382"/>
    <cellStyle name="Normal 464 5 2 2" xfId="34383"/>
    <cellStyle name="Normal 464 5 3" xfId="34384"/>
    <cellStyle name="Normal 464 6" xfId="34385"/>
    <cellStyle name="Normal 465" xfId="34386"/>
    <cellStyle name="Normal 465 2" xfId="34387"/>
    <cellStyle name="Normal 465 2 2" xfId="34388"/>
    <cellStyle name="Normal 465 2 2 2" xfId="34389"/>
    <cellStyle name="Normal 465 2 3" xfId="34390"/>
    <cellStyle name="Normal 465 2 3 2" xfId="34391"/>
    <cellStyle name="Normal 465 2 3 2 2" xfId="34392"/>
    <cellStyle name="Normal 465 2 3 3" xfId="34393"/>
    <cellStyle name="Normal 465 2 4" xfId="34394"/>
    <cellStyle name="Normal 465 3" xfId="34395"/>
    <cellStyle name="Normal 465 3 2" xfId="34396"/>
    <cellStyle name="Normal 465 3 2 2" xfId="34397"/>
    <cellStyle name="Normal 465 3 3" xfId="34398"/>
    <cellStyle name="Normal 465 4" xfId="34399"/>
    <cellStyle name="Normal 465 4 2" xfId="34400"/>
    <cellStyle name="Normal 465 4 2 2" xfId="34401"/>
    <cellStyle name="Normal 465 4 3" xfId="34402"/>
    <cellStyle name="Normal 465 5" xfId="34403"/>
    <cellStyle name="Normal 465 5 2" xfId="34404"/>
    <cellStyle name="Normal 465 5 2 2" xfId="34405"/>
    <cellStyle name="Normal 465 5 3" xfId="34406"/>
    <cellStyle name="Normal 465 6" xfId="34407"/>
    <cellStyle name="Normal 466" xfId="34408"/>
    <cellStyle name="Normal 466 2" xfId="34409"/>
    <cellStyle name="Normal 466 2 2" xfId="34410"/>
    <cellStyle name="Normal 466 2 2 2" xfId="34411"/>
    <cellStyle name="Normal 466 2 3" xfId="34412"/>
    <cellStyle name="Normal 466 2 3 2" xfId="34413"/>
    <cellStyle name="Normal 466 2 3 2 2" xfId="34414"/>
    <cellStyle name="Normal 466 2 3 3" xfId="34415"/>
    <cellStyle name="Normal 466 2 4" xfId="34416"/>
    <cellStyle name="Normal 466 3" xfId="34417"/>
    <cellStyle name="Normal 466 3 2" xfId="34418"/>
    <cellStyle name="Normal 466 3 2 2" xfId="34419"/>
    <cellStyle name="Normal 466 3 3" xfId="34420"/>
    <cellStyle name="Normal 466 4" xfId="34421"/>
    <cellStyle name="Normal 466 4 2" xfId="34422"/>
    <cellStyle name="Normal 466 4 2 2" xfId="34423"/>
    <cellStyle name="Normal 466 4 3" xfId="34424"/>
    <cellStyle name="Normal 466 5" xfId="34425"/>
    <cellStyle name="Normal 466 5 2" xfId="34426"/>
    <cellStyle name="Normal 466 5 2 2" xfId="34427"/>
    <cellStyle name="Normal 466 5 3" xfId="34428"/>
    <cellStyle name="Normal 466 6" xfId="34429"/>
    <cellStyle name="Normal 467" xfId="34430"/>
    <cellStyle name="Normal 467 2" xfId="34431"/>
    <cellStyle name="Normal 467 2 2" xfId="34432"/>
    <cellStyle name="Normal 467 2 2 2" xfId="34433"/>
    <cellStyle name="Normal 467 2 3" xfId="34434"/>
    <cellStyle name="Normal 467 2 3 2" xfId="34435"/>
    <cellStyle name="Normal 467 2 3 2 2" xfId="34436"/>
    <cellStyle name="Normal 467 2 3 3" xfId="34437"/>
    <cellStyle name="Normal 467 2 4" xfId="34438"/>
    <cellStyle name="Normal 467 3" xfId="34439"/>
    <cellStyle name="Normal 467 3 2" xfId="34440"/>
    <cellStyle name="Normal 467 3 2 2" xfId="34441"/>
    <cellStyle name="Normal 467 3 3" xfId="34442"/>
    <cellStyle name="Normal 467 4" xfId="34443"/>
    <cellStyle name="Normal 467 4 2" xfId="34444"/>
    <cellStyle name="Normal 467 4 2 2" xfId="34445"/>
    <cellStyle name="Normal 467 4 3" xfId="34446"/>
    <cellStyle name="Normal 467 5" xfId="34447"/>
    <cellStyle name="Normal 467 5 2" xfId="34448"/>
    <cellStyle name="Normal 467 5 2 2" xfId="34449"/>
    <cellStyle name="Normal 467 5 3" xfId="34450"/>
    <cellStyle name="Normal 467 6" xfId="34451"/>
    <cellStyle name="Normal 468" xfId="34452"/>
    <cellStyle name="Normal 468 2" xfId="34453"/>
    <cellStyle name="Normal 468 2 2" xfId="34454"/>
    <cellStyle name="Normal 468 2 2 2" xfId="34455"/>
    <cellStyle name="Normal 468 2 3" xfId="34456"/>
    <cellStyle name="Normal 468 2 3 2" xfId="34457"/>
    <cellStyle name="Normal 468 2 3 2 2" xfId="34458"/>
    <cellStyle name="Normal 468 2 3 3" xfId="34459"/>
    <cellStyle name="Normal 468 2 4" xfId="34460"/>
    <cellStyle name="Normal 468 3" xfId="34461"/>
    <cellStyle name="Normal 468 3 2" xfId="34462"/>
    <cellStyle name="Normal 468 3 2 2" xfId="34463"/>
    <cellStyle name="Normal 468 3 3" xfId="34464"/>
    <cellStyle name="Normal 468 4" xfId="34465"/>
    <cellStyle name="Normal 468 4 2" xfId="34466"/>
    <cellStyle name="Normal 468 4 2 2" xfId="34467"/>
    <cellStyle name="Normal 468 4 3" xfId="34468"/>
    <cellStyle name="Normal 468 5" xfId="34469"/>
    <cellStyle name="Normal 468 5 2" xfId="34470"/>
    <cellStyle name="Normal 468 5 2 2" xfId="34471"/>
    <cellStyle name="Normal 468 5 3" xfId="34472"/>
    <cellStyle name="Normal 468 6" xfId="34473"/>
    <cellStyle name="Normal 469" xfId="34474"/>
    <cellStyle name="Normal 469 2" xfId="34475"/>
    <cellStyle name="Normal 469 2 2" xfId="34476"/>
    <cellStyle name="Normal 469 2 2 2" xfId="34477"/>
    <cellStyle name="Normal 469 2 3" xfId="34478"/>
    <cellStyle name="Normal 469 2 3 2" xfId="34479"/>
    <cellStyle name="Normal 469 2 3 2 2" xfId="34480"/>
    <cellStyle name="Normal 469 2 3 3" xfId="34481"/>
    <cellStyle name="Normal 469 2 4" xfId="34482"/>
    <cellStyle name="Normal 469 3" xfId="34483"/>
    <cellStyle name="Normal 469 3 2" xfId="34484"/>
    <cellStyle name="Normal 469 3 2 2" xfId="34485"/>
    <cellStyle name="Normal 469 3 3" xfId="34486"/>
    <cellStyle name="Normal 469 4" xfId="34487"/>
    <cellStyle name="Normal 469 4 2" xfId="34488"/>
    <cellStyle name="Normal 469 4 2 2" xfId="34489"/>
    <cellStyle name="Normal 469 4 3" xfId="34490"/>
    <cellStyle name="Normal 469 5" xfId="34491"/>
    <cellStyle name="Normal 469 5 2" xfId="34492"/>
    <cellStyle name="Normal 469 5 2 2" xfId="34493"/>
    <cellStyle name="Normal 469 5 3" xfId="34494"/>
    <cellStyle name="Normal 469 6" xfId="34495"/>
    <cellStyle name="Normal 47" xfId="34496"/>
    <cellStyle name="Normal 47 2" xfId="34497"/>
    <cellStyle name="Normal 47 2 2" xfId="34498"/>
    <cellStyle name="Normal 47 2 2 2" xfId="34499"/>
    <cellStyle name="Normal 47 2 2 2 2" xfId="34500"/>
    <cellStyle name="Normal 47 2 2 3" xfId="34501"/>
    <cellStyle name="Normal 47 2 2 3 2" xfId="34502"/>
    <cellStyle name="Normal 47 2 2 3 2 2" xfId="34503"/>
    <cellStyle name="Normal 47 2 2 3 3" xfId="34504"/>
    <cellStyle name="Normal 47 2 2 4" xfId="34505"/>
    <cellStyle name="Normal 47 2 2 4 2" xfId="34506"/>
    <cellStyle name="Normal 47 2 2 4 2 2" xfId="34507"/>
    <cellStyle name="Normal 47 2 2 4 3" xfId="34508"/>
    <cellStyle name="Normal 47 2 2 5" xfId="34509"/>
    <cellStyle name="Normal 47 2 3" xfId="34510"/>
    <cellStyle name="Normal 47 2 3 2" xfId="34511"/>
    <cellStyle name="Normal 47 2 3 2 2" xfId="34512"/>
    <cellStyle name="Normal 47 2 3 3" xfId="34513"/>
    <cellStyle name="Normal 47 2 4" xfId="34514"/>
    <cellStyle name="Normal 47 2 4 2" xfId="34515"/>
    <cellStyle name="Normal 47 2 4 2 2" xfId="34516"/>
    <cellStyle name="Normal 47 2 4 3" xfId="34517"/>
    <cellStyle name="Normal 47 2 5" xfId="34518"/>
    <cellStyle name="Normal 47 2 5 2" xfId="34519"/>
    <cellStyle name="Normal 47 2 5 2 2" xfId="34520"/>
    <cellStyle name="Normal 47 2 5 3" xfId="34521"/>
    <cellStyle name="Normal 47 2 6" xfId="34522"/>
    <cellStyle name="Normal 47 3" xfId="34523"/>
    <cellStyle name="Normal 47 3 2" xfId="34524"/>
    <cellStyle name="Normal 47 3 2 2" xfId="34525"/>
    <cellStyle name="Normal 47 3 3" xfId="34526"/>
    <cellStyle name="Normal 47 3 3 2" xfId="34527"/>
    <cellStyle name="Normal 47 3 3 2 2" xfId="34528"/>
    <cellStyle name="Normal 47 3 3 3" xfId="34529"/>
    <cellStyle name="Normal 47 3 4" xfId="34530"/>
    <cellStyle name="Normal 47 3 4 2" xfId="34531"/>
    <cellStyle name="Normal 47 3 4 2 2" xfId="34532"/>
    <cellStyle name="Normal 47 3 4 3" xfId="34533"/>
    <cellStyle name="Normal 47 3 5" xfId="34534"/>
    <cellStyle name="Normal 47 4" xfId="34535"/>
    <cellStyle name="Normal 47 4 2" xfId="34536"/>
    <cellStyle name="Normal 47 4 2 2" xfId="34537"/>
    <cellStyle name="Normal 47 4 3" xfId="34538"/>
    <cellStyle name="Normal 47 5" xfId="34539"/>
    <cellStyle name="Normal 47 5 2" xfId="34540"/>
    <cellStyle name="Normal 47 5 2 2" xfId="34541"/>
    <cellStyle name="Normal 47 5 3" xfId="34542"/>
    <cellStyle name="Normal 47 6" xfId="34543"/>
    <cellStyle name="Normal 47 6 2" xfId="34544"/>
    <cellStyle name="Normal 47 6 2 2" xfId="34545"/>
    <cellStyle name="Normal 47 6 3" xfId="34546"/>
    <cellStyle name="Normal 47 7" xfId="34547"/>
    <cellStyle name="Normal 470" xfId="34548"/>
    <cellStyle name="Normal 470 2" xfId="34549"/>
    <cellStyle name="Normal 470 2 2" xfId="34550"/>
    <cellStyle name="Normal 470 2 2 2" xfId="34551"/>
    <cellStyle name="Normal 470 2 3" xfId="34552"/>
    <cellStyle name="Normal 470 2 3 2" xfId="34553"/>
    <cellStyle name="Normal 470 2 3 2 2" xfId="34554"/>
    <cellStyle name="Normal 470 2 3 3" xfId="34555"/>
    <cellStyle name="Normal 470 2 4" xfId="34556"/>
    <cellStyle name="Normal 470 3" xfId="34557"/>
    <cellStyle name="Normal 470 3 2" xfId="34558"/>
    <cellStyle name="Normal 470 3 2 2" xfId="34559"/>
    <cellStyle name="Normal 470 3 3" xfId="34560"/>
    <cellStyle name="Normal 470 4" xfId="34561"/>
    <cellStyle name="Normal 470 4 2" xfId="34562"/>
    <cellStyle name="Normal 470 4 2 2" xfId="34563"/>
    <cellStyle name="Normal 470 4 3" xfId="34564"/>
    <cellStyle name="Normal 470 5" xfId="34565"/>
    <cellStyle name="Normal 470 5 2" xfId="34566"/>
    <cellStyle name="Normal 470 5 2 2" xfId="34567"/>
    <cellStyle name="Normal 470 5 3" xfId="34568"/>
    <cellStyle name="Normal 470 6" xfId="34569"/>
    <cellStyle name="Normal 471" xfId="34570"/>
    <cellStyle name="Normal 471 2" xfId="34571"/>
    <cellStyle name="Normal 471 2 2" xfId="34572"/>
    <cellStyle name="Normal 471 2 2 2" xfId="34573"/>
    <cellStyle name="Normal 471 2 3" xfId="34574"/>
    <cellStyle name="Normal 471 2 3 2" xfId="34575"/>
    <cellStyle name="Normal 471 2 3 2 2" xfId="34576"/>
    <cellStyle name="Normal 471 2 3 3" xfId="34577"/>
    <cellStyle name="Normal 471 2 4" xfId="34578"/>
    <cellStyle name="Normal 471 3" xfId="34579"/>
    <cellStyle name="Normal 471 3 2" xfId="34580"/>
    <cellStyle name="Normal 471 3 2 2" xfId="34581"/>
    <cellStyle name="Normal 471 3 3" xfId="34582"/>
    <cellStyle name="Normal 471 4" xfId="34583"/>
    <cellStyle name="Normal 471 4 2" xfId="34584"/>
    <cellStyle name="Normal 471 4 2 2" xfId="34585"/>
    <cellStyle name="Normal 471 4 3" xfId="34586"/>
    <cellStyle name="Normal 471 5" xfId="34587"/>
    <cellStyle name="Normal 471 5 2" xfId="34588"/>
    <cellStyle name="Normal 471 5 2 2" xfId="34589"/>
    <cellStyle name="Normal 471 5 3" xfId="34590"/>
    <cellStyle name="Normal 471 6" xfId="34591"/>
    <cellStyle name="Normal 472" xfId="34592"/>
    <cellStyle name="Normal 472 2" xfId="34593"/>
    <cellStyle name="Normal 472 2 2" xfId="34594"/>
    <cellStyle name="Normal 472 2 2 2" xfId="34595"/>
    <cellStyle name="Normal 472 2 3" xfId="34596"/>
    <cellStyle name="Normal 472 2 3 2" xfId="34597"/>
    <cellStyle name="Normal 472 2 3 2 2" xfId="34598"/>
    <cellStyle name="Normal 472 2 3 3" xfId="34599"/>
    <cellStyle name="Normal 472 2 4" xfId="34600"/>
    <cellStyle name="Normal 472 3" xfId="34601"/>
    <cellStyle name="Normal 472 3 2" xfId="34602"/>
    <cellStyle name="Normal 472 3 2 2" xfId="34603"/>
    <cellStyle name="Normal 472 3 3" xfId="34604"/>
    <cellStyle name="Normal 472 4" xfId="34605"/>
    <cellStyle name="Normal 472 4 2" xfId="34606"/>
    <cellStyle name="Normal 472 4 2 2" xfId="34607"/>
    <cellStyle name="Normal 472 4 3" xfId="34608"/>
    <cellStyle name="Normal 472 5" xfId="34609"/>
    <cellStyle name="Normal 472 5 2" xfId="34610"/>
    <cellStyle name="Normal 472 5 2 2" xfId="34611"/>
    <cellStyle name="Normal 472 5 3" xfId="34612"/>
    <cellStyle name="Normal 472 6" xfId="34613"/>
    <cellStyle name="Normal 473" xfId="34614"/>
    <cellStyle name="Normal 473 2" xfId="34615"/>
    <cellStyle name="Normal 473 2 2" xfId="34616"/>
    <cellStyle name="Normal 473 2 2 2" xfId="34617"/>
    <cellStyle name="Normal 473 2 3" xfId="34618"/>
    <cellStyle name="Normal 473 2 3 2" xfId="34619"/>
    <cellStyle name="Normal 473 2 3 2 2" xfId="34620"/>
    <cellStyle name="Normal 473 2 3 3" xfId="34621"/>
    <cellStyle name="Normal 473 2 4" xfId="34622"/>
    <cellStyle name="Normal 473 3" xfId="34623"/>
    <cellStyle name="Normal 473 3 2" xfId="34624"/>
    <cellStyle name="Normal 473 3 2 2" xfId="34625"/>
    <cellStyle name="Normal 473 3 3" xfId="34626"/>
    <cellStyle name="Normal 473 4" xfId="34627"/>
    <cellStyle name="Normal 473 4 2" xfId="34628"/>
    <cellStyle name="Normal 473 4 2 2" xfId="34629"/>
    <cellStyle name="Normal 473 4 3" xfId="34630"/>
    <cellStyle name="Normal 473 5" xfId="34631"/>
    <cellStyle name="Normal 473 5 2" xfId="34632"/>
    <cellStyle name="Normal 473 5 2 2" xfId="34633"/>
    <cellStyle name="Normal 473 5 3" xfId="34634"/>
    <cellStyle name="Normal 473 6" xfId="34635"/>
    <cellStyle name="Normal 474" xfId="34636"/>
    <cellStyle name="Normal 474 2" xfId="34637"/>
    <cellStyle name="Normal 474 2 2" xfId="34638"/>
    <cellStyle name="Normal 474 2 2 2" xfId="34639"/>
    <cellStyle name="Normal 474 2 3" xfId="34640"/>
    <cellStyle name="Normal 474 2 3 2" xfId="34641"/>
    <cellStyle name="Normal 474 2 3 2 2" xfId="34642"/>
    <cellStyle name="Normal 474 2 3 3" xfId="34643"/>
    <cellStyle name="Normal 474 2 4" xfId="34644"/>
    <cellStyle name="Normal 474 3" xfId="34645"/>
    <cellStyle name="Normal 474 3 2" xfId="34646"/>
    <cellStyle name="Normal 474 3 2 2" xfId="34647"/>
    <cellStyle name="Normal 474 3 3" xfId="34648"/>
    <cellStyle name="Normal 474 4" xfId="34649"/>
    <cellStyle name="Normal 474 4 2" xfId="34650"/>
    <cellStyle name="Normal 474 4 2 2" xfId="34651"/>
    <cellStyle name="Normal 474 4 3" xfId="34652"/>
    <cellStyle name="Normal 474 5" xfId="34653"/>
    <cellStyle name="Normal 474 5 2" xfId="34654"/>
    <cellStyle name="Normal 474 5 2 2" xfId="34655"/>
    <cellStyle name="Normal 474 5 3" xfId="34656"/>
    <cellStyle name="Normal 474 6" xfId="34657"/>
    <cellStyle name="Normal 475" xfId="34658"/>
    <cellStyle name="Normal 475 2" xfId="34659"/>
    <cellStyle name="Normal 475 2 2" xfId="34660"/>
    <cellStyle name="Normal 475 2 2 2" xfId="34661"/>
    <cellStyle name="Normal 475 2 3" xfId="34662"/>
    <cellStyle name="Normal 475 2 3 2" xfId="34663"/>
    <cellStyle name="Normal 475 2 3 2 2" xfId="34664"/>
    <cellStyle name="Normal 475 2 3 3" xfId="34665"/>
    <cellStyle name="Normal 475 2 4" xfId="34666"/>
    <cellStyle name="Normal 475 3" xfId="34667"/>
    <cellStyle name="Normal 475 3 2" xfId="34668"/>
    <cellStyle name="Normal 475 3 2 2" xfId="34669"/>
    <cellStyle name="Normal 475 3 3" xfId="34670"/>
    <cellStyle name="Normal 475 4" xfId="34671"/>
    <cellStyle name="Normal 475 4 2" xfId="34672"/>
    <cellStyle name="Normal 475 4 2 2" xfId="34673"/>
    <cellStyle name="Normal 475 4 3" xfId="34674"/>
    <cellStyle name="Normal 475 5" xfId="34675"/>
    <cellStyle name="Normal 475 5 2" xfId="34676"/>
    <cellStyle name="Normal 475 5 2 2" xfId="34677"/>
    <cellStyle name="Normal 475 5 3" xfId="34678"/>
    <cellStyle name="Normal 475 6" xfId="34679"/>
    <cellStyle name="Normal 476" xfId="34680"/>
    <cellStyle name="Normal 476 2" xfId="34681"/>
    <cellStyle name="Normal 476 2 2" xfId="34682"/>
    <cellStyle name="Normal 476 2 2 2" xfId="34683"/>
    <cellStyle name="Normal 476 2 3" xfId="34684"/>
    <cellStyle name="Normal 476 2 3 2" xfId="34685"/>
    <cellStyle name="Normal 476 2 3 2 2" xfId="34686"/>
    <cellStyle name="Normal 476 2 3 3" xfId="34687"/>
    <cellStyle name="Normal 476 2 4" xfId="34688"/>
    <cellStyle name="Normal 476 3" xfId="34689"/>
    <cellStyle name="Normal 476 3 2" xfId="34690"/>
    <cellStyle name="Normal 476 3 2 2" xfId="34691"/>
    <cellStyle name="Normal 476 3 3" xfId="34692"/>
    <cellStyle name="Normal 476 4" xfId="34693"/>
    <cellStyle name="Normal 476 4 2" xfId="34694"/>
    <cellStyle name="Normal 476 4 2 2" xfId="34695"/>
    <cellStyle name="Normal 476 4 3" xfId="34696"/>
    <cellStyle name="Normal 476 5" xfId="34697"/>
    <cellStyle name="Normal 476 5 2" xfId="34698"/>
    <cellStyle name="Normal 476 5 2 2" xfId="34699"/>
    <cellStyle name="Normal 476 5 3" xfId="34700"/>
    <cellStyle name="Normal 476 6" xfId="34701"/>
    <cellStyle name="Normal 477" xfId="34702"/>
    <cellStyle name="Normal 477 2" xfId="34703"/>
    <cellStyle name="Normal 477 2 2" xfId="34704"/>
    <cellStyle name="Normal 477 2 2 2" xfId="34705"/>
    <cellStyle name="Normal 477 2 3" xfId="34706"/>
    <cellStyle name="Normal 477 2 3 2" xfId="34707"/>
    <cellStyle name="Normal 477 2 3 2 2" xfId="34708"/>
    <cellStyle name="Normal 477 2 3 3" xfId="34709"/>
    <cellStyle name="Normal 477 2 4" xfId="34710"/>
    <cellStyle name="Normal 477 3" xfId="34711"/>
    <cellStyle name="Normal 477 3 2" xfId="34712"/>
    <cellStyle name="Normal 477 3 2 2" xfId="34713"/>
    <cellStyle name="Normal 477 3 3" xfId="34714"/>
    <cellStyle name="Normal 477 4" xfId="34715"/>
    <cellStyle name="Normal 477 4 2" xfId="34716"/>
    <cellStyle name="Normal 477 4 2 2" xfId="34717"/>
    <cellStyle name="Normal 477 4 3" xfId="34718"/>
    <cellStyle name="Normal 477 5" xfId="34719"/>
    <cellStyle name="Normal 477 5 2" xfId="34720"/>
    <cellStyle name="Normal 477 5 2 2" xfId="34721"/>
    <cellStyle name="Normal 477 5 3" xfId="34722"/>
    <cellStyle name="Normal 477 6" xfId="34723"/>
    <cellStyle name="Normal 478" xfId="34724"/>
    <cellStyle name="Normal 478 2" xfId="34725"/>
    <cellStyle name="Normal 478 2 2" xfId="34726"/>
    <cellStyle name="Normal 478 2 2 2" xfId="34727"/>
    <cellStyle name="Normal 478 2 3" xfId="34728"/>
    <cellStyle name="Normal 478 2 3 2" xfId="34729"/>
    <cellStyle name="Normal 478 2 3 2 2" xfId="34730"/>
    <cellStyle name="Normal 478 2 3 3" xfId="34731"/>
    <cellStyle name="Normal 478 2 4" xfId="34732"/>
    <cellStyle name="Normal 478 3" xfId="34733"/>
    <cellStyle name="Normal 478 3 2" xfId="34734"/>
    <cellStyle name="Normal 478 3 2 2" xfId="34735"/>
    <cellStyle name="Normal 478 3 3" xfId="34736"/>
    <cellStyle name="Normal 478 4" xfId="34737"/>
    <cellStyle name="Normal 478 4 2" xfId="34738"/>
    <cellStyle name="Normal 478 4 2 2" xfId="34739"/>
    <cellStyle name="Normal 478 4 3" xfId="34740"/>
    <cellStyle name="Normal 478 5" xfId="34741"/>
    <cellStyle name="Normal 478 5 2" xfId="34742"/>
    <cellStyle name="Normal 478 5 2 2" xfId="34743"/>
    <cellStyle name="Normal 478 5 3" xfId="34744"/>
    <cellStyle name="Normal 478 6" xfId="34745"/>
    <cellStyle name="Normal 479" xfId="34746"/>
    <cellStyle name="Normal 479 2" xfId="34747"/>
    <cellStyle name="Normal 479 2 2" xfId="34748"/>
    <cellStyle name="Normal 479 2 2 2" xfId="34749"/>
    <cellStyle name="Normal 479 2 3" xfId="34750"/>
    <cellStyle name="Normal 479 2 3 2" xfId="34751"/>
    <cellStyle name="Normal 479 2 3 2 2" xfId="34752"/>
    <cellStyle name="Normal 479 2 3 3" xfId="34753"/>
    <cellStyle name="Normal 479 2 4" xfId="34754"/>
    <cellStyle name="Normal 479 3" xfId="34755"/>
    <cellStyle name="Normal 479 3 2" xfId="34756"/>
    <cellStyle name="Normal 479 3 2 2" xfId="34757"/>
    <cellStyle name="Normal 479 3 3" xfId="34758"/>
    <cellStyle name="Normal 479 4" xfId="34759"/>
    <cellStyle name="Normal 479 4 2" xfId="34760"/>
    <cellStyle name="Normal 479 4 2 2" xfId="34761"/>
    <cellStyle name="Normal 479 4 3" xfId="34762"/>
    <cellStyle name="Normal 479 5" xfId="34763"/>
    <cellStyle name="Normal 479 5 2" xfId="34764"/>
    <cellStyle name="Normal 479 5 2 2" xfId="34765"/>
    <cellStyle name="Normal 479 5 3" xfId="34766"/>
    <cellStyle name="Normal 479 6" xfId="34767"/>
    <cellStyle name="Normal 48" xfId="249"/>
    <cellStyle name="Normal 48 2" xfId="34768"/>
    <cellStyle name="Normal 48 2 2" xfId="34769"/>
    <cellStyle name="Normal 48 2 2 2" xfId="34770"/>
    <cellStyle name="Normal 48 2 2 2 2" xfId="34771"/>
    <cellStyle name="Normal 48 2 2 3" xfId="34772"/>
    <cellStyle name="Normal 48 2 2 3 2" xfId="34773"/>
    <cellStyle name="Normal 48 2 2 3 2 2" xfId="34774"/>
    <cellStyle name="Normal 48 2 2 3 3" xfId="34775"/>
    <cellStyle name="Normal 48 2 2 4" xfId="34776"/>
    <cellStyle name="Normal 48 2 2 4 2" xfId="34777"/>
    <cellStyle name="Normal 48 2 2 4 2 2" xfId="34778"/>
    <cellStyle name="Normal 48 2 2 4 3" xfId="34779"/>
    <cellStyle name="Normal 48 2 2 5" xfId="34780"/>
    <cellStyle name="Normal 48 2 3" xfId="34781"/>
    <cellStyle name="Normal 48 2 3 2" xfId="34782"/>
    <cellStyle name="Normal 48 2 3 2 2" xfId="34783"/>
    <cellStyle name="Normal 48 2 3 3" xfId="34784"/>
    <cellStyle name="Normal 48 2 4" xfId="34785"/>
    <cellStyle name="Normal 48 2 4 2" xfId="34786"/>
    <cellStyle name="Normal 48 2 4 2 2" xfId="34787"/>
    <cellStyle name="Normal 48 2 4 3" xfId="34788"/>
    <cellStyle name="Normal 48 2 5" xfId="34789"/>
    <cellStyle name="Normal 48 2 5 2" xfId="34790"/>
    <cellStyle name="Normal 48 2 5 2 2" xfId="34791"/>
    <cellStyle name="Normal 48 2 5 3" xfId="34792"/>
    <cellStyle name="Normal 48 2 6" xfId="34793"/>
    <cellStyle name="Normal 48 3" xfId="34794"/>
    <cellStyle name="Normal 48 3 2" xfId="34795"/>
    <cellStyle name="Normal 48 3 2 2" xfId="34796"/>
    <cellStyle name="Normal 48 3 3" xfId="34797"/>
    <cellStyle name="Normal 48 3 3 2" xfId="34798"/>
    <cellStyle name="Normal 48 3 3 2 2" xfId="34799"/>
    <cellStyle name="Normal 48 3 3 3" xfId="34800"/>
    <cellStyle name="Normal 48 3 4" xfId="34801"/>
    <cellStyle name="Normal 48 3 4 2" xfId="34802"/>
    <cellStyle name="Normal 48 3 4 2 2" xfId="34803"/>
    <cellStyle name="Normal 48 3 4 3" xfId="34804"/>
    <cellStyle name="Normal 48 3 5" xfId="34805"/>
    <cellStyle name="Normal 48 4" xfId="34806"/>
    <cellStyle name="Normal 48 4 2" xfId="34807"/>
    <cellStyle name="Normal 48 4 2 2" xfId="34808"/>
    <cellStyle name="Normal 48 4 3" xfId="34809"/>
    <cellStyle name="Normal 48 5" xfId="34810"/>
    <cellStyle name="Normal 48 5 2" xfId="34811"/>
    <cellStyle name="Normal 48 5 2 2" xfId="34812"/>
    <cellStyle name="Normal 48 5 3" xfId="34813"/>
    <cellStyle name="Normal 48 6" xfId="34814"/>
    <cellStyle name="Normal 48 6 2" xfId="34815"/>
    <cellStyle name="Normal 48 6 2 2" xfId="34816"/>
    <cellStyle name="Normal 48 6 3" xfId="34817"/>
    <cellStyle name="Normal 48 7" xfId="34818"/>
    <cellStyle name="Normal 480" xfId="34819"/>
    <cellStyle name="Normal 480 2" xfId="34820"/>
    <cellStyle name="Normal 480 2 2" xfId="34821"/>
    <cellStyle name="Normal 480 2 2 2" xfId="34822"/>
    <cellStyle name="Normal 480 2 3" xfId="34823"/>
    <cellStyle name="Normal 480 2 3 2" xfId="34824"/>
    <cellStyle name="Normal 480 2 3 2 2" xfId="34825"/>
    <cellStyle name="Normal 480 2 3 3" xfId="34826"/>
    <cellStyle name="Normal 480 2 4" xfId="34827"/>
    <cellStyle name="Normal 480 3" xfId="34828"/>
    <cellStyle name="Normal 480 3 2" xfId="34829"/>
    <cellStyle name="Normal 480 3 2 2" xfId="34830"/>
    <cellStyle name="Normal 480 3 3" xfId="34831"/>
    <cellStyle name="Normal 480 4" xfId="34832"/>
    <cellStyle name="Normal 480 4 2" xfId="34833"/>
    <cellStyle name="Normal 480 4 2 2" xfId="34834"/>
    <cellStyle name="Normal 480 4 3" xfId="34835"/>
    <cellStyle name="Normal 480 5" xfId="34836"/>
    <cellStyle name="Normal 480 5 2" xfId="34837"/>
    <cellStyle name="Normal 480 5 2 2" xfId="34838"/>
    <cellStyle name="Normal 480 5 3" xfId="34839"/>
    <cellStyle name="Normal 480 6" xfId="34840"/>
    <cellStyle name="Normal 481" xfId="34841"/>
    <cellStyle name="Normal 481 2" xfId="34842"/>
    <cellStyle name="Normal 481 2 2" xfId="34843"/>
    <cellStyle name="Normal 481 2 2 2" xfId="34844"/>
    <cellStyle name="Normal 481 2 3" xfId="34845"/>
    <cellStyle name="Normal 481 2 3 2" xfId="34846"/>
    <cellStyle name="Normal 481 2 3 2 2" xfId="34847"/>
    <cellStyle name="Normal 481 2 3 3" xfId="34848"/>
    <cellStyle name="Normal 481 2 4" xfId="34849"/>
    <cellStyle name="Normal 481 3" xfId="34850"/>
    <cellStyle name="Normal 481 3 2" xfId="34851"/>
    <cellStyle name="Normal 481 3 2 2" xfId="34852"/>
    <cellStyle name="Normal 481 3 3" xfId="34853"/>
    <cellStyle name="Normal 481 4" xfId="34854"/>
    <cellStyle name="Normal 481 4 2" xfId="34855"/>
    <cellStyle name="Normal 481 4 2 2" xfId="34856"/>
    <cellStyle name="Normal 481 4 3" xfId="34857"/>
    <cellStyle name="Normal 481 5" xfId="34858"/>
    <cellStyle name="Normal 481 5 2" xfId="34859"/>
    <cellStyle name="Normal 481 5 2 2" xfId="34860"/>
    <cellStyle name="Normal 481 5 3" xfId="34861"/>
    <cellStyle name="Normal 481 6" xfId="34862"/>
    <cellStyle name="Normal 482" xfId="34863"/>
    <cellStyle name="Normal 482 2" xfId="34864"/>
    <cellStyle name="Normal 482 2 2" xfId="34865"/>
    <cellStyle name="Normal 482 2 2 2" xfId="34866"/>
    <cellStyle name="Normal 482 2 3" xfId="34867"/>
    <cellStyle name="Normal 482 2 3 2" xfId="34868"/>
    <cellStyle name="Normal 482 2 3 2 2" xfId="34869"/>
    <cellStyle name="Normal 482 2 3 3" xfId="34870"/>
    <cellStyle name="Normal 482 2 4" xfId="34871"/>
    <cellStyle name="Normal 482 3" xfId="34872"/>
    <cellStyle name="Normal 482 3 2" xfId="34873"/>
    <cellStyle name="Normal 482 3 2 2" xfId="34874"/>
    <cellStyle name="Normal 482 3 3" xfId="34875"/>
    <cellStyle name="Normal 482 4" xfId="34876"/>
    <cellStyle name="Normal 482 4 2" xfId="34877"/>
    <cellStyle name="Normal 482 4 2 2" xfId="34878"/>
    <cellStyle name="Normal 482 4 3" xfId="34879"/>
    <cellStyle name="Normal 482 5" xfId="34880"/>
    <cellStyle name="Normal 482 5 2" xfId="34881"/>
    <cellStyle name="Normal 482 5 2 2" xfId="34882"/>
    <cellStyle name="Normal 482 5 3" xfId="34883"/>
    <cellStyle name="Normal 482 6" xfId="34884"/>
    <cellStyle name="Normal 483" xfId="34885"/>
    <cellStyle name="Normal 483 2" xfId="34886"/>
    <cellStyle name="Normal 483 2 2" xfId="34887"/>
    <cellStyle name="Normal 483 2 2 2" xfId="34888"/>
    <cellStyle name="Normal 483 2 3" xfId="34889"/>
    <cellStyle name="Normal 483 2 3 2" xfId="34890"/>
    <cellStyle name="Normal 483 2 3 2 2" xfId="34891"/>
    <cellStyle name="Normal 483 2 3 3" xfId="34892"/>
    <cellStyle name="Normal 483 2 4" xfId="34893"/>
    <cellStyle name="Normal 483 3" xfId="34894"/>
    <cellStyle name="Normal 483 3 2" xfId="34895"/>
    <cellStyle name="Normal 483 3 2 2" xfId="34896"/>
    <cellStyle name="Normal 483 3 3" xfId="34897"/>
    <cellStyle name="Normal 483 4" xfId="34898"/>
    <cellStyle name="Normal 483 4 2" xfId="34899"/>
    <cellStyle name="Normal 483 4 2 2" xfId="34900"/>
    <cellStyle name="Normal 483 4 3" xfId="34901"/>
    <cellStyle name="Normal 483 5" xfId="34902"/>
    <cellStyle name="Normal 483 5 2" xfId="34903"/>
    <cellStyle name="Normal 483 5 2 2" xfId="34904"/>
    <cellStyle name="Normal 483 5 3" xfId="34905"/>
    <cellStyle name="Normal 483 6" xfId="34906"/>
    <cellStyle name="Normal 484" xfId="34907"/>
    <cellStyle name="Normal 484 2" xfId="34908"/>
    <cellStyle name="Normal 484 2 2" xfId="34909"/>
    <cellStyle name="Normal 484 2 2 2" xfId="34910"/>
    <cellStyle name="Normal 484 2 3" xfId="34911"/>
    <cellStyle name="Normal 484 2 3 2" xfId="34912"/>
    <cellStyle name="Normal 484 2 3 2 2" xfId="34913"/>
    <cellStyle name="Normal 484 2 3 3" xfId="34914"/>
    <cellStyle name="Normal 484 2 4" xfId="34915"/>
    <cellStyle name="Normal 484 3" xfId="34916"/>
    <cellStyle name="Normal 484 3 2" xfId="34917"/>
    <cellStyle name="Normal 484 3 2 2" xfId="34918"/>
    <cellStyle name="Normal 484 3 3" xfId="34919"/>
    <cellStyle name="Normal 484 4" xfId="34920"/>
    <cellStyle name="Normal 484 4 2" xfId="34921"/>
    <cellStyle name="Normal 484 4 2 2" xfId="34922"/>
    <cellStyle name="Normal 484 4 3" xfId="34923"/>
    <cellStyle name="Normal 484 5" xfId="34924"/>
    <cellStyle name="Normal 484 5 2" xfId="34925"/>
    <cellStyle name="Normal 484 5 2 2" xfId="34926"/>
    <cellStyle name="Normal 484 5 3" xfId="34927"/>
    <cellStyle name="Normal 484 6" xfId="34928"/>
    <cellStyle name="Normal 485" xfId="34929"/>
    <cellStyle name="Normal 485 2" xfId="34930"/>
    <cellStyle name="Normal 485 2 2" xfId="34931"/>
    <cellStyle name="Normal 485 2 2 2" xfId="34932"/>
    <cellStyle name="Normal 485 2 3" xfId="34933"/>
    <cellStyle name="Normal 485 2 3 2" xfId="34934"/>
    <cellStyle name="Normal 485 2 3 2 2" xfId="34935"/>
    <cellStyle name="Normal 485 2 3 3" xfId="34936"/>
    <cellStyle name="Normal 485 2 4" xfId="34937"/>
    <cellStyle name="Normal 485 3" xfId="34938"/>
    <cellStyle name="Normal 485 3 2" xfId="34939"/>
    <cellStyle name="Normal 485 3 2 2" xfId="34940"/>
    <cellStyle name="Normal 485 3 3" xfId="34941"/>
    <cellStyle name="Normal 485 4" xfId="34942"/>
    <cellStyle name="Normal 485 4 2" xfId="34943"/>
    <cellStyle name="Normal 485 4 2 2" xfId="34944"/>
    <cellStyle name="Normal 485 4 3" xfId="34945"/>
    <cellStyle name="Normal 485 5" xfId="34946"/>
    <cellStyle name="Normal 485 5 2" xfId="34947"/>
    <cellStyle name="Normal 485 5 2 2" xfId="34948"/>
    <cellStyle name="Normal 485 5 3" xfId="34949"/>
    <cellStyle name="Normal 485 6" xfId="34950"/>
    <cellStyle name="Normal 486" xfId="34951"/>
    <cellStyle name="Normal 486 2" xfId="34952"/>
    <cellStyle name="Normal 486 2 2" xfId="34953"/>
    <cellStyle name="Normal 486 2 2 2" xfId="34954"/>
    <cellStyle name="Normal 486 2 3" xfId="34955"/>
    <cellStyle name="Normal 486 2 3 2" xfId="34956"/>
    <cellStyle name="Normal 486 2 3 2 2" xfId="34957"/>
    <cellStyle name="Normal 486 2 3 3" xfId="34958"/>
    <cellStyle name="Normal 486 2 4" xfId="34959"/>
    <cellStyle name="Normal 486 3" xfId="34960"/>
    <cellStyle name="Normal 486 3 2" xfId="34961"/>
    <cellStyle name="Normal 486 3 2 2" xfId="34962"/>
    <cellStyle name="Normal 486 3 3" xfId="34963"/>
    <cellStyle name="Normal 486 4" xfId="34964"/>
    <cellStyle name="Normal 486 4 2" xfId="34965"/>
    <cellStyle name="Normal 486 4 2 2" xfId="34966"/>
    <cellStyle name="Normal 486 4 3" xfId="34967"/>
    <cellStyle name="Normal 486 5" xfId="34968"/>
    <cellStyle name="Normal 486 5 2" xfId="34969"/>
    <cellStyle name="Normal 486 5 2 2" xfId="34970"/>
    <cellStyle name="Normal 486 5 3" xfId="34971"/>
    <cellStyle name="Normal 486 6" xfId="34972"/>
    <cellStyle name="Normal 487" xfId="34973"/>
    <cellStyle name="Normal 487 2" xfId="34974"/>
    <cellStyle name="Normal 487 2 2" xfId="34975"/>
    <cellStyle name="Normal 487 2 2 2" xfId="34976"/>
    <cellStyle name="Normal 487 2 3" xfId="34977"/>
    <cellStyle name="Normal 487 2 3 2" xfId="34978"/>
    <cellStyle name="Normal 487 2 3 2 2" xfId="34979"/>
    <cellStyle name="Normal 487 2 3 3" xfId="34980"/>
    <cellStyle name="Normal 487 2 4" xfId="34981"/>
    <cellStyle name="Normal 487 3" xfId="34982"/>
    <cellStyle name="Normal 487 3 2" xfId="34983"/>
    <cellStyle name="Normal 487 3 2 2" xfId="34984"/>
    <cellStyle name="Normal 487 3 3" xfId="34985"/>
    <cellStyle name="Normal 487 4" xfId="34986"/>
    <cellStyle name="Normal 487 4 2" xfId="34987"/>
    <cellStyle name="Normal 487 4 2 2" xfId="34988"/>
    <cellStyle name="Normal 487 4 3" xfId="34989"/>
    <cellStyle name="Normal 487 5" xfId="34990"/>
    <cellStyle name="Normal 487 5 2" xfId="34991"/>
    <cellStyle name="Normal 487 5 2 2" xfId="34992"/>
    <cellStyle name="Normal 487 5 3" xfId="34993"/>
    <cellStyle name="Normal 487 6" xfId="34994"/>
    <cellStyle name="Normal 488" xfId="34995"/>
    <cellStyle name="Normal 488 2" xfId="34996"/>
    <cellStyle name="Normal 488 2 2" xfId="34997"/>
    <cellStyle name="Normal 488 2 2 2" xfId="34998"/>
    <cellStyle name="Normal 488 2 3" xfId="34999"/>
    <cellStyle name="Normal 488 2 3 2" xfId="35000"/>
    <cellStyle name="Normal 488 2 3 2 2" xfId="35001"/>
    <cellStyle name="Normal 488 2 3 3" xfId="35002"/>
    <cellStyle name="Normal 488 2 4" xfId="35003"/>
    <cellStyle name="Normal 488 3" xfId="35004"/>
    <cellStyle name="Normal 488 3 2" xfId="35005"/>
    <cellStyle name="Normal 488 3 2 2" xfId="35006"/>
    <cellStyle name="Normal 488 3 3" xfId="35007"/>
    <cellStyle name="Normal 488 4" xfId="35008"/>
    <cellStyle name="Normal 488 4 2" xfId="35009"/>
    <cellStyle name="Normal 488 4 2 2" xfId="35010"/>
    <cellStyle name="Normal 488 4 3" xfId="35011"/>
    <cellStyle name="Normal 488 5" xfId="35012"/>
    <cellStyle name="Normal 488 5 2" xfId="35013"/>
    <cellStyle name="Normal 488 5 2 2" xfId="35014"/>
    <cellStyle name="Normal 488 5 3" xfId="35015"/>
    <cellStyle name="Normal 488 6" xfId="35016"/>
    <cellStyle name="Normal 489" xfId="35017"/>
    <cellStyle name="Normal 489 2" xfId="35018"/>
    <cellStyle name="Normal 489 2 2" xfId="35019"/>
    <cellStyle name="Normal 489 2 2 2" xfId="35020"/>
    <cellStyle name="Normal 489 2 3" xfId="35021"/>
    <cellStyle name="Normal 489 2 3 2" xfId="35022"/>
    <cellStyle name="Normal 489 2 3 2 2" xfId="35023"/>
    <cellStyle name="Normal 489 2 3 3" xfId="35024"/>
    <cellStyle name="Normal 489 2 4" xfId="35025"/>
    <cellStyle name="Normal 489 3" xfId="35026"/>
    <cellStyle name="Normal 489 3 2" xfId="35027"/>
    <cellStyle name="Normal 489 3 2 2" xfId="35028"/>
    <cellStyle name="Normal 489 3 3" xfId="35029"/>
    <cellStyle name="Normal 489 4" xfId="35030"/>
    <cellStyle name="Normal 489 4 2" xfId="35031"/>
    <cellStyle name="Normal 489 4 2 2" xfId="35032"/>
    <cellStyle name="Normal 489 4 3" xfId="35033"/>
    <cellStyle name="Normal 489 5" xfId="35034"/>
    <cellStyle name="Normal 489 5 2" xfId="35035"/>
    <cellStyle name="Normal 489 5 2 2" xfId="35036"/>
    <cellStyle name="Normal 489 5 3" xfId="35037"/>
    <cellStyle name="Normal 489 6" xfId="35038"/>
    <cellStyle name="Normal 49" xfId="250"/>
    <cellStyle name="Normal 49 2" xfId="35039"/>
    <cellStyle name="Normal 49 2 2" xfId="35040"/>
    <cellStyle name="Normal 49 2 2 2" xfId="35041"/>
    <cellStyle name="Normal 49 2 2 2 2" xfId="35042"/>
    <cellStyle name="Normal 49 2 2 3" xfId="35043"/>
    <cellStyle name="Normal 49 2 2 3 2" xfId="35044"/>
    <cellStyle name="Normal 49 2 2 3 2 2" xfId="35045"/>
    <cellStyle name="Normal 49 2 2 3 3" xfId="35046"/>
    <cellStyle name="Normal 49 2 2 4" xfId="35047"/>
    <cellStyle name="Normal 49 2 2 4 2" xfId="35048"/>
    <cellStyle name="Normal 49 2 2 4 2 2" xfId="35049"/>
    <cellStyle name="Normal 49 2 2 4 3" xfId="35050"/>
    <cellStyle name="Normal 49 2 2 5" xfId="35051"/>
    <cellStyle name="Normal 49 2 3" xfId="35052"/>
    <cellStyle name="Normal 49 2 3 2" xfId="35053"/>
    <cellStyle name="Normal 49 2 3 2 2" xfId="35054"/>
    <cellStyle name="Normal 49 2 3 3" xfId="35055"/>
    <cellStyle name="Normal 49 2 4" xfId="35056"/>
    <cellStyle name="Normal 49 2 4 2" xfId="35057"/>
    <cellStyle name="Normal 49 2 4 2 2" xfId="35058"/>
    <cellStyle name="Normal 49 2 4 3" xfId="35059"/>
    <cellStyle name="Normal 49 2 5" xfId="35060"/>
    <cellStyle name="Normal 49 2 5 2" xfId="35061"/>
    <cellStyle name="Normal 49 2 5 2 2" xfId="35062"/>
    <cellStyle name="Normal 49 2 5 3" xfId="35063"/>
    <cellStyle name="Normal 49 2 6" xfId="35064"/>
    <cellStyle name="Normal 49 3" xfId="35065"/>
    <cellStyle name="Normal 49 3 2" xfId="35066"/>
    <cellStyle name="Normal 49 3 2 2" xfId="35067"/>
    <cellStyle name="Normal 49 3 3" xfId="35068"/>
    <cellStyle name="Normal 49 3 3 2" xfId="35069"/>
    <cellStyle name="Normal 49 3 3 2 2" xfId="35070"/>
    <cellStyle name="Normal 49 3 3 3" xfId="35071"/>
    <cellStyle name="Normal 49 3 4" xfId="35072"/>
    <cellStyle name="Normal 49 3 4 2" xfId="35073"/>
    <cellStyle name="Normal 49 3 4 2 2" xfId="35074"/>
    <cellStyle name="Normal 49 3 4 3" xfId="35075"/>
    <cellStyle name="Normal 49 3 5" xfId="35076"/>
    <cellStyle name="Normal 49 4" xfId="35077"/>
    <cellStyle name="Normal 49 4 2" xfId="35078"/>
    <cellStyle name="Normal 49 4 2 2" xfId="35079"/>
    <cellStyle name="Normal 49 4 3" xfId="35080"/>
    <cellStyle name="Normal 49 5" xfId="35081"/>
    <cellStyle name="Normal 49 5 2" xfId="35082"/>
    <cellStyle name="Normal 49 5 2 2" xfId="35083"/>
    <cellStyle name="Normal 49 5 3" xfId="35084"/>
    <cellStyle name="Normal 49 6" xfId="35085"/>
    <cellStyle name="Normal 49 6 2" xfId="35086"/>
    <cellStyle name="Normal 49 6 2 2" xfId="35087"/>
    <cellStyle name="Normal 49 6 3" xfId="35088"/>
    <cellStyle name="Normal 49 7" xfId="35089"/>
    <cellStyle name="Normal 490" xfId="35090"/>
    <cellStyle name="Normal 490 2" xfId="35091"/>
    <cellStyle name="Normal 490 2 2" xfId="35092"/>
    <cellStyle name="Normal 490 2 2 2" xfId="35093"/>
    <cellStyle name="Normal 490 2 3" xfId="35094"/>
    <cellStyle name="Normal 490 2 3 2" xfId="35095"/>
    <cellStyle name="Normal 490 2 3 2 2" xfId="35096"/>
    <cellStyle name="Normal 490 2 3 3" xfId="35097"/>
    <cellStyle name="Normal 490 2 4" xfId="35098"/>
    <cellStyle name="Normal 490 3" xfId="35099"/>
    <cellStyle name="Normal 490 3 2" xfId="35100"/>
    <cellStyle name="Normal 490 3 2 2" xfId="35101"/>
    <cellStyle name="Normal 490 3 3" xfId="35102"/>
    <cellStyle name="Normal 490 4" xfId="35103"/>
    <cellStyle name="Normal 490 4 2" xfId="35104"/>
    <cellStyle name="Normal 490 4 2 2" xfId="35105"/>
    <cellStyle name="Normal 490 4 3" xfId="35106"/>
    <cellStyle name="Normal 490 5" xfId="35107"/>
    <cellStyle name="Normal 490 5 2" xfId="35108"/>
    <cellStyle name="Normal 490 5 2 2" xfId="35109"/>
    <cellStyle name="Normal 490 5 3" xfId="35110"/>
    <cellStyle name="Normal 490 6" xfId="35111"/>
    <cellStyle name="Normal 491" xfId="35112"/>
    <cellStyle name="Normal 491 2" xfId="35113"/>
    <cellStyle name="Normal 491 2 2" xfId="35114"/>
    <cellStyle name="Normal 491 2 2 2" xfId="35115"/>
    <cellStyle name="Normal 491 2 3" xfId="35116"/>
    <cellStyle name="Normal 491 2 3 2" xfId="35117"/>
    <cellStyle name="Normal 491 2 3 2 2" xfId="35118"/>
    <cellStyle name="Normal 491 2 3 3" xfId="35119"/>
    <cellStyle name="Normal 491 2 4" xfId="35120"/>
    <cellStyle name="Normal 491 3" xfId="35121"/>
    <cellStyle name="Normal 491 3 2" xfId="35122"/>
    <cellStyle name="Normal 491 3 2 2" xfId="35123"/>
    <cellStyle name="Normal 491 3 3" xfId="35124"/>
    <cellStyle name="Normal 491 4" xfId="35125"/>
    <cellStyle name="Normal 491 4 2" xfId="35126"/>
    <cellStyle name="Normal 491 4 2 2" xfId="35127"/>
    <cellStyle name="Normal 491 4 3" xfId="35128"/>
    <cellStyle name="Normal 491 5" xfId="35129"/>
    <cellStyle name="Normal 491 5 2" xfId="35130"/>
    <cellStyle name="Normal 491 5 2 2" xfId="35131"/>
    <cellStyle name="Normal 491 5 3" xfId="35132"/>
    <cellStyle name="Normal 491 6" xfId="35133"/>
    <cellStyle name="Normal 492" xfId="35134"/>
    <cellStyle name="Normal 492 2" xfId="35135"/>
    <cellStyle name="Normal 492 2 2" xfId="35136"/>
    <cellStyle name="Normal 492 2 2 2" xfId="35137"/>
    <cellStyle name="Normal 492 2 3" xfId="35138"/>
    <cellStyle name="Normal 492 2 3 2" xfId="35139"/>
    <cellStyle name="Normal 492 2 3 2 2" xfId="35140"/>
    <cellStyle name="Normal 492 2 3 3" xfId="35141"/>
    <cellStyle name="Normal 492 2 4" xfId="35142"/>
    <cellStyle name="Normal 492 3" xfId="35143"/>
    <cellStyle name="Normal 492 3 2" xfId="35144"/>
    <cellStyle name="Normal 492 3 2 2" xfId="35145"/>
    <cellStyle name="Normal 492 3 3" xfId="35146"/>
    <cellStyle name="Normal 492 4" xfId="35147"/>
    <cellStyle name="Normal 492 4 2" xfId="35148"/>
    <cellStyle name="Normal 492 4 2 2" xfId="35149"/>
    <cellStyle name="Normal 492 4 3" xfId="35150"/>
    <cellStyle name="Normal 492 5" xfId="35151"/>
    <cellStyle name="Normal 492 5 2" xfId="35152"/>
    <cellStyle name="Normal 492 5 2 2" xfId="35153"/>
    <cellStyle name="Normal 492 5 3" xfId="35154"/>
    <cellStyle name="Normal 492 6" xfId="35155"/>
    <cellStyle name="Normal 493" xfId="35156"/>
    <cellStyle name="Normal 493 2" xfId="35157"/>
    <cellStyle name="Normal 493 2 2" xfId="35158"/>
    <cellStyle name="Normal 493 2 2 2" xfId="35159"/>
    <cellStyle name="Normal 493 2 3" xfId="35160"/>
    <cellStyle name="Normal 493 2 3 2" xfId="35161"/>
    <cellStyle name="Normal 493 2 3 2 2" xfId="35162"/>
    <cellStyle name="Normal 493 2 3 3" xfId="35163"/>
    <cellStyle name="Normal 493 2 4" xfId="35164"/>
    <cellStyle name="Normal 493 3" xfId="35165"/>
    <cellStyle name="Normal 493 3 2" xfId="35166"/>
    <cellStyle name="Normal 493 3 2 2" xfId="35167"/>
    <cellStyle name="Normal 493 3 3" xfId="35168"/>
    <cellStyle name="Normal 493 4" xfId="35169"/>
    <cellStyle name="Normal 493 4 2" xfId="35170"/>
    <cellStyle name="Normal 493 4 2 2" xfId="35171"/>
    <cellStyle name="Normal 493 4 3" xfId="35172"/>
    <cellStyle name="Normal 493 5" xfId="35173"/>
    <cellStyle name="Normal 493 5 2" xfId="35174"/>
    <cellStyle name="Normal 493 5 2 2" xfId="35175"/>
    <cellStyle name="Normal 493 5 3" xfId="35176"/>
    <cellStyle name="Normal 493 6" xfId="35177"/>
    <cellStyle name="Normal 494" xfId="35178"/>
    <cellStyle name="Normal 494 2" xfId="35179"/>
    <cellStyle name="Normal 494 2 2" xfId="35180"/>
    <cellStyle name="Normal 494 2 2 2" xfId="35181"/>
    <cellStyle name="Normal 494 2 3" xfId="35182"/>
    <cellStyle name="Normal 494 2 3 2" xfId="35183"/>
    <cellStyle name="Normal 494 2 3 2 2" xfId="35184"/>
    <cellStyle name="Normal 494 2 3 3" xfId="35185"/>
    <cellStyle name="Normal 494 2 4" xfId="35186"/>
    <cellStyle name="Normal 494 3" xfId="35187"/>
    <cellStyle name="Normal 494 3 2" xfId="35188"/>
    <cellStyle name="Normal 494 3 2 2" xfId="35189"/>
    <cellStyle name="Normal 494 3 3" xfId="35190"/>
    <cellStyle name="Normal 494 4" xfId="35191"/>
    <cellStyle name="Normal 494 4 2" xfId="35192"/>
    <cellStyle name="Normal 494 4 2 2" xfId="35193"/>
    <cellStyle name="Normal 494 4 3" xfId="35194"/>
    <cellStyle name="Normal 494 5" xfId="35195"/>
    <cellStyle name="Normal 494 5 2" xfId="35196"/>
    <cellStyle name="Normal 494 5 2 2" xfId="35197"/>
    <cellStyle name="Normal 494 5 3" xfId="35198"/>
    <cellStyle name="Normal 494 6" xfId="35199"/>
    <cellStyle name="Normal 495" xfId="35200"/>
    <cellStyle name="Normal 495 2" xfId="35201"/>
    <cellStyle name="Normal 495 2 2" xfId="35202"/>
    <cellStyle name="Normal 495 2 2 2" xfId="35203"/>
    <cellStyle name="Normal 495 2 3" xfId="35204"/>
    <cellStyle name="Normal 495 2 3 2" xfId="35205"/>
    <cellStyle name="Normal 495 2 3 2 2" xfId="35206"/>
    <cellStyle name="Normal 495 2 3 3" xfId="35207"/>
    <cellStyle name="Normal 495 2 4" xfId="35208"/>
    <cellStyle name="Normal 495 3" xfId="35209"/>
    <cellStyle name="Normal 495 3 2" xfId="35210"/>
    <cellStyle name="Normal 495 3 2 2" xfId="35211"/>
    <cellStyle name="Normal 495 3 3" xfId="35212"/>
    <cellStyle name="Normal 495 4" xfId="35213"/>
    <cellStyle name="Normal 495 4 2" xfId="35214"/>
    <cellStyle name="Normal 495 4 2 2" xfId="35215"/>
    <cellStyle name="Normal 495 4 3" xfId="35216"/>
    <cellStyle name="Normal 495 5" xfId="35217"/>
    <cellStyle name="Normal 495 5 2" xfId="35218"/>
    <cellStyle name="Normal 495 5 2 2" xfId="35219"/>
    <cellStyle name="Normal 495 5 3" xfId="35220"/>
    <cellStyle name="Normal 495 6" xfId="35221"/>
    <cellStyle name="Normal 496" xfId="35222"/>
    <cellStyle name="Normal 496 2" xfId="35223"/>
    <cellStyle name="Normal 496 2 2" xfId="35224"/>
    <cellStyle name="Normal 496 2 2 2" xfId="35225"/>
    <cellStyle name="Normal 496 2 3" xfId="35226"/>
    <cellStyle name="Normal 496 2 3 2" xfId="35227"/>
    <cellStyle name="Normal 496 2 3 2 2" xfId="35228"/>
    <cellStyle name="Normal 496 2 3 3" xfId="35229"/>
    <cellStyle name="Normal 496 2 4" xfId="35230"/>
    <cellStyle name="Normal 496 3" xfId="35231"/>
    <cellStyle name="Normal 496 3 2" xfId="35232"/>
    <cellStyle name="Normal 496 3 2 2" xfId="35233"/>
    <cellStyle name="Normal 496 3 3" xfId="35234"/>
    <cellStyle name="Normal 496 4" xfId="35235"/>
    <cellStyle name="Normal 496 4 2" xfId="35236"/>
    <cellStyle name="Normal 496 4 2 2" xfId="35237"/>
    <cellStyle name="Normal 496 4 3" xfId="35238"/>
    <cellStyle name="Normal 496 5" xfId="35239"/>
    <cellStyle name="Normal 496 5 2" xfId="35240"/>
    <cellStyle name="Normal 496 5 2 2" xfId="35241"/>
    <cellStyle name="Normal 496 5 3" xfId="35242"/>
    <cellStyle name="Normal 496 6" xfId="35243"/>
    <cellStyle name="Normal 497" xfId="35244"/>
    <cellStyle name="Normal 497 2" xfId="35245"/>
    <cellStyle name="Normal 497 2 2" xfId="35246"/>
    <cellStyle name="Normal 497 2 2 2" xfId="35247"/>
    <cellStyle name="Normal 497 2 3" xfId="35248"/>
    <cellStyle name="Normal 497 2 3 2" xfId="35249"/>
    <cellStyle name="Normal 497 2 3 2 2" xfId="35250"/>
    <cellStyle name="Normal 497 2 3 3" xfId="35251"/>
    <cellStyle name="Normal 497 2 4" xfId="35252"/>
    <cellStyle name="Normal 497 3" xfId="35253"/>
    <cellStyle name="Normal 497 3 2" xfId="35254"/>
    <cellStyle name="Normal 497 3 2 2" xfId="35255"/>
    <cellStyle name="Normal 497 3 3" xfId="35256"/>
    <cellStyle name="Normal 497 4" xfId="35257"/>
    <cellStyle name="Normal 497 4 2" xfId="35258"/>
    <cellStyle name="Normal 497 4 2 2" xfId="35259"/>
    <cellStyle name="Normal 497 4 3" xfId="35260"/>
    <cellStyle name="Normal 497 5" xfId="35261"/>
    <cellStyle name="Normal 497 5 2" xfId="35262"/>
    <cellStyle name="Normal 497 5 2 2" xfId="35263"/>
    <cellStyle name="Normal 497 5 3" xfId="35264"/>
    <cellStyle name="Normal 497 6" xfId="35265"/>
    <cellStyle name="Normal 498" xfId="35266"/>
    <cellStyle name="Normal 498 2" xfId="35267"/>
    <cellStyle name="Normal 498 2 2" xfId="35268"/>
    <cellStyle name="Normal 498 2 2 2" xfId="35269"/>
    <cellStyle name="Normal 498 2 3" xfId="35270"/>
    <cellStyle name="Normal 498 2 3 2" xfId="35271"/>
    <cellStyle name="Normal 498 2 3 2 2" xfId="35272"/>
    <cellStyle name="Normal 498 2 3 3" xfId="35273"/>
    <cellStyle name="Normal 498 2 4" xfId="35274"/>
    <cellStyle name="Normal 498 3" xfId="35275"/>
    <cellStyle name="Normal 498 3 2" xfId="35276"/>
    <cellStyle name="Normal 498 3 2 2" xfId="35277"/>
    <cellStyle name="Normal 498 3 3" xfId="35278"/>
    <cellStyle name="Normal 498 4" xfId="35279"/>
    <cellStyle name="Normal 498 4 2" xfId="35280"/>
    <cellStyle name="Normal 498 4 2 2" xfId="35281"/>
    <cellStyle name="Normal 498 4 3" xfId="35282"/>
    <cellStyle name="Normal 498 5" xfId="35283"/>
    <cellStyle name="Normal 498 5 2" xfId="35284"/>
    <cellStyle name="Normal 498 5 2 2" xfId="35285"/>
    <cellStyle name="Normal 498 5 3" xfId="35286"/>
    <cellStyle name="Normal 498 6" xfId="35287"/>
    <cellStyle name="Normal 499" xfId="35288"/>
    <cellStyle name="Normal 499 2" xfId="35289"/>
    <cellStyle name="Normal 499 2 2" xfId="35290"/>
    <cellStyle name="Normal 499 2 2 2" xfId="35291"/>
    <cellStyle name="Normal 499 2 3" xfId="35292"/>
    <cellStyle name="Normal 499 2 3 2" xfId="35293"/>
    <cellStyle name="Normal 499 2 3 2 2" xfId="35294"/>
    <cellStyle name="Normal 499 2 3 3" xfId="35295"/>
    <cellStyle name="Normal 499 2 4" xfId="35296"/>
    <cellStyle name="Normal 499 3" xfId="35297"/>
    <cellStyle name="Normal 499 3 2" xfId="35298"/>
    <cellStyle name="Normal 499 3 2 2" xfId="35299"/>
    <cellStyle name="Normal 499 3 3" xfId="35300"/>
    <cellStyle name="Normal 499 4" xfId="35301"/>
    <cellStyle name="Normal 499 4 2" xfId="35302"/>
    <cellStyle name="Normal 499 4 2 2" xfId="35303"/>
    <cellStyle name="Normal 499 4 3" xfId="35304"/>
    <cellStyle name="Normal 499 5" xfId="35305"/>
    <cellStyle name="Normal 499 5 2" xfId="35306"/>
    <cellStyle name="Normal 499 5 2 2" xfId="35307"/>
    <cellStyle name="Normal 499 5 3" xfId="35308"/>
    <cellStyle name="Normal 499 6" xfId="35309"/>
    <cellStyle name="Normal 5" xfId="92"/>
    <cellStyle name="Normal 5 10" xfId="35310"/>
    <cellStyle name="Normal 5 2" xfId="106"/>
    <cellStyle name="Normal 5 2 2" xfId="35312"/>
    <cellStyle name="Normal 5 2 2 2" xfId="35313"/>
    <cellStyle name="Normal 5 2 2 2 2" xfId="35314"/>
    <cellStyle name="Normal 5 2 2 3" xfId="35315"/>
    <cellStyle name="Normal 5 2 2 3 2" xfId="35316"/>
    <cellStyle name="Normal 5 2 2 3 2 2" xfId="35317"/>
    <cellStyle name="Normal 5 2 2 3 3" xfId="35318"/>
    <cellStyle name="Normal 5 2 2 4" xfId="35319"/>
    <cellStyle name="Normal 5 2 2 4 2" xfId="35320"/>
    <cellStyle name="Normal 5 2 2 4 2 2" xfId="35321"/>
    <cellStyle name="Normal 5 2 2 4 3" xfId="35322"/>
    <cellStyle name="Normal 5 2 2 5" xfId="35323"/>
    <cellStyle name="Normal 5 2 3" xfId="35324"/>
    <cellStyle name="Normal 5 2 3 2" xfId="35325"/>
    <cellStyle name="Normal 5 2 3 2 2" xfId="35326"/>
    <cellStyle name="Normal 5 2 3 2 2 2" xfId="35327"/>
    <cellStyle name="Normal 5 2 3 2 3" xfId="35328"/>
    <cellStyle name="Normal 5 2 3 2 3 2" xfId="35329"/>
    <cellStyle name="Normal 5 2 3 2 3 2 2" xfId="35330"/>
    <cellStyle name="Normal 5 2 3 2 3 3" xfId="35331"/>
    <cellStyle name="Normal 5 2 3 2 4" xfId="35332"/>
    <cellStyle name="Normal 5 2 3 3" xfId="35333"/>
    <cellStyle name="Normal 5 2 3 3 2" xfId="35334"/>
    <cellStyle name="Normal 5 2 3 3 2 2" xfId="35335"/>
    <cellStyle name="Normal 5 2 3 3 3" xfId="35336"/>
    <cellStyle name="Normal 5 2 3 4" xfId="35337"/>
    <cellStyle name="Normal 5 2 3 4 2" xfId="35338"/>
    <cellStyle name="Normal 5 2 3 4 2 2" xfId="35339"/>
    <cellStyle name="Normal 5 2 3 4 3" xfId="35340"/>
    <cellStyle name="Normal 5 2 3 5" xfId="35341"/>
    <cellStyle name="Normal 5 2 3 5 2" xfId="35342"/>
    <cellStyle name="Normal 5 2 3 5 2 2" xfId="35343"/>
    <cellStyle name="Normal 5 2 3 5 3" xfId="35344"/>
    <cellStyle name="Normal 5 2 3 6" xfId="35345"/>
    <cellStyle name="Normal 5 2 4" xfId="35346"/>
    <cellStyle name="Normal 5 2 4 2" xfId="35347"/>
    <cellStyle name="Normal 5 2 4 2 2" xfId="35348"/>
    <cellStyle name="Normal 5 2 4 3" xfId="35349"/>
    <cellStyle name="Normal 5 2 5" xfId="35350"/>
    <cellStyle name="Normal 5 2 5 2" xfId="35351"/>
    <cellStyle name="Normal 5 2 5 2 2" xfId="35352"/>
    <cellStyle name="Normal 5 2 5 3" xfId="35353"/>
    <cellStyle name="Normal 5 2 6" xfId="35354"/>
    <cellStyle name="Normal 5 2 6 2" xfId="35355"/>
    <cellStyle name="Normal 5 2 6 2 2" xfId="35356"/>
    <cellStyle name="Normal 5 2 6 3" xfId="35357"/>
    <cellStyle name="Normal 5 2 7" xfId="35358"/>
    <cellStyle name="Normal 5 2 8" xfId="35311"/>
    <cellStyle name="Normal 5 3" xfId="35359"/>
    <cellStyle name="Normal 5 3 2" xfId="35360"/>
    <cellStyle name="Normal 5 3 2 2" xfId="35361"/>
    <cellStyle name="Normal 5 3 2 2 2" xfId="35362"/>
    <cellStyle name="Normal 5 3 2 3" xfId="35363"/>
    <cellStyle name="Normal 5 3 2 3 2" xfId="35364"/>
    <cellStyle name="Normal 5 3 2 3 2 2" xfId="35365"/>
    <cellStyle name="Normal 5 3 2 3 3" xfId="35366"/>
    <cellStyle name="Normal 5 3 2 4" xfId="35367"/>
    <cellStyle name="Normal 5 3 2 4 2" xfId="35368"/>
    <cellStyle name="Normal 5 3 2 4 2 2" xfId="35369"/>
    <cellStyle name="Normal 5 3 2 4 3" xfId="35370"/>
    <cellStyle name="Normal 5 3 2 5" xfId="35371"/>
    <cellStyle name="Normal 5 3 3" xfId="35372"/>
    <cellStyle name="Normal 5 3 3 2" xfId="35373"/>
    <cellStyle name="Normal 5 3 3 2 2" xfId="35374"/>
    <cellStyle name="Normal 5 3 3 3" xfId="35375"/>
    <cellStyle name="Normal 5 3 4" xfId="35376"/>
    <cellStyle name="Normal 5 3 4 2" xfId="35377"/>
    <cellStyle name="Normal 5 3 4 2 2" xfId="35378"/>
    <cellStyle name="Normal 5 3 4 3" xfId="35379"/>
    <cellStyle name="Normal 5 3 5" xfId="35380"/>
    <cellStyle name="Normal 5 3 5 2" xfId="35381"/>
    <cellStyle name="Normal 5 3 5 2 2" xfId="35382"/>
    <cellStyle name="Normal 5 3 5 3" xfId="35383"/>
    <cellStyle name="Normal 5 3 6" xfId="35384"/>
    <cellStyle name="Normal 5 4" xfId="35385"/>
    <cellStyle name="Normal 5 4 2" xfId="35386"/>
    <cellStyle name="Normal 5 4 2 2" xfId="35387"/>
    <cellStyle name="Normal 5 4 2 2 2" xfId="35388"/>
    <cellStyle name="Normal 5 4 2 3" xfId="35389"/>
    <cellStyle name="Normal 5 4 2 3 2" xfId="35390"/>
    <cellStyle name="Normal 5 4 2 3 2 2" xfId="35391"/>
    <cellStyle name="Normal 5 4 2 3 3" xfId="35392"/>
    <cellStyle name="Normal 5 4 2 4" xfId="35393"/>
    <cellStyle name="Normal 5 4 2 4 2" xfId="35394"/>
    <cellStyle name="Normal 5 4 2 4 2 2" xfId="35395"/>
    <cellStyle name="Normal 5 4 2 4 3" xfId="35396"/>
    <cellStyle name="Normal 5 4 2 5" xfId="35397"/>
    <cellStyle name="Normal 5 4 3" xfId="35398"/>
    <cellStyle name="Normal 5 4 3 2" xfId="35399"/>
    <cellStyle name="Normal 5 4 3 2 2" xfId="35400"/>
    <cellStyle name="Normal 5 4 3 2 2 2" xfId="35401"/>
    <cellStyle name="Normal 5 4 3 2 3" xfId="35402"/>
    <cellStyle name="Normal 5 4 3 2 3 2" xfId="35403"/>
    <cellStyle name="Normal 5 4 3 2 3 2 2" xfId="35404"/>
    <cellStyle name="Normal 5 4 3 2 3 3" xfId="35405"/>
    <cellStyle name="Normal 5 4 3 2 4" xfId="35406"/>
    <cellStyle name="Normal 5 4 3 3" xfId="35407"/>
    <cellStyle name="Normal 5 4 3 3 2" xfId="35408"/>
    <cellStyle name="Normal 5 4 3 3 2 2" xfId="35409"/>
    <cellStyle name="Normal 5 4 3 3 3" xfId="35410"/>
    <cellStyle name="Normal 5 4 3 4" xfId="35411"/>
    <cellStyle name="Normal 5 4 3 4 2" xfId="35412"/>
    <cellStyle name="Normal 5 4 3 4 2 2" xfId="35413"/>
    <cellStyle name="Normal 5 4 3 4 3" xfId="35414"/>
    <cellStyle name="Normal 5 4 3 5" xfId="35415"/>
    <cellStyle name="Normal 5 4 3 5 2" xfId="35416"/>
    <cellStyle name="Normal 5 4 3 5 2 2" xfId="35417"/>
    <cellStyle name="Normal 5 4 3 5 3" xfId="35418"/>
    <cellStyle name="Normal 5 4 3 6" xfId="35419"/>
    <cellStyle name="Normal 5 4 4" xfId="35420"/>
    <cellStyle name="Normal 5 5" xfId="35421"/>
    <cellStyle name="Normal 5 5 2" xfId="35422"/>
    <cellStyle name="Normal 5 5 2 2" xfId="35423"/>
    <cellStyle name="Normal 5 5 2 2 2" xfId="35424"/>
    <cellStyle name="Normal 5 5 2 2 2 2" xfId="35425"/>
    <cellStyle name="Normal 5 5 2 2 3" xfId="35426"/>
    <cellStyle name="Normal 5 5 2 2 3 2" xfId="35427"/>
    <cellStyle name="Normal 5 5 2 2 3 2 2" xfId="35428"/>
    <cellStyle name="Normal 5 5 2 2 3 3" xfId="35429"/>
    <cellStyle name="Normal 5 5 2 2 4" xfId="35430"/>
    <cellStyle name="Normal 5 5 2 3" xfId="35431"/>
    <cellStyle name="Normal 5 5 3" xfId="35432"/>
    <cellStyle name="Normal 5 5 3 2" xfId="35433"/>
    <cellStyle name="Normal 5 5 4" xfId="35434"/>
    <cellStyle name="Normal 5 5 4 2" xfId="35435"/>
    <cellStyle name="Normal 5 5 4 2 2" xfId="35436"/>
    <cellStyle name="Normal 5 5 4 3" xfId="35437"/>
    <cellStyle name="Normal 5 5 5" xfId="35438"/>
    <cellStyle name="Normal 5 6" xfId="35439"/>
    <cellStyle name="Normal 5 6 2" xfId="35440"/>
    <cellStyle name="Normal 5 6 2 2" xfId="35441"/>
    <cellStyle name="Normal 5 6 2 2 2" xfId="35442"/>
    <cellStyle name="Normal 5 6 2 3" xfId="35443"/>
    <cellStyle name="Normal 5 6 2 3 2" xfId="35444"/>
    <cellStyle name="Normal 5 6 2 3 2 2" xfId="35445"/>
    <cellStyle name="Normal 5 6 2 3 3" xfId="35446"/>
    <cellStyle name="Normal 5 6 2 4" xfId="35447"/>
    <cellStyle name="Normal 5 6 3" xfId="35448"/>
    <cellStyle name="Normal 5 6 3 2" xfId="35449"/>
    <cellStyle name="Normal 5 6 3 2 2" xfId="35450"/>
    <cellStyle name="Normal 5 6 3 3" xfId="35451"/>
    <cellStyle name="Normal 5 6 4" xfId="35452"/>
    <cellStyle name="Normal 5 6 4 2" xfId="35453"/>
    <cellStyle name="Normal 5 6 4 2 2" xfId="35454"/>
    <cellStyle name="Normal 5 6 4 3" xfId="35455"/>
    <cellStyle name="Normal 5 6 5" xfId="35456"/>
    <cellStyle name="Normal 5 6 5 2" xfId="35457"/>
    <cellStyle name="Normal 5 6 5 2 2" xfId="35458"/>
    <cellStyle name="Normal 5 6 5 3" xfId="35459"/>
    <cellStyle name="Normal 5 6 6" xfId="35460"/>
    <cellStyle name="Normal 5 7" xfId="35461"/>
    <cellStyle name="Normal 5 7 2" xfId="35462"/>
    <cellStyle name="Normal 5 8" xfId="35463"/>
    <cellStyle name="Normal 5 9" xfId="35464"/>
    <cellStyle name="Normal 50" xfId="35465"/>
    <cellStyle name="Normal 50 2" xfId="35466"/>
    <cellStyle name="Normal 50 2 2" xfId="35467"/>
    <cellStyle name="Normal 50 2 2 2" xfId="35468"/>
    <cellStyle name="Normal 50 2 2 2 2" xfId="35469"/>
    <cellStyle name="Normal 50 2 2 3" xfId="35470"/>
    <cellStyle name="Normal 50 2 2 3 2" xfId="35471"/>
    <cellStyle name="Normal 50 2 2 3 2 2" xfId="35472"/>
    <cellStyle name="Normal 50 2 2 3 3" xfId="35473"/>
    <cellStyle name="Normal 50 2 2 4" xfId="35474"/>
    <cellStyle name="Normal 50 2 2 4 2" xfId="35475"/>
    <cellStyle name="Normal 50 2 2 4 2 2" xfId="35476"/>
    <cellStyle name="Normal 50 2 2 4 3" xfId="35477"/>
    <cellStyle name="Normal 50 2 2 5" xfId="35478"/>
    <cellStyle name="Normal 50 2 3" xfId="35479"/>
    <cellStyle name="Normal 50 2 3 2" xfId="35480"/>
    <cellStyle name="Normal 50 2 3 2 2" xfId="35481"/>
    <cellStyle name="Normal 50 2 3 3" xfId="35482"/>
    <cellStyle name="Normal 50 2 4" xfId="35483"/>
    <cellStyle name="Normal 50 2 4 2" xfId="35484"/>
    <cellStyle name="Normal 50 2 4 2 2" xfId="35485"/>
    <cellStyle name="Normal 50 2 4 3" xfId="35486"/>
    <cellStyle name="Normal 50 2 5" xfId="35487"/>
    <cellStyle name="Normal 50 2 5 2" xfId="35488"/>
    <cellStyle name="Normal 50 2 5 2 2" xfId="35489"/>
    <cellStyle name="Normal 50 2 5 3" xfId="35490"/>
    <cellStyle name="Normal 50 2 6" xfId="35491"/>
    <cellStyle name="Normal 50 3" xfId="35492"/>
    <cellStyle name="Normal 50 3 2" xfId="35493"/>
    <cellStyle name="Normal 50 3 2 2" xfId="35494"/>
    <cellStyle name="Normal 50 3 3" xfId="35495"/>
    <cellStyle name="Normal 50 3 3 2" xfId="35496"/>
    <cellStyle name="Normal 50 3 3 2 2" xfId="35497"/>
    <cellStyle name="Normal 50 3 3 3" xfId="35498"/>
    <cellStyle name="Normal 50 3 4" xfId="35499"/>
    <cellStyle name="Normal 50 3 4 2" xfId="35500"/>
    <cellStyle name="Normal 50 3 4 2 2" xfId="35501"/>
    <cellStyle name="Normal 50 3 4 3" xfId="35502"/>
    <cellStyle name="Normal 50 3 5" xfId="35503"/>
    <cellStyle name="Normal 50 4" xfId="35504"/>
    <cellStyle name="Normal 50 4 2" xfId="35505"/>
    <cellStyle name="Normal 50 4 2 2" xfId="35506"/>
    <cellStyle name="Normal 50 4 3" xfId="35507"/>
    <cellStyle name="Normal 50 5" xfId="35508"/>
    <cellStyle name="Normal 50 5 2" xfId="35509"/>
    <cellStyle name="Normal 50 5 2 2" xfId="35510"/>
    <cellStyle name="Normal 50 5 3" xfId="35511"/>
    <cellStyle name="Normal 50 6" xfId="35512"/>
    <cellStyle name="Normal 50 6 2" xfId="35513"/>
    <cellStyle name="Normal 50 6 2 2" xfId="35514"/>
    <cellStyle name="Normal 50 6 3" xfId="35515"/>
    <cellStyle name="Normal 50 7" xfId="35516"/>
    <cellStyle name="Normal 500" xfId="35517"/>
    <cellStyle name="Normal 500 2" xfId="35518"/>
    <cellStyle name="Normal 500 2 2" xfId="35519"/>
    <cellStyle name="Normal 500 2 2 2" xfId="35520"/>
    <cellStyle name="Normal 500 2 3" xfId="35521"/>
    <cellStyle name="Normal 500 2 3 2" xfId="35522"/>
    <cellStyle name="Normal 500 2 3 2 2" xfId="35523"/>
    <cellStyle name="Normal 500 2 3 3" xfId="35524"/>
    <cellStyle name="Normal 500 2 4" xfId="35525"/>
    <cellStyle name="Normal 500 3" xfId="35526"/>
    <cellStyle name="Normal 500 3 2" xfId="35527"/>
    <cellStyle name="Normal 500 3 2 2" xfId="35528"/>
    <cellStyle name="Normal 500 3 3" xfId="35529"/>
    <cellStyle name="Normal 500 4" xfId="35530"/>
    <cellStyle name="Normal 500 4 2" xfId="35531"/>
    <cellStyle name="Normal 500 4 2 2" xfId="35532"/>
    <cellStyle name="Normal 500 4 3" xfId="35533"/>
    <cellStyle name="Normal 500 5" xfId="35534"/>
    <cellStyle name="Normal 500 5 2" xfId="35535"/>
    <cellStyle name="Normal 500 5 2 2" xfId="35536"/>
    <cellStyle name="Normal 500 5 3" xfId="35537"/>
    <cellStyle name="Normal 500 6" xfId="35538"/>
    <cellStyle name="Normal 501" xfId="35539"/>
    <cellStyle name="Normal 501 2" xfId="35540"/>
    <cellStyle name="Normal 501 2 2" xfId="35541"/>
    <cellStyle name="Normal 501 2 2 2" xfId="35542"/>
    <cellStyle name="Normal 501 2 3" xfId="35543"/>
    <cellStyle name="Normal 501 2 3 2" xfId="35544"/>
    <cellStyle name="Normal 501 2 3 2 2" xfId="35545"/>
    <cellStyle name="Normal 501 2 3 3" xfId="35546"/>
    <cellStyle name="Normal 501 2 4" xfId="35547"/>
    <cellStyle name="Normal 501 3" xfId="35548"/>
    <cellStyle name="Normal 501 3 2" xfId="35549"/>
    <cellStyle name="Normal 501 3 2 2" xfId="35550"/>
    <cellStyle name="Normal 501 3 3" xfId="35551"/>
    <cellStyle name="Normal 501 4" xfId="35552"/>
    <cellStyle name="Normal 501 4 2" xfId="35553"/>
    <cellStyle name="Normal 501 4 2 2" xfId="35554"/>
    <cellStyle name="Normal 501 4 3" xfId="35555"/>
    <cellStyle name="Normal 501 5" xfId="35556"/>
    <cellStyle name="Normal 501 5 2" xfId="35557"/>
    <cellStyle name="Normal 501 5 2 2" xfId="35558"/>
    <cellStyle name="Normal 501 5 3" xfId="35559"/>
    <cellStyle name="Normal 501 6" xfId="35560"/>
    <cellStyle name="Normal 502" xfId="35561"/>
    <cellStyle name="Normal 502 2" xfId="35562"/>
    <cellStyle name="Normal 502 2 2" xfId="35563"/>
    <cellStyle name="Normal 502 2 2 2" xfId="35564"/>
    <cellStyle name="Normal 502 2 3" xfId="35565"/>
    <cellStyle name="Normal 502 2 3 2" xfId="35566"/>
    <cellStyle name="Normal 502 2 3 2 2" xfId="35567"/>
    <cellStyle name="Normal 502 2 3 3" xfId="35568"/>
    <cellStyle name="Normal 502 2 4" xfId="35569"/>
    <cellStyle name="Normal 502 3" xfId="35570"/>
    <cellStyle name="Normal 502 3 2" xfId="35571"/>
    <cellStyle name="Normal 502 3 2 2" xfId="35572"/>
    <cellStyle name="Normal 502 3 3" xfId="35573"/>
    <cellStyle name="Normal 502 4" xfId="35574"/>
    <cellStyle name="Normal 502 4 2" xfId="35575"/>
    <cellStyle name="Normal 502 4 2 2" xfId="35576"/>
    <cellStyle name="Normal 502 4 3" xfId="35577"/>
    <cellStyle name="Normal 502 5" xfId="35578"/>
    <cellStyle name="Normal 502 5 2" xfId="35579"/>
    <cellStyle name="Normal 502 5 2 2" xfId="35580"/>
    <cellStyle name="Normal 502 5 3" xfId="35581"/>
    <cellStyle name="Normal 502 6" xfId="35582"/>
    <cellStyle name="Normal 503" xfId="35583"/>
    <cellStyle name="Normal 503 2" xfId="35584"/>
    <cellStyle name="Normal 503 2 2" xfId="35585"/>
    <cellStyle name="Normal 503 2 2 2" xfId="35586"/>
    <cellStyle name="Normal 503 2 3" xfId="35587"/>
    <cellStyle name="Normal 503 2 3 2" xfId="35588"/>
    <cellStyle name="Normal 503 2 3 2 2" xfId="35589"/>
    <cellStyle name="Normal 503 2 3 3" xfId="35590"/>
    <cellStyle name="Normal 503 2 4" xfId="35591"/>
    <cellStyle name="Normal 503 3" xfId="35592"/>
    <cellStyle name="Normal 503 3 2" xfId="35593"/>
    <cellStyle name="Normal 503 3 2 2" xfId="35594"/>
    <cellStyle name="Normal 503 3 3" xfId="35595"/>
    <cellStyle name="Normal 503 4" xfId="35596"/>
    <cellStyle name="Normal 503 4 2" xfId="35597"/>
    <cellStyle name="Normal 503 4 2 2" xfId="35598"/>
    <cellStyle name="Normal 503 4 3" xfId="35599"/>
    <cellStyle name="Normal 503 5" xfId="35600"/>
    <cellStyle name="Normal 503 5 2" xfId="35601"/>
    <cellStyle name="Normal 503 5 2 2" xfId="35602"/>
    <cellStyle name="Normal 503 5 3" xfId="35603"/>
    <cellStyle name="Normal 503 6" xfId="35604"/>
    <cellStyle name="Normal 504" xfId="35605"/>
    <cellStyle name="Normal 504 2" xfId="35606"/>
    <cellStyle name="Normal 504 2 2" xfId="35607"/>
    <cellStyle name="Normal 504 2 2 2" xfId="35608"/>
    <cellStyle name="Normal 504 2 3" xfId="35609"/>
    <cellStyle name="Normal 504 2 3 2" xfId="35610"/>
    <cellStyle name="Normal 504 2 3 2 2" xfId="35611"/>
    <cellStyle name="Normal 504 2 3 3" xfId="35612"/>
    <cellStyle name="Normal 504 2 4" xfId="35613"/>
    <cellStyle name="Normal 504 3" xfId="35614"/>
    <cellStyle name="Normal 504 3 2" xfId="35615"/>
    <cellStyle name="Normal 504 3 2 2" xfId="35616"/>
    <cellStyle name="Normal 504 3 3" xfId="35617"/>
    <cellStyle name="Normal 504 4" xfId="35618"/>
    <cellStyle name="Normal 504 4 2" xfId="35619"/>
    <cellStyle name="Normal 504 4 2 2" xfId="35620"/>
    <cellStyle name="Normal 504 4 3" xfId="35621"/>
    <cellStyle name="Normal 504 5" xfId="35622"/>
    <cellStyle name="Normal 504 5 2" xfId="35623"/>
    <cellStyle name="Normal 504 5 2 2" xfId="35624"/>
    <cellStyle name="Normal 504 5 3" xfId="35625"/>
    <cellStyle name="Normal 504 6" xfId="35626"/>
    <cellStyle name="Normal 505" xfId="35627"/>
    <cellStyle name="Normal 505 2" xfId="35628"/>
    <cellStyle name="Normal 505 2 2" xfId="35629"/>
    <cellStyle name="Normal 505 2 2 2" xfId="35630"/>
    <cellStyle name="Normal 505 2 3" xfId="35631"/>
    <cellStyle name="Normal 505 2 3 2" xfId="35632"/>
    <cellStyle name="Normal 505 2 3 2 2" xfId="35633"/>
    <cellStyle name="Normal 505 2 3 3" xfId="35634"/>
    <cellStyle name="Normal 505 2 4" xfId="35635"/>
    <cellStyle name="Normal 505 3" xfId="35636"/>
    <cellStyle name="Normal 505 3 2" xfId="35637"/>
    <cellStyle name="Normal 505 3 2 2" xfId="35638"/>
    <cellStyle name="Normal 505 3 3" xfId="35639"/>
    <cellStyle name="Normal 505 4" xfId="35640"/>
    <cellStyle name="Normal 505 4 2" xfId="35641"/>
    <cellStyle name="Normal 505 4 2 2" xfId="35642"/>
    <cellStyle name="Normal 505 4 3" xfId="35643"/>
    <cellStyle name="Normal 505 5" xfId="35644"/>
    <cellStyle name="Normal 505 5 2" xfId="35645"/>
    <cellStyle name="Normal 505 5 2 2" xfId="35646"/>
    <cellStyle name="Normal 505 5 3" xfId="35647"/>
    <cellStyle name="Normal 505 6" xfId="35648"/>
    <cellStyle name="Normal 506" xfId="35649"/>
    <cellStyle name="Normal 506 2" xfId="35650"/>
    <cellStyle name="Normal 506 2 2" xfId="35651"/>
    <cellStyle name="Normal 506 2 2 2" xfId="35652"/>
    <cellStyle name="Normal 506 2 3" xfId="35653"/>
    <cellStyle name="Normal 506 2 3 2" xfId="35654"/>
    <cellStyle name="Normal 506 2 3 2 2" xfId="35655"/>
    <cellStyle name="Normal 506 2 3 3" xfId="35656"/>
    <cellStyle name="Normal 506 2 4" xfId="35657"/>
    <cellStyle name="Normal 506 3" xfId="35658"/>
    <cellStyle name="Normal 506 3 2" xfId="35659"/>
    <cellStyle name="Normal 506 3 2 2" xfId="35660"/>
    <cellStyle name="Normal 506 3 3" xfId="35661"/>
    <cellStyle name="Normal 506 4" xfId="35662"/>
    <cellStyle name="Normal 506 4 2" xfId="35663"/>
    <cellStyle name="Normal 506 4 2 2" xfId="35664"/>
    <cellStyle name="Normal 506 4 3" xfId="35665"/>
    <cellStyle name="Normal 506 5" xfId="35666"/>
    <cellStyle name="Normal 506 5 2" xfId="35667"/>
    <cellStyle name="Normal 506 5 2 2" xfId="35668"/>
    <cellStyle name="Normal 506 5 3" xfId="35669"/>
    <cellStyle name="Normal 506 6" xfId="35670"/>
    <cellStyle name="Normal 507" xfId="35671"/>
    <cellStyle name="Normal 507 2" xfId="35672"/>
    <cellStyle name="Normal 507 2 2" xfId="35673"/>
    <cellStyle name="Normal 507 2 2 2" xfId="35674"/>
    <cellStyle name="Normal 507 2 3" xfId="35675"/>
    <cellStyle name="Normal 507 2 3 2" xfId="35676"/>
    <cellStyle name="Normal 507 2 3 2 2" xfId="35677"/>
    <cellStyle name="Normal 507 2 3 3" xfId="35678"/>
    <cellStyle name="Normal 507 2 4" xfId="35679"/>
    <cellStyle name="Normal 507 3" xfId="35680"/>
    <cellStyle name="Normal 507 3 2" xfId="35681"/>
    <cellStyle name="Normal 507 3 2 2" xfId="35682"/>
    <cellStyle name="Normal 507 3 3" xfId="35683"/>
    <cellStyle name="Normal 507 4" xfId="35684"/>
    <cellStyle name="Normal 507 4 2" xfId="35685"/>
    <cellStyle name="Normal 507 4 2 2" xfId="35686"/>
    <cellStyle name="Normal 507 4 3" xfId="35687"/>
    <cellStyle name="Normal 507 5" xfId="35688"/>
    <cellStyle name="Normal 507 5 2" xfId="35689"/>
    <cellStyle name="Normal 507 5 2 2" xfId="35690"/>
    <cellStyle name="Normal 507 5 3" xfId="35691"/>
    <cellStyle name="Normal 507 6" xfId="35692"/>
    <cellStyle name="Normal 508" xfId="35693"/>
    <cellStyle name="Normal 508 2" xfId="35694"/>
    <cellStyle name="Normal 508 2 2" xfId="35695"/>
    <cellStyle name="Normal 508 2 2 2" xfId="35696"/>
    <cellStyle name="Normal 508 2 3" xfId="35697"/>
    <cellStyle name="Normal 508 2 3 2" xfId="35698"/>
    <cellStyle name="Normal 508 2 3 2 2" xfId="35699"/>
    <cellStyle name="Normal 508 2 3 3" xfId="35700"/>
    <cellStyle name="Normal 508 2 4" xfId="35701"/>
    <cellStyle name="Normal 508 3" xfId="35702"/>
    <cellStyle name="Normal 508 3 2" xfId="35703"/>
    <cellStyle name="Normal 508 3 2 2" xfId="35704"/>
    <cellStyle name="Normal 508 3 3" xfId="35705"/>
    <cellStyle name="Normal 508 4" xfId="35706"/>
    <cellStyle name="Normal 508 4 2" xfId="35707"/>
    <cellStyle name="Normal 508 4 2 2" xfId="35708"/>
    <cellStyle name="Normal 508 4 3" xfId="35709"/>
    <cellStyle name="Normal 508 5" xfId="35710"/>
    <cellStyle name="Normal 508 5 2" xfId="35711"/>
    <cellStyle name="Normal 508 5 2 2" xfId="35712"/>
    <cellStyle name="Normal 508 5 3" xfId="35713"/>
    <cellStyle name="Normal 508 6" xfId="35714"/>
    <cellStyle name="Normal 509" xfId="35715"/>
    <cellStyle name="Normal 509 2" xfId="35716"/>
    <cellStyle name="Normal 509 2 2" xfId="35717"/>
    <cellStyle name="Normal 509 2 2 2" xfId="35718"/>
    <cellStyle name="Normal 509 2 3" xfId="35719"/>
    <cellStyle name="Normal 509 2 3 2" xfId="35720"/>
    <cellStyle name="Normal 509 2 3 2 2" xfId="35721"/>
    <cellStyle name="Normal 509 2 3 3" xfId="35722"/>
    <cellStyle name="Normal 509 2 4" xfId="35723"/>
    <cellStyle name="Normal 509 3" xfId="35724"/>
    <cellStyle name="Normal 509 3 2" xfId="35725"/>
    <cellStyle name="Normal 509 3 2 2" xfId="35726"/>
    <cellStyle name="Normal 509 3 3" xfId="35727"/>
    <cellStyle name="Normal 509 4" xfId="35728"/>
    <cellStyle name="Normal 509 4 2" xfId="35729"/>
    <cellStyle name="Normal 509 4 2 2" xfId="35730"/>
    <cellStyle name="Normal 509 4 3" xfId="35731"/>
    <cellStyle name="Normal 509 5" xfId="35732"/>
    <cellStyle name="Normal 509 5 2" xfId="35733"/>
    <cellStyle name="Normal 509 5 2 2" xfId="35734"/>
    <cellStyle name="Normal 509 5 3" xfId="35735"/>
    <cellStyle name="Normal 509 6" xfId="35736"/>
    <cellStyle name="Normal 51" xfId="35737"/>
    <cellStyle name="Normal 51 2" xfId="35738"/>
    <cellStyle name="Normal 51 2 2" xfId="35739"/>
    <cellStyle name="Normal 51 2 2 2" xfId="35740"/>
    <cellStyle name="Normal 51 2 2 2 2" xfId="35741"/>
    <cellStyle name="Normal 51 2 2 3" xfId="35742"/>
    <cellStyle name="Normal 51 2 2 3 2" xfId="35743"/>
    <cellStyle name="Normal 51 2 2 3 2 2" xfId="35744"/>
    <cellStyle name="Normal 51 2 2 3 3" xfId="35745"/>
    <cellStyle name="Normal 51 2 2 4" xfId="35746"/>
    <cellStyle name="Normal 51 2 2 4 2" xfId="35747"/>
    <cellStyle name="Normal 51 2 2 4 2 2" xfId="35748"/>
    <cellStyle name="Normal 51 2 2 4 3" xfId="35749"/>
    <cellStyle name="Normal 51 2 2 5" xfId="35750"/>
    <cellStyle name="Normal 51 2 3" xfId="35751"/>
    <cellStyle name="Normal 51 2 3 2" xfId="35752"/>
    <cellStyle name="Normal 51 2 3 2 2" xfId="35753"/>
    <cellStyle name="Normal 51 2 3 3" xfId="35754"/>
    <cellStyle name="Normal 51 2 4" xfId="35755"/>
    <cellStyle name="Normal 51 2 4 2" xfId="35756"/>
    <cellStyle name="Normal 51 2 4 2 2" xfId="35757"/>
    <cellStyle name="Normal 51 2 4 3" xfId="35758"/>
    <cellStyle name="Normal 51 2 5" xfId="35759"/>
    <cellStyle name="Normal 51 2 5 2" xfId="35760"/>
    <cellStyle name="Normal 51 2 5 2 2" xfId="35761"/>
    <cellStyle name="Normal 51 2 5 3" xfId="35762"/>
    <cellStyle name="Normal 51 2 6" xfId="35763"/>
    <cellStyle name="Normal 51 3" xfId="35764"/>
    <cellStyle name="Normal 51 3 2" xfId="35765"/>
    <cellStyle name="Normal 51 3 2 2" xfId="35766"/>
    <cellStyle name="Normal 51 3 3" xfId="35767"/>
    <cellStyle name="Normal 51 3 3 2" xfId="35768"/>
    <cellStyle name="Normal 51 3 3 2 2" xfId="35769"/>
    <cellStyle name="Normal 51 3 3 3" xfId="35770"/>
    <cellStyle name="Normal 51 3 4" xfId="35771"/>
    <cellStyle name="Normal 51 3 4 2" xfId="35772"/>
    <cellStyle name="Normal 51 3 4 2 2" xfId="35773"/>
    <cellStyle name="Normal 51 3 4 3" xfId="35774"/>
    <cellStyle name="Normal 51 3 5" xfId="35775"/>
    <cellStyle name="Normal 51 4" xfId="35776"/>
    <cellStyle name="Normal 51 4 2" xfId="35777"/>
    <cellStyle name="Normal 51 4 2 2" xfId="35778"/>
    <cellStyle name="Normal 51 4 3" xfId="35779"/>
    <cellStyle name="Normal 51 5" xfId="35780"/>
    <cellStyle name="Normal 51 5 2" xfId="35781"/>
    <cellStyle name="Normal 51 5 2 2" xfId="35782"/>
    <cellStyle name="Normal 51 5 3" xfId="35783"/>
    <cellStyle name="Normal 51 6" xfId="35784"/>
    <cellStyle name="Normal 51 6 2" xfId="35785"/>
    <cellStyle name="Normal 51 6 2 2" xfId="35786"/>
    <cellStyle name="Normal 51 6 3" xfId="35787"/>
    <cellStyle name="Normal 51 7" xfId="35788"/>
    <cellStyle name="Normal 510" xfId="35789"/>
    <cellStyle name="Normal 510 2" xfId="35790"/>
    <cellStyle name="Normal 510 2 2" xfId="35791"/>
    <cellStyle name="Normal 510 2 2 2" xfId="35792"/>
    <cellStyle name="Normal 510 2 3" xfId="35793"/>
    <cellStyle name="Normal 510 2 3 2" xfId="35794"/>
    <cellStyle name="Normal 510 2 3 2 2" xfId="35795"/>
    <cellStyle name="Normal 510 2 3 3" xfId="35796"/>
    <cellStyle name="Normal 510 2 4" xfId="35797"/>
    <cellStyle name="Normal 510 3" xfId="35798"/>
    <cellStyle name="Normal 510 3 2" xfId="35799"/>
    <cellStyle name="Normal 510 3 2 2" xfId="35800"/>
    <cellStyle name="Normal 510 3 3" xfId="35801"/>
    <cellStyle name="Normal 510 4" xfId="35802"/>
    <cellStyle name="Normal 510 4 2" xfId="35803"/>
    <cellStyle name="Normal 510 4 2 2" xfId="35804"/>
    <cellStyle name="Normal 510 4 3" xfId="35805"/>
    <cellStyle name="Normal 510 5" xfId="35806"/>
    <cellStyle name="Normal 510 5 2" xfId="35807"/>
    <cellStyle name="Normal 510 5 2 2" xfId="35808"/>
    <cellStyle name="Normal 510 5 3" xfId="35809"/>
    <cellStyle name="Normal 510 6" xfId="35810"/>
    <cellStyle name="Normal 511" xfId="35811"/>
    <cellStyle name="Normal 511 2" xfId="35812"/>
    <cellStyle name="Normal 511 2 2" xfId="35813"/>
    <cellStyle name="Normal 511 2 2 2" xfId="35814"/>
    <cellStyle name="Normal 511 2 3" xfId="35815"/>
    <cellStyle name="Normal 511 2 3 2" xfId="35816"/>
    <cellStyle name="Normal 511 2 3 2 2" xfId="35817"/>
    <cellStyle name="Normal 511 2 3 3" xfId="35818"/>
    <cellStyle name="Normal 511 2 4" xfId="35819"/>
    <cellStyle name="Normal 511 3" xfId="35820"/>
    <cellStyle name="Normal 511 3 2" xfId="35821"/>
    <cellStyle name="Normal 511 3 2 2" xfId="35822"/>
    <cellStyle name="Normal 511 3 3" xfId="35823"/>
    <cellStyle name="Normal 511 4" xfId="35824"/>
    <cellStyle name="Normal 511 4 2" xfId="35825"/>
    <cellStyle name="Normal 511 4 2 2" xfId="35826"/>
    <cellStyle name="Normal 511 4 3" xfId="35827"/>
    <cellStyle name="Normal 511 5" xfId="35828"/>
    <cellStyle name="Normal 511 5 2" xfId="35829"/>
    <cellStyle name="Normal 511 5 2 2" xfId="35830"/>
    <cellStyle name="Normal 511 5 3" xfId="35831"/>
    <cellStyle name="Normal 511 6" xfId="35832"/>
    <cellStyle name="Normal 512" xfId="35833"/>
    <cellStyle name="Normal 512 2" xfId="35834"/>
    <cellStyle name="Normal 512 2 2" xfId="35835"/>
    <cellStyle name="Normal 512 2 2 2" xfId="35836"/>
    <cellStyle name="Normal 512 2 3" xfId="35837"/>
    <cellStyle name="Normal 512 2 3 2" xfId="35838"/>
    <cellStyle name="Normal 512 2 3 2 2" xfId="35839"/>
    <cellStyle name="Normal 512 2 3 3" xfId="35840"/>
    <cellStyle name="Normal 512 2 4" xfId="35841"/>
    <cellStyle name="Normal 512 3" xfId="35842"/>
    <cellStyle name="Normal 512 3 2" xfId="35843"/>
    <cellStyle name="Normal 512 3 2 2" xfId="35844"/>
    <cellStyle name="Normal 512 3 3" xfId="35845"/>
    <cellStyle name="Normal 512 4" xfId="35846"/>
    <cellStyle name="Normal 512 4 2" xfId="35847"/>
    <cellStyle name="Normal 512 4 2 2" xfId="35848"/>
    <cellStyle name="Normal 512 4 3" xfId="35849"/>
    <cellStyle name="Normal 512 5" xfId="35850"/>
    <cellStyle name="Normal 512 5 2" xfId="35851"/>
    <cellStyle name="Normal 512 5 2 2" xfId="35852"/>
    <cellStyle name="Normal 512 5 3" xfId="35853"/>
    <cellStyle name="Normal 512 6" xfId="35854"/>
    <cellStyle name="Normal 513" xfId="35855"/>
    <cellStyle name="Normal 513 2" xfId="35856"/>
    <cellStyle name="Normal 513 2 2" xfId="35857"/>
    <cellStyle name="Normal 513 2 2 2" xfId="35858"/>
    <cellStyle name="Normal 513 2 3" xfId="35859"/>
    <cellStyle name="Normal 513 2 3 2" xfId="35860"/>
    <cellStyle name="Normal 513 2 3 2 2" xfId="35861"/>
    <cellStyle name="Normal 513 2 3 3" xfId="35862"/>
    <cellStyle name="Normal 513 2 4" xfId="35863"/>
    <cellStyle name="Normal 513 3" xfId="35864"/>
    <cellStyle name="Normal 513 3 2" xfId="35865"/>
    <cellStyle name="Normal 513 3 2 2" xfId="35866"/>
    <cellStyle name="Normal 513 3 3" xfId="35867"/>
    <cellStyle name="Normal 513 4" xfId="35868"/>
    <cellStyle name="Normal 513 4 2" xfId="35869"/>
    <cellStyle name="Normal 513 4 2 2" xfId="35870"/>
    <cellStyle name="Normal 513 4 3" xfId="35871"/>
    <cellStyle name="Normal 513 5" xfId="35872"/>
    <cellStyle name="Normal 513 5 2" xfId="35873"/>
    <cellStyle name="Normal 513 5 2 2" xfId="35874"/>
    <cellStyle name="Normal 513 5 3" xfId="35875"/>
    <cellStyle name="Normal 513 6" xfId="35876"/>
    <cellStyle name="Normal 514" xfId="35877"/>
    <cellStyle name="Normal 514 2" xfId="35878"/>
    <cellStyle name="Normal 514 2 2" xfId="35879"/>
    <cellStyle name="Normal 514 2 2 2" xfId="35880"/>
    <cellStyle name="Normal 514 2 3" xfId="35881"/>
    <cellStyle name="Normal 514 2 3 2" xfId="35882"/>
    <cellStyle name="Normal 514 2 3 2 2" xfId="35883"/>
    <cellStyle name="Normal 514 2 3 3" xfId="35884"/>
    <cellStyle name="Normal 514 2 4" xfId="35885"/>
    <cellStyle name="Normal 514 3" xfId="35886"/>
    <cellStyle name="Normal 514 3 2" xfId="35887"/>
    <cellStyle name="Normal 514 3 2 2" xfId="35888"/>
    <cellStyle name="Normal 514 3 3" xfId="35889"/>
    <cellStyle name="Normal 514 4" xfId="35890"/>
    <cellStyle name="Normal 514 4 2" xfId="35891"/>
    <cellStyle name="Normal 514 4 2 2" xfId="35892"/>
    <cellStyle name="Normal 514 4 3" xfId="35893"/>
    <cellStyle name="Normal 514 5" xfId="35894"/>
    <cellStyle name="Normal 514 5 2" xfId="35895"/>
    <cellStyle name="Normal 514 5 2 2" xfId="35896"/>
    <cellStyle name="Normal 514 5 3" xfId="35897"/>
    <cellStyle name="Normal 514 6" xfId="35898"/>
    <cellStyle name="Normal 515" xfId="35899"/>
    <cellStyle name="Normal 515 2" xfId="35900"/>
    <cellStyle name="Normal 515 2 2" xfId="35901"/>
    <cellStyle name="Normal 515 2 2 2" xfId="35902"/>
    <cellStyle name="Normal 515 2 3" xfId="35903"/>
    <cellStyle name="Normal 515 2 3 2" xfId="35904"/>
    <cellStyle name="Normal 515 2 3 2 2" xfId="35905"/>
    <cellStyle name="Normal 515 2 3 3" xfId="35906"/>
    <cellStyle name="Normal 515 2 4" xfId="35907"/>
    <cellStyle name="Normal 515 3" xfId="35908"/>
    <cellStyle name="Normal 515 3 2" xfId="35909"/>
    <cellStyle name="Normal 515 3 2 2" xfId="35910"/>
    <cellStyle name="Normal 515 3 3" xfId="35911"/>
    <cellStyle name="Normal 515 4" xfId="35912"/>
    <cellStyle name="Normal 515 4 2" xfId="35913"/>
    <cellStyle name="Normal 515 4 2 2" xfId="35914"/>
    <cellStyle name="Normal 515 4 3" xfId="35915"/>
    <cellStyle name="Normal 515 5" xfId="35916"/>
    <cellStyle name="Normal 515 5 2" xfId="35917"/>
    <cellStyle name="Normal 515 5 2 2" xfId="35918"/>
    <cellStyle name="Normal 515 5 3" xfId="35919"/>
    <cellStyle name="Normal 515 6" xfId="35920"/>
    <cellStyle name="Normal 516" xfId="35921"/>
    <cellStyle name="Normal 516 2" xfId="35922"/>
    <cellStyle name="Normal 516 2 2" xfId="35923"/>
    <cellStyle name="Normal 516 2 2 2" xfId="35924"/>
    <cellStyle name="Normal 516 2 3" xfId="35925"/>
    <cellStyle name="Normal 516 2 3 2" xfId="35926"/>
    <cellStyle name="Normal 516 2 3 2 2" xfId="35927"/>
    <cellStyle name="Normal 516 2 3 3" xfId="35928"/>
    <cellStyle name="Normal 516 2 4" xfId="35929"/>
    <cellStyle name="Normal 516 3" xfId="35930"/>
    <cellStyle name="Normal 516 3 2" xfId="35931"/>
    <cellStyle name="Normal 516 3 2 2" xfId="35932"/>
    <cellStyle name="Normal 516 3 3" xfId="35933"/>
    <cellStyle name="Normal 516 4" xfId="35934"/>
    <cellStyle name="Normal 516 4 2" xfId="35935"/>
    <cellStyle name="Normal 516 4 2 2" xfId="35936"/>
    <cellStyle name="Normal 516 4 3" xfId="35937"/>
    <cellStyle name="Normal 516 5" xfId="35938"/>
    <cellStyle name="Normal 516 5 2" xfId="35939"/>
    <cellStyle name="Normal 516 5 2 2" xfId="35940"/>
    <cellStyle name="Normal 516 5 3" xfId="35941"/>
    <cellStyle name="Normal 516 6" xfId="35942"/>
    <cellStyle name="Normal 517" xfId="35943"/>
    <cellStyle name="Normal 517 2" xfId="35944"/>
    <cellStyle name="Normal 517 2 2" xfId="35945"/>
    <cellStyle name="Normal 517 2 2 2" xfId="35946"/>
    <cellStyle name="Normal 517 2 3" xfId="35947"/>
    <cellStyle name="Normal 517 2 3 2" xfId="35948"/>
    <cellStyle name="Normal 517 2 3 2 2" xfId="35949"/>
    <cellStyle name="Normal 517 2 3 3" xfId="35950"/>
    <cellStyle name="Normal 517 2 4" xfId="35951"/>
    <cellStyle name="Normal 517 3" xfId="35952"/>
    <cellStyle name="Normal 517 3 2" xfId="35953"/>
    <cellStyle name="Normal 517 3 2 2" xfId="35954"/>
    <cellStyle name="Normal 517 3 3" xfId="35955"/>
    <cellStyle name="Normal 517 4" xfId="35956"/>
    <cellStyle name="Normal 517 4 2" xfId="35957"/>
    <cellStyle name="Normal 517 4 2 2" xfId="35958"/>
    <cellStyle name="Normal 517 4 3" xfId="35959"/>
    <cellStyle name="Normal 517 5" xfId="35960"/>
    <cellStyle name="Normal 517 5 2" xfId="35961"/>
    <cellStyle name="Normal 517 5 2 2" xfId="35962"/>
    <cellStyle name="Normal 517 5 3" xfId="35963"/>
    <cellStyle name="Normal 517 6" xfId="35964"/>
    <cellStyle name="Normal 518" xfId="35965"/>
    <cellStyle name="Normal 518 2" xfId="35966"/>
    <cellStyle name="Normal 518 2 2" xfId="35967"/>
    <cellStyle name="Normal 518 2 2 2" xfId="35968"/>
    <cellStyle name="Normal 518 2 3" xfId="35969"/>
    <cellStyle name="Normal 518 2 3 2" xfId="35970"/>
    <cellStyle name="Normal 518 2 3 2 2" xfId="35971"/>
    <cellStyle name="Normal 518 2 3 3" xfId="35972"/>
    <cellStyle name="Normal 518 2 4" xfId="35973"/>
    <cellStyle name="Normal 518 3" xfId="35974"/>
    <cellStyle name="Normal 518 3 2" xfId="35975"/>
    <cellStyle name="Normal 518 3 2 2" xfId="35976"/>
    <cellStyle name="Normal 518 3 3" xfId="35977"/>
    <cellStyle name="Normal 518 4" xfId="35978"/>
    <cellStyle name="Normal 518 4 2" xfId="35979"/>
    <cellStyle name="Normal 518 4 2 2" xfId="35980"/>
    <cellStyle name="Normal 518 4 3" xfId="35981"/>
    <cellStyle name="Normal 518 5" xfId="35982"/>
    <cellStyle name="Normal 518 5 2" xfId="35983"/>
    <cellStyle name="Normal 518 5 2 2" xfId="35984"/>
    <cellStyle name="Normal 518 5 3" xfId="35985"/>
    <cellStyle name="Normal 518 6" xfId="35986"/>
    <cellStyle name="Normal 519" xfId="35987"/>
    <cellStyle name="Normal 519 2" xfId="35988"/>
    <cellStyle name="Normal 519 2 2" xfId="35989"/>
    <cellStyle name="Normal 519 2 2 2" xfId="35990"/>
    <cellStyle name="Normal 519 2 3" xfId="35991"/>
    <cellStyle name="Normal 519 2 3 2" xfId="35992"/>
    <cellStyle name="Normal 519 2 3 2 2" xfId="35993"/>
    <cellStyle name="Normal 519 2 3 3" xfId="35994"/>
    <cellStyle name="Normal 519 2 4" xfId="35995"/>
    <cellStyle name="Normal 519 3" xfId="35996"/>
    <cellStyle name="Normal 519 3 2" xfId="35997"/>
    <cellStyle name="Normal 519 3 2 2" xfId="35998"/>
    <cellStyle name="Normal 519 3 3" xfId="35999"/>
    <cellStyle name="Normal 519 4" xfId="36000"/>
    <cellStyle name="Normal 519 4 2" xfId="36001"/>
    <cellStyle name="Normal 519 4 2 2" xfId="36002"/>
    <cellStyle name="Normal 519 4 3" xfId="36003"/>
    <cellStyle name="Normal 519 5" xfId="36004"/>
    <cellStyle name="Normal 519 5 2" xfId="36005"/>
    <cellStyle name="Normal 519 5 2 2" xfId="36006"/>
    <cellStyle name="Normal 519 5 3" xfId="36007"/>
    <cellStyle name="Normal 519 6" xfId="36008"/>
    <cellStyle name="Normal 52" xfId="36009"/>
    <cellStyle name="Normal 52 2" xfId="36010"/>
    <cellStyle name="Normal 52 2 2" xfId="36011"/>
    <cellStyle name="Normal 52 2 2 2" xfId="36012"/>
    <cellStyle name="Normal 52 2 2 2 2" xfId="36013"/>
    <cellStyle name="Normal 52 2 2 3" xfId="36014"/>
    <cellStyle name="Normal 52 2 2 3 2" xfId="36015"/>
    <cellStyle name="Normal 52 2 2 3 2 2" xfId="36016"/>
    <cellStyle name="Normal 52 2 2 3 3" xfId="36017"/>
    <cellStyle name="Normal 52 2 2 4" xfId="36018"/>
    <cellStyle name="Normal 52 2 2 4 2" xfId="36019"/>
    <cellStyle name="Normal 52 2 2 4 2 2" xfId="36020"/>
    <cellStyle name="Normal 52 2 2 4 3" xfId="36021"/>
    <cellStyle name="Normal 52 2 2 5" xfId="36022"/>
    <cellStyle name="Normal 52 2 3" xfId="36023"/>
    <cellStyle name="Normal 52 2 3 2" xfId="36024"/>
    <cellStyle name="Normal 52 2 3 2 2" xfId="36025"/>
    <cellStyle name="Normal 52 2 3 3" xfId="36026"/>
    <cellStyle name="Normal 52 2 4" xfId="36027"/>
    <cellStyle name="Normal 52 2 4 2" xfId="36028"/>
    <cellStyle name="Normal 52 2 4 2 2" xfId="36029"/>
    <cellStyle name="Normal 52 2 4 3" xfId="36030"/>
    <cellStyle name="Normal 52 2 5" xfId="36031"/>
    <cellStyle name="Normal 52 2 5 2" xfId="36032"/>
    <cellStyle name="Normal 52 2 5 2 2" xfId="36033"/>
    <cellStyle name="Normal 52 2 5 3" xfId="36034"/>
    <cellStyle name="Normal 52 2 6" xfId="36035"/>
    <cellStyle name="Normal 52 3" xfId="36036"/>
    <cellStyle name="Normal 52 3 2" xfId="36037"/>
    <cellStyle name="Normal 52 3 2 2" xfId="36038"/>
    <cellStyle name="Normal 52 3 3" xfId="36039"/>
    <cellStyle name="Normal 52 3 3 2" xfId="36040"/>
    <cellStyle name="Normal 52 3 3 2 2" xfId="36041"/>
    <cellStyle name="Normal 52 3 3 3" xfId="36042"/>
    <cellStyle name="Normal 52 3 4" xfId="36043"/>
    <cellStyle name="Normal 52 3 4 2" xfId="36044"/>
    <cellStyle name="Normal 52 3 4 2 2" xfId="36045"/>
    <cellStyle name="Normal 52 3 4 3" xfId="36046"/>
    <cellStyle name="Normal 52 3 5" xfId="36047"/>
    <cellStyle name="Normal 52 4" xfId="36048"/>
    <cellStyle name="Normal 52 4 2" xfId="36049"/>
    <cellStyle name="Normal 52 4 2 2" xfId="36050"/>
    <cellStyle name="Normal 52 4 3" xfId="36051"/>
    <cellStyle name="Normal 52 5" xfId="36052"/>
    <cellStyle name="Normal 52 5 2" xfId="36053"/>
    <cellStyle name="Normal 52 5 2 2" xfId="36054"/>
    <cellStyle name="Normal 52 5 3" xfId="36055"/>
    <cellStyle name="Normal 52 6" xfId="36056"/>
    <cellStyle name="Normal 52 6 2" xfId="36057"/>
    <cellStyle name="Normal 52 6 2 2" xfId="36058"/>
    <cellStyle name="Normal 52 6 3" xfId="36059"/>
    <cellStyle name="Normal 52 7" xfId="36060"/>
    <cellStyle name="Normal 520" xfId="36061"/>
    <cellStyle name="Normal 520 2" xfId="36062"/>
    <cellStyle name="Normal 520 2 2" xfId="36063"/>
    <cellStyle name="Normal 520 2 2 2" xfId="36064"/>
    <cellStyle name="Normal 520 2 3" xfId="36065"/>
    <cellStyle name="Normal 520 2 3 2" xfId="36066"/>
    <cellStyle name="Normal 520 2 3 2 2" xfId="36067"/>
    <cellStyle name="Normal 520 2 3 3" xfId="36068"/>
    <cellStyle name="Normal 520 2 4" xfId="36069"/>
    <cellStyle name="Normal 520 3" xfId="36070"/>
    <cellStyle name="Normal 520 3 2" xfId="36071"/>
    <cellStyle name="Normal 520 3 2 2" xfId="36072"/>
    <cellStyle name="Normal 520 3 3" xfId="36073"/>
    <cellStyle name="Normal 520 4" xfId="36074"/>
    <cellStyle name="Normal 520 4 2" xfId="36075"/>
    <cellStyle name="Normal 520 4 2 2" xfId="36076"/>
    <cellStyle name="Normal 520 4 3" xfId="36077"/>
    <cellStyle name="Normal 520 5" xfId="36078"/>
    <cellStyle name="Normal 520 5 2" xfId="36079"/>
    <cellStyle name="Normal 520 5 2 2" xfId="36080"/>
    <cellStyle name="Normal 520 5 3" xfId="36081"/>
    <cellStyle name="Normal 520 6" xfId="36082"/>
    <cellStyle name="Normal 521" xfId="36083"/>
    <cellStyle name="Normal 521 2" xfId="36084"/>
    <cellStyle name="Normal 521 2 2" xfId="36085"/>
    <cellStyle name="Normal 521 2 2 2" xfId="36086"/>
    <cellStyle name="Normal 521 2 3" xfId="36087"/>
    <cellStyle name="Normal 521 2 3 2" xfId="36088"/>
    <cellStyle name="Normal 521 2 3 2 2" xfId="36089"/>
    <cellStyle name="Normal 521 2 3 3" xfId="36090"/>
    <cellStyle name="Normal 521 2 4" xfId="36091"/>
    <cellStyle name="Normal 521 3" xfId="36092"/>
    <cellStyle name="Normal 521 3 2" xfId="36093"/>
    <cellStyle name="Normal 521 3 2 2" xfId="36094"/>
    <cellStyle name="Normal 521 3 3" xfId="36095"/>
    <cellStyle name="Normal 521 4" xfId="36096"/>
    <cellStyle name="Normal 521 4 2" xfId="36097"/>
    <cellStyle name="Normal 521 4 2 2" xfId="36098"/>
    <cellStyle name="Normal 521 4 3" xfId="36099"/>
    <cellStyle name="Normal 521 5" xfId="36100"/>
    <cellStyle name="Normal 521 5 2" xfId="36101"/>
    <cellStyle name="Normal 521 5 2 2" xfId="36102"/>
    <cellStyle name="Normal 521 5 3" xfId="36103"/>
    <cellStyle name="Normal 521 6" xfId="36104"/>
    <cellStyle name="Normal 522" xfId="36105"/>
    <cellStyle name="Normal 522 2" xfId="36106"/>
    <cellStyle name="Normal 522 2 2" xfId="36107"/>
    <cellStyle name="Normal 522 2 2 2" xfId="36108"/>
    <cellStyle name="Normal 522 2 3" xfId="36109"/>
    <cellStyle name="Normal 522 2 3 2" xfId="36110"/>
    <cellStyle name="Normal 522 2 3 2 2" xfId="36111"/>
    <cellStyle name="Normal 522 2 3 3" xfId="36112"/>
    <cellStyle name="Normal 522 2 4" xfId="36113"/>
    <cellStyle name="Normal 522 3" xfId="36114"/>
    <cellStyle name="Normal 522 3 2" xfId="36115"/>
    <cellStyle name="Normal 522 3 2 2" xfId="36116"/>
    <cellStyle name="Normal 522 3 3" xfId="36117"/>
    <cellStyle name="Normal 522 4" xfId="36118"/>
    <cellStyle name="Normal 522 4 2" xfId="36119"/>
    <cellStyle name="Normal 522 4 2 2" xfId="36120"/>
    <cellStyle name="Normal 522 4 3" xfId="36121"/>
    <cellStyle name="Normal 522 5" xfId="36122"/>
    <cellStyle name="Normal 522 5 2" xfId="36123"/>
    <cellStyle name="Normal 522 5 2 2" xfId="36124"/>
    <cellStyle name="Normal 522 5 3" xfId="36125"/>
    <cellStyle name="Normal 522 6" xfId="36126"/>
    <cellStyle name="Normal 523" xfId="36127"/>
    <cellStyle name="Normal 523 2" xfId="36128"/>
    <cellStyle name="Normal 523 2 2" xfId="36129"/>
    <cellStyle name="Normal 523 2 2 2" xfId="36130"/>
    <cellStyle name="Normal 523 2 3" xfId="36131"/>
    <cellStyle name="Normal 523 2 3 2" xfId="36132"/>
    <cellStyle name="Normal 523 2 3 2 2" xfId="36133"/>
    <cellStyle name="Normal 523 2 3 3" xfId="36134"/>
    <cellStyle name="Normal 523 2 4" xfId="36135"/>
    <cellStyle name="Normal 523 3" xfId="36136"/>
    <cellStyle name="Normal 523 3 2" xfId="36137"/>
    <cellStyle name="Normal 523 3 2 2" xfId="36138"/>
    <cellStyle name="Normal 523 3 3" xfId="36139"/>
    <cellStyle name="Normal 523 4" xfId="36140"/>
    <cellStyle name="Normal 523 4 2" xfId="36141"/>
    <cellStyle name="Normal 523 4 2 2" xfId="36142"/>
    <cellStyle name="Normal 523 4 3" xfId="36143"/>
    <cellStyle name="Normal 523 5" xfId="36144"/>
    <cellStyle name="Normal 523 5 2" xfId="36145"/>
    <cellStyle name="Normal 523 5 2 2" xfId="36146"/>
    <cellStyle name="Normal 523 5 3" xfId="36147"/>
    <cellStyle name="Normal 523 6" xfId="36148"/>
    <cellStyle name="Normal 524" xfId="36149"/>
    <cellStyle name="Normal 524 2" xfId="36150"/>
    <cellStyle name="Normal 524 2 2" xfId="36151"/>
    <cellStyle name="Normal 524 2 2 2" xfId="36152"/>
    <cellStyle name="Normal 524 2 3" xfId="36153"/>
    <cellStyle name="Normal 524 2 3 2" xfId="36154"/>
    <cellStyle name="Normal 524 2 3 2 2" xfId="36155"/>
    <cellStyle name="Normal 524 2 3 3" xfId="36156"/>
    <cellStyle name="Normal 524 2 4" xfId="36157"/>
    <cellStyle name="Normal 524 3" xfId="36158"/>
    <cellStyle name="Normal 524 3 2" xfId="36159"/>
    <cellStyle name="Normal 524 3 2 2" xfId="36160"/>
    <cellStyle name="Normal 524 3 3" xfId="36161"/>
    <cellStyle name="Normal 524 4" xfId="36162"/>
    <cellStyle name="Normal 524 4 2" xfId="36163"/>
    <cellStyle name="Normal 524 4 2 2" xfId="36164"/>
    <cellStyle name="Normal 524 4 3" xfId="36165"/>
    <cellStyle name="Normal 524 5" xfId="36166"/>
    <cellStyle name="Normal 524 5 2" xfId="36167"/>
    <cellStyle name="Normal 524 5 2 2" xfId="36168"/>
    <cellStyle name="Normal 524 5 3" xfId="36169"/>
    <cellStyle name="Normal 524 6" xfId="36170"/>
    <cellStyle name="Normal 525" xfId="36171"/>
    <cellStyle name="Normal 525 2" xfId="36172"/>
    <cellStyle name="Normal 525 2 2" xfId="36173"/>
    <cellStyle name="Normal 525 2 2 2" xfId="36174"/>
    <cellStyle name="Normal 525 2 3" xfId="36175"/>
    <cellStyle name="Normal 525 2 3 2" xfId="36176"/>
    <cellStyle name="Normal 525 2 3 2 2" xfId="36177"/>
    <cellStyle name="Normal 525 2 3 3" xfId="36178"/>
    <cellStyle name="Normal 525 2 4" xfId="36179"/>
    <cellStyle name="Normal 525 3" xfId="36180"/>
    <cellStyle name="Normal 525 3 2" xfId="36181"/>
    <cellStyle name="Normal 525 3 2 2" xfId="36182"/>
    <cellStyle name="Normal 525 3 3" xfId="36183"/>
    <cellStyle name="Normal 525 4" xfId="36184"/>
    <cellStyle name="Normal 525 4 2" xfId="36185"/>
    <cellStyle name="Normal 525 4 2 2" xfId="36186"/>
    <cellStyle name="Normal 525 4 3" xfId="36187"/>
    <cellStyle name="Normal 525 5" xfId="36188"/>
    <cellStyle name="Normal 525 5 2" xfId="36189"/>
    <cellStyle name="Normal 525 5 2 2" xfId="36190"/>
    <cellStyle name="Normal 525 5 3" xfId="36191"/>
    <cellStyle name="Normal 525 6" xfId="36192"/>
    <cellStyle name="Normal 526" xfId="36193"/>
    <cellStyle name="Normal 526 2" xfId="36194"/>
    <cellStyle name="Normal 526 2 2" xfId="36195"/>
    <cellStyle name="Normal 526 2 2 2" xfId="36196"/>
    <cellStyle name="Normal 526 2 3" xfId="36197"/>
    <cellStyle name="Normal 526 2 3 2" xfId="36198"/>
    <cellStyle name="Normal 526 2 3 2 2" xfId="36199"/>
    <cellStyle name="Normal 526 2 3 3" xfId="36200"/>
    <cellStyle name="Normal 526 2 4" xfId="36201"/>
    <cellStyle name="Normal 526 3" xfId="36202"/>
    <cellStyle name="Normal 526 3 2" xfId="36203"/>
    <cellStyle name="Normal 526 3 2 2" xfId="36204"/>
    <cellStyle name="Normal 526 3 3" xfId="36205"/>
    <cellStyle name="Normal 526 4" xfId="36206"/>
    <cellStyle name="Normal 526 4 2" xfId="36207"/>
    <cellStyle name="Normal 526 4 2 2" xfId="36208"/>
    <cellStyle name="Normal 526 4 3" xfId="36209"/>
    <cellStyle name="Normal 526 5" xfId="36210"/>
    <cellStyle name="Normal 526 5 2" xfId="36211"/>
    <cellStyle name="Normal 526 5 2 2" xfId="36212"/>
    <cellStyle name="Normal 526 5 3" xfId="36213"/>
    <cellStyle name="Normal 526 6" xfId="36214"/>
    <cellStyle name="Normal 527" xfId="36215"/>
    <cellStyle name="Normal 527 2" xfId="36216"/>
    <cellStyle name="Normal 527 2 2" xfId="36217"/>
    <cellStyle name="Normal 527 2 2 2" xfId="36218"/>
    <cellStyle name="Normal 527 2 3" xfId="36219"/>
    <cellStyle name="Normal 527 2 3 2" xfId="36220"/>
    <cellStyle name="Normal 527 2 3 2 2" xfId="36221"/>
    <cellStyle name="Normal 527 2 3 3" xfId="36222"/>
    <cellStyle name="Normal 527 2 4" xfId="36223"/>
    <cellStyle name="Normal 527 3" xfId="36224"/>
    <cellStyle name="Normal 527 3 2" xfId="36225"/>
    <cellStyle name="Normal 527 3 2 2" xfId="36226"/>
    <cellStyle name="Normal 527 3 3" xfId="36227"/>
    <cellStyle name="Normal 527 4" xfId="36228"/>
    <cellStyle name="Normal 527 4 2" xfId="36229"/>
    <cellStyle name="Normal 527 4 2 2" xfId="36230"/>
    <cellStyle name="Normal 527 4 3" xfId="36231"/>
    <cellStyle name="Normal 527 5" xfId="36232"/>
    <cellStyle name="Normal 527 5 2" xfId="36233"/>
    <cellStyle name="Normal 527 5 2 2" xfId="36234"/>
    <cellStyle name="Normal 527 5 3" xfId="36235"/>
    <cellStyle name="Normal 527 6" xfId="36236"/>
    <cellStyle name="Normal 528" xfId="36237"/>
    <cellStyle name="Normal 528 2" xfId="36238"/>
    <cellStyle name="Normal 528 2 2" xfId="36239"/>
    <cellStyle name="Normal 528 2 2 2" xfId="36240"/>
    <cellStyle name="Normal 528 2 3" xfId="36241"/>
    <cellStyle name="Normal 528 2 3 2" xfId="36242"/>
    <cellStyle name="Normal 528 2 3 2 2" xfId="36243"/>
    <cellStyle name="Normal 528 2 3 3" xfId="36244"/>
    <cellStyle name="Normal 528 2 4" xfId="36245"/>
    <cellStyle name="Normal 528 3" xfId="36246"/>
    <cellStyle name="Normal 528 3 2" xfId="36247"/>
    <cellStyle name="Normal 528 3 2 2" xfId="36248"/>
    <cellStyle name="Normal 528 3 3" xfId="36249"/>
    <cellStyle name="Normal 528 4" xfId="36250"/>
    <cellStyle name="Normal 528 4 2" xfId="36251"/>
    <cellStyle name="Normal 528 4 2 2" xfId="36252"/>
    <cellStyle name="Normal 528 4 3" xfId="36253"/>
    <cellStyle name="Normal 528 5" xfId="36254"/>
    <cellStyle name="Normal 528 5 2" xfId="36255"/>
    <cellStyle name="Normal 528 5 2 2" xfId="36256"/>
    <cellStyle name="Normal 528 5 3" xfId="36257"/>
    <cellStyle name="Normal 528 6" xfId="36258"/>
    <cellStyle name="Normal 529" xfId="36259"/>
    <cellStyle name="Normal 529 2" xfId="36260"/>
    <cellStyle name="Normal 529 2 2" xfId="36261"/>
    <cellStyle name="Normal 529 2 2 2" xfId="36262"/>
    <cellStyle name="Normal 529 2 3" xfId="36263"/>
    <cellStyle name="Normal 529 2 3 2" xfId="36264"/>
    <cellStyle name="Normal 529 2 3 2 2" xfId="36265"/>
    <cellStyle name="Normal 529 2 3 3" xfId="36266"/>
    <cellStyle name="Normal 529 2 4" xfId="36267"/>
    <cellStyle name="Normal 529 3" xfId="36268"/>
    <cellStyle name="Normal 529 3 2" xfId="36269"/>
    <cellStyle name="Normal 529 3 2 2" xfId="36270"/>
    <cellStyle name="Normal 529 3 3" xfId="36271"/>
    <cellStyle name="Normal 529 4" xfId="36272"/>
    <cellStyle name="Normal 529 4 2" xfId="36273"/>
    <cellStyle name="Normal 529 4 2 2" xfId="36274"/>
    <cellStyle name="Normal 529 4 3" xfId="36275"/>
    <cellStyle name="Normal 529 5" xfId="36276"/>
    <cellStyle name="Normal 529 5 2" xfId="36277"/>
    <cellStyle name="Normal 529 5 2 2" xfId="36278"/>
    <cellStyle name="Normal 529 5 3" xfId="36279"/>
    <cellStyle name="Normal 529 6" xfId="36280"/>
    <cellStyle name="Normal 53" xfId="36281"/>
    <cellStyle name="Normal 53 2" xfId="36282"/>
    <cellStyle name="Normal 53 2 2" xfId="36283"/>
    <cellStyle name="Normal 53 2 2 2" xfId="36284"/>
    <cellStyle name="Normal 53 2 2 2 2" xfId="36285"/>
    <cellStyle name="Normal 53 2 2 3" xfId="36286"/>
    <cellStyle name="Normal 53 2 2 3 2" xfId="36287"/>
    <cellStyle name="Normal 53 2 2 3 2 2" xfId="36288"/>
    <cellStyle name="Normal 53 2 2 3 3" xfId="36289"/>
    <cellStyle name="Normal 53 2 2 4" xfId="36290"/>
    <cellStyle name="Normal 53 2 2 4 2" xfId="36291"/>
    <cellStyle name="Normal 53 2 2 4 2 2" xfId="36292"/>
    <cellStyle name="Normal 53 2 2 4 3" xfId="36293"/>
    <cellStyle name="Normal 53 2 2 5" xfId="36294"/>
    <cellStyle name="Normal 53 2 3" xfId="36295"/>
    <cellStyle name="Normal 53 2 3 2" xfId="36296"/>
    <cellStyle name="Normal 53 2 3 2 2" xfId="36297"/>
    <cellStyle name="Normal 53 2 3 3" xfId="36298"/>
    <cellStyle name="Normal 53 2 4" xfId="36299"/>
    <cellStyle name="Normal 53 2 4 2" xfId="36300"/>
    <cellStyle name="Normal 53 2 4 2 2" xfId="36301"/>
    <cellStyle name="Normal 53 2 4 3" xfId="36302"/>
    <cellStyle name="Normal 53 2 5" xfId="36303"/>
    <cellStyle name="Normal 53 2 5 2" xfId="36304"/>
    <cellStyle name="Normal 53 2 5 2 2" xfId="36305"/>
    <cellStyle name="Normal 53 2 5 3" xfId="36306"/>
    <cellStyle name="Normal 53 2 6" xfId="36307"/>
    <cellStyle name="Normal 53 3" xfId="36308"/>
    <cellStyle name="Normal 53 3 2" xfId="36309"/>
    <cellStyle name="Normal 53 3 2 2" xfId="36310"/>
    <cellStyle name="Normal 53 3 3" xfId="36311"/>
    <cellStyle name="Normal 53 3 3 2" xfId="36312"/>
    <cellStyle name="Normal 53 3 3 2 2" xfId="36313"/>
    <cellStyle name="Normal 53 3 3 3" xfId="36314"/>
    <cellStyle name="Normal 53 3 4" xfId="36315"/>
    <cellStyle name="Normal 53 3 4 2" xfId="36316"/>
    <cellStyle name="Normal 53 3 4 2 2" xfId="36317"/>
    <cellStyle name="Normal 53 3 4 3" xfId="36318"/>
    <cellStyle name="Normal 53 3 5" xfId="36319"/>
    <cellStyle name="Normal 53 4" xfId="36320"/>
    <cellStyle name="Normal 53 4 2" xfId="36321"/>
    <cellStyle name="Normal 53 4 2 2" xfId="36322"/>
    <cellStyle name="Normal 53 4 3" xfId="36323"/>
    <cellStyle name="Normal 53 5" xfId="36324"/>
    <cellStyle name="Normal 53 5 2" xfId="36325"/>
    <cellStyle name="Normal 53 5 2 2" xfId="36326"/>
    <cellStyle name="Normal 53 5 3" xfId="36327"/>
    <cellStyle name="Normal 53 6" xfId="36328"/>
    <cellStyle name="Normal 53 6 2" xfId="36329"/>
    <cellStyle name="Normal 53 6 2 2" xfId="36330"/>
    <cellStyle name="Normal 53 6 3" xfId="36331"/>
    <cellStyle name="Normal 53 7" xfId="36332"/>
    <cellStyle name="Normal 530" xfId="36333"/>
    <cellStyle name="Normal 530 2" xfId="36334"/>
    <cellStyle name="Normal 530 2 2" xfId="36335"/>
    <cellStyle name="Normal 530 2 2 2" xfId="36336"/>
    <cellStyle name="Normal 530 2 3" xfId="36337"/>
    <cellStyle name="Normal 530 2 3 2" xfId="36338"/>
    <cellStyle name="Normal 530 2 3 2 2" xfId="36339"/>
    <cellStyle name="Normal 530 2 3 3" xfId="36340"/>
    <cellStyle name="Normal 530 2 4" xfId="36341"/>
    <cellStyle name="Normal 530 3" xfId="36342"/>
    <cellStyle name="Normal 530 3 2" xfId="36343"/>
    <cellStyle name="Normal 530 3 2 2" xfId="36344"/>
    <cellStyle name="Normal 530 3 3" xfId="36345"/>
    <cellStyle name="Normal 530 4" xfId="36346"/>
    <cellStyle name="Normal 530 4 2" xfId="36347"/>
    <cellStyle name="Normal 530 4 2 2" xfId="36348"/>
    <cellStyle name="Normal 530 4 3" xfId="36349"/>
    <cellStyle name="Normal 530 5" xfId="36350"/>
    <cellStyle name="Normal 530 5 2" xfId="36351"/>
    <cellStyle name="Normal 530 5 2 2" xfId="36352"/>
    <cellStyle name="Normal 530 5 3" xfId="36353"/>
    <cellStyle name="Normal 530 6" xfId="36354"/>
    <cellStyle name="Normal 531" xfId="36355"/>
    <cellStyle name="Normal 531 2" xfId="36356"/>
    <cellStyle name="Normal 531 2 2" xfId="36357"/>
    <cellStyle name="Normal 531 2 2 2" xfId="36358"/>
    <cellStyle name="Normal 531 2 3" xfId="36359"/>
    <cellStyle name="Normal 531 2 3 2" xfId="36360"/>
    <cellStyle name="Normal 531 2 3 2 2" xfId="36361"/>
    <cellStyle name="Normal 531 2 3 3" xfId="36362"/>
    <cellStyle name="Normal 531 2 4" xfId="36363"/>
    <cellStyle name="Normal 531 3" xfId="36364"/>
    <cellStyle name="Normal 531 3 2" xfId="36365"/>
    <cellStyle name="Normal 531 3 2 2" xfId="36366"/>
    <cellStyle name="Normal 531 3 3" xfId="36367"/>
    <cellStyle name="Normal 531 4" xfId="36368"/>
    <cellStyle name="Normal 531 4 2" xfId="36369"/>
    <cellStyle name="Normal 531 4 2 2" xfId="36370"/>
    <cellStyle name="Normal 531 4 3" xfId="36371"/>
    <cellStyle name="Normal 531 5" xfId="36372"/>
    <cellStyle name="Normal 531 5 2" xfId="36373"/>
    <cellStyle name="Normal 531 5 2 2" xfId="36374"/>
    <cellStyle name="Normal 531 5 3" xfId="36375"/>
    <cellStyle name="Normal 531 6" xfId="36376"/>
    <cellStyle name="Normal 532" xfId="36377"/>
    <cellStyle name="Normal 532 2" xfId="36378"/>
    <cellStyle name="Normal 532 2 2" xfId="36379"/>
    <cellStyle name="Normal 532 2 2 2" xfId="36380"/>
    <cellStyle name="Normal 532 2 3" xfId="36381"/>
    <cellStyle name="Normal 532 2 3 2" xfId="36382"/>
    <cellStyle name="Normal 532 2 3 2 2" xfId="36383"/>
    <cellStyle name="Normal 532 2 3 3" xfId="36384"/>
    <cellStyle name="Normal 532 2 4" xfId="36385"/>
    <cellStyle name="Normal 532 3" xfId="36386"/>
    <cellStyle name="Normal 532 3 2" xfId="36387"/>
    <cellStyle name="Normal 532 3 2 2" xfId="36388"/>
    <cellStyle name="Normal 532 3 3" xfId="36389"/>
    <cellStyle name="Normal 532 4" xfId="36390"/>
    <cellStyle name="Normal 532 4 2" xfId="36391"/>
    <cellStyle name="Normal 532 4 2 2" xfId="36392"/>
    <cellStyle name="Normal 532 4 3" xfId="36393"/>
    <cellStyle name="Normal 532 5" xfId="36394"/>
    <cellStyle name="Normal 532 5 2" xfId="36395"/>
    <cellStyle name="Normal 532 5 2 2" xfId="36396"/>
    <cellStyle name="Normal 532 5 3" xfId="36397"/>
    <cellStyle name="Normal 532 6" xfId="36398"/>
    <cellStyle name="Normal 533" xfId="36399"/>
    <cellStyle name="Normal 533 2" xfId="36400"/>
    <cellStyle name="Normal 533 2 2" xfId="36401"/>
    <cellStyle name="Normal 533 2 2 2" xfId="36402"/>
    <cellStyle name="Normal 533 2 3" xfId="36403"/>
    <cellStyle name="Normal 533 2 3 2" xfId="36404"/>
    <cellStyle name="Normal 533 2 3 2 2" xfId="36405"/>
    <cellStyle name="Normal 533 2 3 3" xfId="36406"/>
    <cellStyle name="Normal 533 2 4" xfId="36407"/>
    <cellStyle name="Normal 533 3" xfId="36408"/>
    <cellStyle name="Normal 533 3 2" xfId="36409"/>
    <cellStyle name="Normal 533 3 2 2" xfId="36410"/>
    <cellStyle name="Normal 533 3 3" xfId="36411"/>
    <cellStyle name="Normal 533 4" xfId="36412"/>
    <cellStyle name="Normal 533 4 2" xfId="36413"/>
    <cellStyle name="Normal 533 4 2 2" xfId="36414"/>
    <cellStyle name="Normal 533 4 3" xfId="36415"/>
    <cellStyle name="Normal 533 5" xfId="36416"/>
    <cellStyle name="Normal 533 5 2" xfId="36417"/>
    <cellStyle name="Normal 533 5 2 2" xfId="36418"/>
    <cellStyle name="Normal 533 5 3" xfId="36419"/>
    <cellStyle name="Normal 533 6" xfId="36420"/>
    <cellStyle name="Normal 534" xfId="36421"/>
    <cellStyle name="Normal 534 2" xfId="36422"/>
    <cellStyle name="Normal 534 2 2" xfId="36423"/>
    <cellStyle name="Normal 534 2 2 2" xfId="36424"/>
    <cellStyle name="Normal 534 2 3" xfId="36425"/>
    <cellStyle name="Normal 534 2 3 2" xfId="36426"/>
    <cellStyle name="Normal 534 2 3 2 2" xfId="36427"/>
    <cellStyle name="Normal 534 2 3 3" xfId="36428"/>
    <cellStyle name="Normal 534 2 4" xfId="36429"/>
    <cellStyle name="Normal 534 3" xfId="36430"/>
    <cellStyle name="Normal 534 3 2" xfId="36431"/>
    <cellStyle name="Normal 534 3 2 2" xfId="36432"/>
    <cellStyle name="Normal 534 3 3" xfId="36433"/>
    <cellStyle name="Normal 534 4" xfId="36434"/>
    <cellStyle name="Normal 534 4 2" xfId="36435"/>
    <cellStyle name="Normal 534 4 2 2" xfId="36436"/>
    <cellStyle name="Normal 534 4 3" xfId="36437"/>
    <cellStyle name="Normal 534 5" xfId="36438"/>
    <cellStyle name="Normal 534 5 2" xfId="36439"/>
    <cellStyle name="Normal 534 5 2 2" xfId="36440"/>
    <cellStyle name="Normal 534 5 3" xfId="36441"/>
    <cellStyle name="Normal 534 6" xfId="36442"/>
    <cellStyle name="Normal 535" xfId="36443"/>
    <cellStyle name="Normal 535 2" xfId="36444"/>
    <cellStyle name="Normal 535 2 2" xfId="36445"/>
    <cellStyle name="Normal 535 2 2 2" xfId="36446"/>
    <cellStyle name="Normal 535 2 3" xfId="36447"/>
    <cellStyle name="Normal 535 2 3 2" xfId="36448"/>
    <cellStyle name="Normal 535 2 3 2 2" xfId="36449"/>
    <cellStyle name="Normal 535 2 3 3" xfId="36450"/>
    <cellStyle name="Normal 535 2 4" xfId="36451"/>
    <cellStyle name="Normal 535 3" xfId="36452"/>
    <cellStyle name="Normal 535 3 2" xfId="36453"/>
    <cellStyle name="Normal 535 3 2 2" xfId="36454"/>
    <cellStyle name="Normal 535 3 3" xfId="36455"/>
    <cellStyle name="Normal 535 4" xfId="36456"/>
    <cellStyle name="Normal 535 4 2" xfId="36457"/>
    <cellStyle name="Normal 535 4 2 2" xfId="36458"/>
    <cellStyle name="Normal 535 4 3" xfId="36459"/>
    <cellStyle name="Normal 535 5" xfId="36460"/>
    <cellStyle name="Normal 535 5 2" xfId="36461"/>
    <cellStyle name="Normal 535 5 2 2" xfId="36462"/>
    <cellStyle name="Normal 535 5 3" xfId="36463"/>
    <cellStyle name="Normal 535 6" xfId="36464"/>
    <cellStyle name="Normal 536" xfId="36465"/>
    <cellStyle name="Normal 536 2" xfId="36466"/>
    <cellStyle name="Normal 536 2 2" xfId="36467"/>
    <cellStyle name="Normal 536 2 2 2" xfId="36468"/>
    <cellStyle name="Normal 536 2 3" xfId="36469"/>
    <cellStyle name="Normal 536 2 3 2" xfId="36470"/>
    <cellStyle name="Normal 536 2 3 2 2" xfId="36471"/>
    <cellStyle name="Normal 536 2 3 3" xfId="36472"/>
    <cellStyle name="Normal 536 2 4" xfId="36473"/>
    <cellStyle name="Normal 536 3" xfId="36474"/>
    <cellStyle name="Normal 536 3 2" xfId="36475"/>
    <cellStyle name="Normal 536 3 2 2" xfId="36476"/>
    <cellStyle name="Normal 536 3 3" xfId="36477"/>
    <cellStyle name="Normal 536 4" xfId="36478"/>
    <cellStyle name="Normal 536 4 2" xfId="36479"/>
    <cellStyle name="Normal 536 4 2 2" xfId="36480"/>
    <cellStyle name="Normal 536 4 3" xfId="36481"/>
    <cellStyle name="Normal 536 5" xfId="36482"/>
    <cellStyle name="Normal 536 5 2" xfId="36483"/>
    <cellStyle name="Normal 536 5 2 2" xfId="36484"/>
    <cellStyle name="Normal 536 5 3" xfId="36485"/>
    <cellStyle name="Normal 536 6" xfId="36486"/>
    <cellStyle name="Normal 537" xfId="36487"/>
    <cellStyle name="Normal 537 2" xfId="36488"/>
    <cellStyle name="Normal 537 2 2" xfId="36489"/>
    <cellStyle name="Normal 537 2 2 2" xfId="36490"/>
    <cellStyle name="Normal 537 2 3" xfId="36491"/>
    <cellStyle name="Normal 537 2 3 2" xfId="36492"/>
    <cellStyle name="Normal 537 2 3 2 2" xfId="36493"/>
    <cellStyle name="Normal 537 2 3 3" xfId="36494"/>
    <cellStyle name="Normal 537 2 4" xfId="36495"/>
    <cellStyle name="Normal 537 3" xfId="36496"/>
    <cellStyle name="Normal 537 3 2" xfId="36497"/>
    <cellStyle name="Normal 537 3 2 2" xfId="36498"/>
    <cellStyle name="Normal 537 3 3" xfId="36499"/>
    <cellStyle name="Normal 537 4" xfId="36500"/>
    <cellStyle name="Normal 537 4 2" xfId="36501"/>
    <cellStyle name="Normal 537 4 2 2" xfId="36502"/>
    <cellStyle name="Normal 537 4 3" xfId="36503"/>
    <cellStyle name="Normal 537 5" xfId="36504"/>
    <cellStyle name="Normal 537 5 2" xfId="36505"/>
    <cellStyle name="Normal 537 5 2 2" xfId="36506"/>
    <cellStyle name="Normal 537 5 3" xfId="36507"/>
    <cellStyle name="Normal 537 6" xfId="36508"/>
    <cellStyle name="Normal 538" xfId="36509"/>
    <cellStyle name="Normal 538 2" xfId="36510"/>
    <cellStyle name="Normal 538 2 2" xfId="36511"/>
    <cellStyle name="Normal 538 2 2 2" xfId="36512"/>
    <cellStyle name="Normal 538 2 3" xfId="36513"/>
    <cellStyle name="Normal 538 2 3 2" xfId="36514"/>
    <cellStyle name="Normal 538 2 3 2 2" xfId="36515"/>
    <cellStyle name="Normal 538 2 3 3" xfId="36516"/>
    <cellStyle name="Normal 538 2 4" xfId="36517"/>
    <cellStyle name="Normal 538 3" xfId="36518"/>
    <cellStyle name="Normal 538 3 2" xfId="36519"/>
    <cellStyle name="Normal 538 3 2 2" xfId="36520"/>
    <cellStyle name="Normal 538 3 3" xfId="36521"/>
    <cellStyle name="Normal 538 4" xfId="36522"/>
    <cellStyle name="Normal 538 4 2" xfId="36523"/>
    <cellStyle name="Normal 538 4 2 2" xfId="36524"/>
    <cellStyle name="Normal 538 4 3" xfId="36525"/>
    <cellStyle name="Normal 538 5" xfId="36526"/>
    <cellStyle name="Normal 538 5 2" xfId="36527"/>
    <cellStyle name="Normal 538 5 2 2" xfId="36528"/>
    <cellStyle name="Normal 538 5 3" xfId="36529"/>
    <cellStyle name="Normal 538 6" xfId="36530"/>
    <cellStyle name="Normal 539" xfId="36531"/>
    <cellStyle name="Normal 539 2" xfId="36532"/>
    <cellStyle name="Normal 539 2 2" xfId="36533"/>
    <cellStyle name="Normal 539 2 2 2" xfId="36534"/>
    <cellStyle name="Normal 539 2 3" xfId="36535"/>
    <cellStyle name="Normal 539 2 3 2" xfId="36536"/>
    <cellStyle name="Normal 539 2 3 2 2" xfId="36537"/>
    <cellStyle name="Normal 539 2 3 3" xfId="36538"/>
    <cellStyle name="Normal 539 2 4" xfId="36539"/>
    <cellStyle name="Normal 539 3" xfId="36540"/>
    <cellStyle name="Normal 539 3 2" xfId="36541"/>
    <cellStyle name="Normal 539 3 2 2" xfId="36542"/>
    <cellStyle name="Normal 539 3 3" xfId="36543"/>
    <cellStyle name="Normal 539 4" xfId="36544"/>
    <cellStyle name="Normal 539 4 2" xfId="36545"/>
    <cellStyle name="Normal 539 4 2 2" xfId="36546"/>
    <cellStyle name="Normal 539 4 3" xfId="36547"/>
    <cellStyle name="Normal 539 5" xfId="36548"/>
    <cellStyle name="Normal 539 5 2" xfId="36549"/>
    <cellStyle name="Normal 539 5 2 2" xfId="36550"/>
    <cellStyle name="Normal 539 5 3" xfId="36551"/>
    <cellStyle name="Normal 539 6" xfId="36552"/>
    <cellStyle name="Normal 54" xfId="36553"/>
    <cellStyle name="Normal 54 2" xfId="36554"/>
    <cellStyle name="Normal 54 2 2" xfId="36555"/>
    <cellStyle name="Normal 54 2 2 2" xfId="36556"/>
    <cellStyle name="Normal 54 2 2 2 2" xfId="36557"/>
    <cellStyle name="Normal 54 2 2 3" xfId="36558"/>
    <cellStyle name="Normal 54 2 2 3 2" xfId="36559"/>
    <cellStyle name="Normal 54 2 2 3 2 2" xfId="36560"/>
    <cellStyle name="Normal 54 2 2 3 3" xfId="36561"/>
    <cellStyle name="Normal 54 2 2 4" xfId="36562"/>
    <cellStyle name="Normal 54 2 2 4 2" xfId="36563"/>
    <cellStyle name="Normal 54 2 2 4 2 2" xfId="36564"/>
    <cellStyle name="Normal 54 2 2 4 3" xfId="36565"/>
    <cellStyle name="Normal 54 2 2 5" xfId="36566"/>
    <cellStyle name="Normal 54 2 3" xfId="36567"/>
    <cellStyle name="Normal 54 2 3 2" xfId="36568"/>
    <cellStyle name="Normal 54 2 3 2 2" xfId="36569"/>
    <cellStyle name="Normal 54 2 3 3" xfId="36570"/>
    <cellStyle name="Normal 54 2 4" xfId="36571"/>
    <cellStyle name="Normal 54 2 4 2" xfId="36572"/>
    <cellStyle name="Normal 54 2 4 2 2" xfId="36573"/>
    <cellStyle name="Normal 54 2 4 3" xfId="36574"/>
    <cellStyle name="Normal 54 2 5" xfId="36575"/>
    <cellStyle name="Normal 54 2 5 2" xfId="36576"/>
    <cellStyle name="Normal 54 2 5 2 2" xfId="36577"/>
    <cellStyle name="Normal 54 2 5 3" xfId="36578"/>
    <cellStyle name="Normal 54 2 6" xfId="36579"/>
    <cellStyle name="Normal 54 3" xfId="36580"/>
    <cellStyle name="Normal 54 3 2" xfId="36581"/>
    <cellStyle name="Normal 54 3 2 2" xfId="36582"/>
    <cellStyle name="Normal 54 3 3" xfId="36583"/>
    <cellStyle name="Normal 54 3 3 2" xfId="36584"/>
    <cellStyle name="Normal 54 3 3 2 2" xfId="36585"/>
    <cellStyle name="Normal 54 3 3 3" xfId="36586"/>
    <cellStyle name="Normal 54 3 4" xfId="36587"/>
    <cellStyle name="Normal 54 3 4 2" xfId="36588"/>
    <cellStyle name="Normal 54 3 4 2 2" xfId="36589"/>
    <cellStyle name="Normal 54 3 4 3" xfId="36590"/>
    <cellStyle name="Normal 54 3 5" xfId="36591"/>
    <cellStyle name="Normal 54 4" xfId="36592"/>
    <cellStyle name="Normal 54 4 2" xfId="36593"/>
    <cellStyle name="Normal 54 4 2 2" xfId="36594"/>
    <cellStyle name="Normal 54 4 3" xfId="36595"/>
    <cellStyle name="Normal 54 5" xfId="36596"/>
    <cellStyle name="Normal 54 5 2" xfId="36597"/>
    <cellStyle name="Normal 54 5 2 2" xfId="36598"/>
    <cellStyle name="Normal 54 5 3" xfId="36599"/>
    <cellStyle name="Normal 54 6" xfId="36600"/>
    <cellStyle name="Normal 54 6 2" xfId="36601"/>
    <cellStyle name="Normal 54 6 2 2" xfId="36602"/>
    <cellStyle name="Normal 54 6 3" xfId="36603"/>
    <cellStyle name="Normal 54 7" xfId="36604"/>
    <cellStyle name="Normal 540" xfId="36605"/>
    <cellStyle name="Normal 540 2" xfId="36606"/>
    <cellStyle name="Normal 540 2 2" xfId="36607"/>
    <cellStyle name="Normal 540 2 2 2" xfId="36608"/>
    <cellStyle name="Normal 540 2 3" xfId="36609"/>
    <cellStyle name="Normal 540 2 3 2" xfId="36610"/>
    <cellStyle name="Normal 540 2 3 2 2" xfId="36611"/>
    <cellStyle name="Normal 540 2 3 3" xfId="36612"/>
    <cellStyle name="Normal 540 2 4" xfId="36613"/>
    <cellStyle name="Normal 540 3" xfId="36614"/>
    <cellStyle name="Normal 540 3 2" xfId="36615"/>
    <cellStyle name="Normal 540 3 2 2" xfId="36616"/>
    <cellStyle name="Normal 540 3 3" xfId="36617"/>
    <cellStyle name="Normal 540 4" xfId="36618"/>
    <cellStyle name="Normal 540 4 2" xfId="36619"/>
    <cellStyle name="Normal 540 4 2 2" xfId="36620"/>
    <cellStyle name="Normal 540 4 3" xfId="36621"/>
    <cellStyle name="Normal 540 5" xfId="36622"/>
    <cellStyle name="Normal 540 5 2" xfId="36623"/>
    <cellStyle name="Normal 540 5 2 2" xfId="36624"/>
    <cellStyle name="Normal 540 5 3" xfId="36625"/>
    <cellStyle name="Normal 540 6" xfId="36626"/>
    <cellStyle name="Normal 541" xfId="36627"/>
    <cellStyle name="Normal 541 2" xfId="36628"/>
    <cellStyle name="Normal 541 2 2" xfId="36629"/>
    <cellStyle name="Normal 541 2 2 2" xfId="36630"/>
    <cellStyle name="Normal 541 2 3" xfId="36631"/>
    <cellStyle name="Normal 541 2 3 2" xfId="36632"/>
    <cellStyle name="Normal 541 2 3 2 2" xfId="36633"/>
    <cellStyle name="Normal 541 2 3 3" xfId="36634"/>
    <cellStyle name="Normal 541 2 4" xfId="36635"/>
    <cellStyle name="Normal 541 3" xfId="36636"/>
    <cellStyle name="Normal 541 3 2" xfId="36637"/>
    <cellStyle name="Normal 541 3 2 2" xfId="36638"/>
    <cellStyle name="Normal 541 3 3" xfId="36639"/>
    <cellStyle name="Normal 541 4" xfId="36640"/>
    <cellStyle name="Normal 541 4 2" xfId="36641"/>
    <cellStyle name="Normal 541 4 2 2" xfId="36642"/>
    <cellStyle name="Normal 541 4 3" xfId="36643"/>
    <cellStyle name="Normal 541 5" xfId="36644"/>
    <cellStyle name="Normal 541 5 2" xfId="36645"/>
    <cellStyle name="Normal 541 5 2 2" xfId="36646"/>
    <cellStyle name="Normal 541 5 3" xfId="36647"/>
    <cellStyle name="Normal 541 6" xfId="36648"/>
    <cellStyle name="Normal 542" xfId="36649"/>
    <cellStyle name="Normal 542 2" xfId="36650"/>
    <cellStyle name="Normal 542 2 2" xfId="36651"/>
    <cellStyle name="Normal 542 2 2 2" xfId="36652"/>
    <cellStyle name="Normal 542 2 3" xfId="36653"/>
    <cellStyle name="Normal 542 2 3 2" xfId="36654"/>
    <cellStyle name="Normal 542 2 3 2 2" xfId="36655"/>
    <cellStyle name="Normal 542 2 3 3" xfId="36656"/>
    <cellStyle name="Normal 542 2 4" xfId="36657"/>
    <cellStyle name="Normal 542 3" xfId="36658"/>
    <cellStyle name="Normal 542 3 2" xfId="36659"/>
    <cellStyle name="Normal 542 3 2 2" xfId="36660"/>
    <cellStyle name="Normal 542 3 3" xfId="36661"/>
    <cellStyle name="Normal 542 4" xfId="36662"/>
    <cellStyle name="Normal 542 4 2" xfId="36663"/>
    <cellStyle name="Normal 542 4 2 2" xfId="36664"/>
    <cellStyle name="Normal 542 4 3" xfId="36665"/>
    <cellStyle name="Normal 542 5" xfId="36666"/>
    <cellStyle name="Normal 542 5 2" xfId="36667"/>
    <cellStyle name="Normal 542 5 2 2" xfId="36668"/>
    <cellStyle name="Normal 542 5 3" xfId="36669"/>
    <cellStyle name="Normal 542 6" xfId="36670"/>
    <cellStyle name="Normal 543" xfId="36671"/>
    <cellStyle name="Normal 543 2" xfId="36672"/>
    <cellStyle name="Normal 543 2 2" xfId="36673"/>
    <cellStyle name="Normal 543 2 2 2" xfId="36674"/>
    <cellStyle name="Normal 543 2 3" xfId="36675"/>
    <cellStyle name="Normal 543 2 3 2" xfId="36676"/>
    <cellStyle name="Normal 543 2 3 2 2" xfId="36677"/>
    <cellStyle name="Normal 543 2 3 3" xfId="36678"/>
    <cellStyle name="Normal 543 2 4" xfId="36679"/>
    <cellStyle name="Normal 543 3" xfId="36680"/>
    <cellStyle name="Normal 543 3 2" xfId="36681"/>
    <cellStyle name="Normal 543 3 2 2" xfId="36682"/>
    <cellStyle name="Normal 543 3 3" xfId="36683"/>
    <cellStyle name="Normal 543 4" xfId="36684"/>
    <cellStyle name="Normal 543 4 2" xfId="36685"/>
    <cellStyle name="Normal 543 4 2 2" xfId="36686"/>
    <cellStyle name="Normal 543 4 3" xfId="36687"/>
    <cellStyle name="Normal 543 5" xfId="36688"/>
    <cellStyle name="Normal 543 5 2" xfId="36689"/>
    <cellStyle name="Normal 543 5 2 2" xfId="36690"/>
    <cellStyle name="Normal 543 5 3" xfId="36691"/>
    <cellStyle name="Normal 543 6" xfId="36692"/>
    <cellStyle name="Normal 544" xfId="36693"/>
    <cellStyle name="Normal 544 2" xfId="36694"/>
    <cellStyle name="Normal 544 2 2" xfId="36695"/>
    <cellStyle name="Normal 544 2 2 2" xfId="36696"/>
    <cellStyle name="Normal 544 2 3" xfId="36697"/>
    <cellStyle name="Normal 544 2 3 2" xfId="36698"/>
    <cellStyle name="Normal 544 2 3 2 2" xfId="36699"/>
    <cellStyle name="Normal 544 2 3 3" xfId="36700"/>
    <cellStyle name="Normal 544 2 4" xfId="36701"/>
    <cellStyle name="Normal 544 3" xfId="36702"/>
    <cellStyle name="Normal 544 3 2" xfId="36703"/>
    <cellStyle name="Normal 544 3 2 2" xfId="36704"/>
    <cellStyle name="Normal 544 3 3" xfId="36705"/>
    <cellStyle name="Normal 544 4" xfId="36706"/>
    <cellStyle name="Normal 544 4 2" xfId="36707"/>
    <cellStyle name="Normal 544 4 2 2" xfId="36708"/>
    <cellStyle name="Normal 544 4 3" xfId="36709"/>
    <cellStyle name="Normal 544 5" xfId="36710"/>
    <cellStyle name="Normal 544 5 2" xfId="36711"/>
    <cellStyle name="Normal 544 5 2 2" xfId="36712"/>
    <cellStyle name="Normal 544 5 3" xfId="36713"/>
    <cellStyle name="Normal 544 6" xfId="36714"/>
    <cellStyle name="Normal 545" xfId="36715"/>
    <cellStyle name="Normal 545 2" xfId="36716"/>
    <cellStyle name="Normal 545 2 2" xfId="36717"/>
    <cellStyle name="Normal 545 2 2 2" xfId="36718"/>
    <cellStyle name="Normal 545 2 3" xfId="36719"/>
    <cellStyle name="Normal 545 2 3 2" xfId="36720"/>
    <cellStyle name="Normal 545 2 3 2 2" xfId="36721"/>
    <cellStyle name="Normal 545 2 3 3" xfId="36722"/>
    <cellStyle name="Normal 545 2 4" xfId="36723"/>
    <cellStyle name="Normal 545 3" xfId="36724"/>
    <cellStyle name="Normal 545 3 2" xfId="36725"/>
    <cellStyle name="Normal 545 3 2 2" xfId="36726"/>
    <cellStyle name="Normal 545 3 3" xfId="36727"/>
    <cellStyle name="Normal 545 4" xfId="36728"/>
    <cellStyle name="Normal 545 4 2" xfId="36729"/>
    <cellStyle name="Normal 545 4 2 2" xfId="36730"/>
    <cellStyle name="Normal 545 4 3" xfId="36731"/>
    <cellStyle name="Normal 545 5" xfId="36732"/>
    <cellStyle name="Normal 545 5 2" xfId="36733"/>
    <cellStyle name="Normal 545 5 2 2" xfId="36734"/>
    <cellStyle name="Normal 545 5 3" xfId="36735"/>
    <cellStyle name="Normal 545 6" xfId="36736"/>
    <cellStyle name="Normal 546" xfId="36737"/>
    <cellStyle name="Normal 546 2" xfId="36738"/>
    <cellStyle name="Normal 546 2 2" xfId="36739"/>
    <cellStyle name="Normal 546 2 2 2" xfId="36740"/>
    <cellStyle name="Normal 546 2 3" xfId="36741"/>
    <cellStyle name="Normal 546 2 3 2" xfId="36742"/>
    <cellStyle name="Normal 546 2 3 2 2" xfId="36743"/>
    <cellStyle name="Normal 546 2 3 3" xfId="36744"/>
    <cellStyle name="Normal 546 2 4" xfId="36745"/>
    <cellStyle name="Normal 546 3" xfId="36746"/>
    <cellStyle name="Normal 546 3 2" xfId="36747"/>
    <cellStyle name="Normal 546 3 2 2" xfId="36748"/>
    <cellStyle name="Normal 546 3 3" xfId="36749"/>
    <cellStyle name="Normal 546 4" xfId="36750"/>
    <cellStyle name="Normal 546 4 2" xfId="36751"/>
    <cellStyle name="Normal 546 4 2 2" xfId="36752"/>
    <cellStyle name="Normal 546 4 3" xfId="36753"/>
    <cellStyle name="Normal 546 5" xfId="36754"/>
    <cellStyle name="Normal 546 5 2" xfId="36755"/>
    <cellStyle name="Normal 546 5 2 2" xfId="36756"/>
    <cellStyle name="Normal 546 5 3" xfId="36757"/>
    <cellStyle name="Normal 546 6" xfId="36758"/>
    <cellStyle name="Normal 547" xfId="36759"/>
    <cellStyle name="Normal 547 2" xfId="36760"/>
    <cellStyle name="Normal 547 2 2" xfId="36761"/>
    <cellStyle name="Normal 547 2 2 2" xfId="36762"/>
    <cellStyle name="Normal 547 2 3" xfId="36763"/>
    <cellStyle name="Normal 547 2 3 2" xfId="36764"/>
    <cellStyle name="Normal 547 2 3 2 2" xfId="36765"/>
    <cellStyle name="Normal 547 2 3 3" xfId="36766"/>
    <cellStyle name="Normal 547 2 4" xfId="36767"/>
    <cellStyle name="Normal 547 3" xfId="36768"/>
    <cellStyle name="Normal 547 3 2" xfId="36769"/>
    <cellStyle name="Normal 547 3 2 2" xfId="36770"/>
    <cellStyle name="Normal 547 3 3" xfId="36771"/>
    <cellStyle name="Normal 547 4" xfId="36772"/>
    <cellStyle name="Normal 547 4 2" xfId="36773"/>
    <cellStyle name="Normal 547 4 2 2" xfId="36774"/>
    <cellStyle name="Normal 547 4 3" xfId="36775"/>
    <cellStyle name="Normal 547 5" xfId="36776"/>
    <cellStyle name="Normal 547 5 2" xfId="36777"/>
    <cellStyle name="Normal 547 5 2 2" xfId="36778"/>
    <cellStyle name="Normal 547 5 3" xfId="36779"/>
    <cellStyle name="Normal 547 6" xfId="36780"/>
    <cellStyle name="Normal 548" xfId="36781"/>
    <cellStyle name="Normal 548 2" xfId="36782"/>
    <cellStyle name="Normal 548 2 2" xfId="36783"/>
    <cellStyle name="Normal 548 2 2 2" xfId="36784"/>
    <cellStyle name="Normal 548 2 3" xfId="36785"/>
    <cellStyle name="Normal 548 2 3 2" xfId="36786"/>
    <cellStyle name="Normal 548 2 3 2 2" xfId="36787"/>
    <cellStyle name="Normal 548 2 3 3" xfId="36788"/>
    <cellStyle name="Normal 548 2 4" xfId="36789"/>
    <cellStyle name="Normal 548 3" xfId="36790"/>
    <cellStyle name="Normal 548 3 2" xfId="36791"/>
    <cellStyle name="Normal 548 3 2 2" xfId="36792"/>
    <cellStyle name="Normal 548 3 3" xfId="36793"/>
    <cellStyle name="Normal 548 4" xfId="36794"/>
    <cellStyle name="Normal 548 4 2" xfId="36795"/>
    <cellStyle name="Normal 548 4 2 2" xfId="36796"/>
    <cellStyle name="Normal 548 4 3" xfId="36797"/>
    <cellStyle name="Normal 548 5" xfId="36798"/>
    <cellStyle name="Normal 548 5 2" xfId="36799"/>
    <cellStyle name="Normal 548 5 2 2" xfId="36800"/>
    <cellStyle name="Normal 548 5 3" xfId="36801"/>
    <cellStyle name="Normal 548 6" xfId="36802"/>
    <cellStyle name="Normal 549" xfId="36803"/>
    <cellStyle name="Normal 549 2" xfId="36804"/>
    <cellStyle name="Normal 549 2 2" xfId="36805"/>
    <cellStyle name="Normal 549 2 2 2" xfId="36806"/>
    <cellStyle name="Normal 549 2 3" xfId="36807"/>
    <cellStyle name="Normal 549 2 3 2" xfId="36808"/>
    <cellStyle name="Normal 549 2 3 2 2" xfId="36809"/>
    <cellStyle name="Normal 549 2 3 3" xfId="36810"/>
    <cellStyle name="Normal 549 2 4" xfId="36811"/>
    <cellStyle name="Normal 549 3" xfId="36812"/>
    <cellStyle name="Normal 549 3 2" xfId="36813"/>
    <cellStyle name="Normal 549 3 2 2" xfId="36814"/>
    <cellStyle name="Normal 549 3 3" xfId="36815"/>
    <cellStyle name="Normal 549 4" xfId="36816"/>
    <cellStyle name="Normal 549 4 2" xfId="36817"/>
    <cellStyle name="Normal 549 4 2 2" xfId="36818"/>
    <cellStyle name="Normal 549 4 3" xfId="36819"/>
    <cellStyle name="Normal 549 5" xfId="36820"/>
    <cellStyle name="Normal 549 5 2" xfId="36821"/>
    <cellStyle name="Normal 549 5 2 2" xfId="36822"/>
    <cellStyle name="Normal 549 5 3" xfId="36823"/>
    <cellStyle name="Normal 549 6" xfId="36824"/>
    <cellStyle name="Normal 55" xfId="36825"/>
    <cellStyle name="Normal 55 2" xfId="36826"/>
    <cellStyle name="Normal 55 2 2" xfId="36827"/>
    <cellStyle name="Normal 55 2 2 2" xfId="36828"/>
    <cellStyle name="Normal 55 2 3" xfId="36829"/>
    <cellStyle name="Normal 55 2 3 2" xfId="36830"/>
    <cellStyle name="Normal 55 2 3 2 2" xfId="36831"/>
    <cellStyle name="Normal 55 2 3 3" xfId="36832"/>
    <cellStyle name="Normal 55 2 4" xfId="36833"/>
    <cellStyle name="Normal 55 2 4 2" xfId="36834"/>
    <cellStyle name="Normal 55 2 4 2 2" xfId="36835"/>
    <cellStyle name="Normal 55 2 4 3" xfId="36836"/>
    <cellStyle name="Normal 55 2 5" xfId="36837"/>
    <cellStyle name="Normal 55 3" xfId="36838"/>
    <cellStyle name="Normal 55 3 2" xfId="36839"/>
    <cellStyle name="Normal 55 3 2 2" xfId="36840"/>
    <cellStyle name="Normal 55 3 2 2 2" xfId="36841"/>
    <cellStyle name="Normal 55 3 2 3" xfId="36842"/>
    <cellStyle name="Normal 55 3 2 3 2" xfId="36843"/>
    <cellStyle name="Normal 55 3 2 3 2 2" xfId="36844"/>
    <cellStyle name="Normal 55 3 2 3 3" xfId="36845"/>
    <cellStyle name="Normal 55 3 2 4" xfId="36846"/>
    <cellStyle name="Normal 55 3 3" xfId="36847"/>
    <cellStyle name="Normal 55 3 3 2" xfId="36848"/>
    <cellStyle name="Normal 55 3 3 2 2" xfId="36849"/>
    <cellStyle name="Normal 55 3 3 3" xfId="36850"/>
    <cellStyle name="Normal 55 3 4" xfId="36851"/>
    <cellStyle name="Normal 55 3 4 2" xfId="36852"/>
    <cellStyle name="Normal 55 3 4 2 2" xfId="36853"/>
    <cellStyle name="Normal 55 3 4 3" xfId="36854"/>
    <cellStyle name="Normal 55 3 5" xfId="36855"/>
    <cellStyle name="Normal 55 3 5 2" xfId="36856"/>
    <cellStyle name="Normal 55 3 5 2 2" xfId="36857"/>
    <cellStyle name="Normal 55 3 5 3" xfId="36858"/>
    <cellStyle name="Normal 55 3 6" xfId="36859"/>
    <cellStyle name="Normal 55 4" xfId="36860"/>
    <cellStyle name="Normal 55 4 2" xfId="36861"/>
    <cellStyle name="Normal 55 4 2 2" xfId="36862"/>
    <cellStyle name="Normal 55 4 3" xfId="36863"/>
    <cellStyle name="Normal 55 5" xfId="36864"/>
    <cellStyle name="Normal 55 5 2" xfId="36865"/>
    <cellStyle name="Normal 55 5 2 2" xfId="36866"/>
    <cellStyle name="Normal 55 5 3" xfId="36867"/>
    <cellStyle name="Normal 55 6" xfId="36868"/>
    <cellStyle name="Normal 55 6 2" xfId="36869"/>
    <cellStyle name="Normal 55 6 2 2" xfId="36870"/>
    <cellStyle name="Normal 55 6 3" xfId="36871"/>
    <cellStyle name="Normal 55 7" xfId="36872"/>
    <cellStyle name="Normal 550" xfId="36873"/>
    <cellStyle name="Normal 550 2" xfId="36874"/>
    <cellStyle name="Normal 550 2 2" xfId="36875"/>
    <cellStyle name="Normal 550 2 2 2" xfId="36876"/>
    <cellStyle name="Normal 550 2 3" xfId="36877"/>
    <cellStyle name="Normal 550 2 3 2" xfId="36878"/>
    <cellStyle name="Normal 550 2 3 2 2" xfId="36879"/>
    <cellStyle name="Normal 550 2 3 3" xfId="36880"/>
    <cellStyle name="Normal 550 2 4" xfId="36881"/>
    <cellStyle name="Normal 550 3" xfId="36882"/>
    <cellStyle name="Normal 550 3 2" xfId="36883"/>
    <cellStyle name="Normal 550 3 2 2" xfId="36884"/>
    <cellStyle name="Normal 550 3 3" xfId="36885"/>
    <cellStyle name="Normal 550 4" xfId="36886"/>
    <cellStyle name="Normal 550 4 2" xfId="36887"/>
    <cellStyle name="Normal 550 4 2 2" xfId="36888"/>
    <cellStyle name="Normal 550 4 3" xfId="36889"/>
    <cellStyle name="Normal 550 5" xfId="36890"/>
    <cellStyle name="Normal 550 5 2" xfId="36891"/>
    <cellStyle name="Normal 550 5 2 2" xfId="36892"/>
    <cellStyle name="Normal 550 5 3" xfId="36893"/>
    <cellStyle name="Normal 550 6" xfId="36894"/>
    <cellStyle name="Normal 551" xfId="36895"/>
    <cellStyle name="Normal 551 2" xfId="36896"/>
    <cellStyle name="Normal 551 2 2" xfId="36897"/>
    <cellStyle name="Normal 551 2 2 2" xfId="36898"/>
    <cellStyle name="Normal 551 2 3" xfId="36899"/>
    <cellStyle name="Normal 551 2 3 2" xfId="36900"/>
    <cellStyle name="Normal 551 2 3 2 2" xfId="36901"/>
    <cellStyle name="Normal 551 2 3 3" xfId="36902"/>
    <cellStyle name="Normal 551 2 4" xfId="36903"/>
    <cellStyle name="Normal 551 3" xfId="36904"/>
    <cellStyle name="Normal 551 3 2" xfId="36905"/>
    <cellStyle name="Normal 551 3 2 2" xfId="36906"/>
    <cellStyle name="Normal 551 3 3" xfId="36907"/>
    <cellStyle name="Normal 551 4" xfId="36908"/>
    <cellStyle name="Normal 551 4 2" xfId="36909"/>
    <cellStyle name="Normal 551 4 2 2" xfId="36910"/>
    <cellStyle name="Normal 551 4 3" xfId="36911"/>
    <cellStyle name="Normal 551 5" xfId="36912"/>
    <cellStyle name="Normal 551 5 2" xfId="36913"/>
    <cellStyle name="Normal 551 5 2 2" xfId="36914"/>
    <cellStyle name="Normal 551 5 3" xfId="36915"/>
    <cellStyle name="Normal 551 6" xfId="36916"/>
    <cellStyle name="Normal 552" xfId="36917"/>
    <cellStyle name="Normal 552 2" xfId="36918"/>
    <cellStyle name="Normal 552 2 2" xfId="36919"/>
    <cellStyle name="Normal 552 2 2 2" xfId="36920"/>
    <cellStyle name="Normal 552 2 3" xfId="36921"/>
    <cellStyle name="Normal 552 2 3 2" xfId="36922"/>
    <cellStyle name="Normal 552 2 3 2 2" xfId="36923"/>
    <cellStyle name="Normal 552 2 3 3" xfId="36924"/>
    <cellStyle name="Normal 552 2 4" xfId="36925"/>
    <cellStyle name="Normal 552 3" xfId="36926"/>
    <cellStyle name="Normal 552 3 2" xfId="36927"/>
    <cellStyle name="Normal 552 3 2 2" xfId="36928"/>
    <cellStyle name="Normal 552 3 3" xfId="36929"/>
    <cellStyle name="Normal 552 4" xfId="36930"/>
    <cellStyle name="Normal 552 4 2" xfId="36931"/>
    <cellStyle name="Normal 552 4 2 2" xfId="36932"/>
    <cellStyle name="Normal 552 4 3" xfId="36933"/>
    <cellStyle name="Normal 552 5" xfId="36934"/>
    <cellStyle name="Normal 552 5 2" xfId="36935"/>
    <cellStyle name="Normal 552 5 2 2" xfId="36936"/>
    <cellStyle name="Normal 552 5 3" xfId="36937"/>
    <cellStyle name="Normal 552 6" xfId="36938"/>
    <cellStyle name="Normal 553" xfId="36939"/>
    <cellStyle name="Normal 553 2" xfId="36940"/>
    <cellStyle name="Normal 553 2 2" xfId="36941"/>
    <cellStyle name="Normal 553 2 2 2" xfId="36942"/>
    <cellStyle name="Normal 553 2 3" xfId="36943"/>
    <cellStyle name="Normal 553 2 3 2" xfId="36944"/>
    <cellStyle name="Normal 553 2 3 2 2" xfId="36945"/>
    <cellStyle name="Normal 553 2 3 3" xfId="36946"/>
    <cellStyle name="Normal 553 2 4" xfId="36947"/>
    <cellStyle name="Normal 553 3" xfId="36948"/>
    <cellStyle name="Normal 553 3 2" xfId="36949"/>
    <cellStyle name="Normal 553 3 2 2" xfId="36950"/>
    <cellStyle name="Normal 553 3 3" xfId="36951"/>
    <cellStyle name="Normal 553 4" xfId="36952"/>
    <cellStyle name="Normal 553 4 2" xfId="36953"/>
    <cellStyle name="Normal 553 4 2 2" xfId="36954"/>
    <cellStyle name="Normal 553 4 3" xfId="36955"/>
    <cellStyle name="Normal 553 5" xfId="36956"/>
    <cellStyle name="Normal 553 5 2" xfId="36957"/>
    <cellStyle name="Normal 553 5 2 2" xfId="36958"/>
    <cellStyle name="Normal 553 5 3" xfId="36959"/>
    <cellStyle name="Normal 553 6" xfId="36960"/>
    <cellStyle name="Normal 554" xfId="36961"/>
    <cellStyle name="Normal 554 2" xfId="36962"/>
    <cellStyle name="Normal 554 2 2" xfId="36963"/>
    <cellStyle name="Normal 554 2 2 2" xfId="36964"/>
    <cellStyle name="Normal 554 2 3" xfId="36965"/>
    <cellStyle name="Normal 554 2 3 2" xfId="36966"/>
    <cellStyle name="Normal 554 2 3 2 2" xfId="36967"/>
    <cellStyle name="Normal 554 2 3 3" xfId="36968"/>
    <cellStyle name="Normal 554 2 4" xfId="36969"/>
    <cellStyle name="Normal 554 3" xfId="36970"/>
    <cellStyle name="Normal 554 3 2" xfId="36971"/>
    <cellStyle name="Normal 554 3 2 2" xfId="36972"/>
    <cellStyle name="Normal 554 3 3" xfId="36973"/>
    <cellStyle name="Normal 554 4" xfId="36974"/>
    <cellStyle name="Normal 554 4 2" xfId="36975"/>
    <cellStyle name="Normal 554 4 2 2" xfId="36976"/>
    <cellStyle name="Normal 554 4 3" xfId="36977"/>
    <cellStyle name="Normal 554 5" xfId="36978"/>
    <cellStyle name="Normal 554 5 2" xfId="36979"/>
    <cellStyle name="Normal 554 5 2 2" xfId="36980"/>
    <cellStyle name="Normal 554 5 3" xfId="36981"/>
    <cellStyle name="Normal 554 6" xfId="36982"/>
    <cellStyle name="Normal 555" xfId="36983"/>
    <cellStyle name="Normal 555 2" xfId="36984"/>
    <cellStyle name="Normal 555 2 2" xfId="36985"/>
    <cellStyle name="Normal 555 2 2 2" xfId="36986"/>
    <cellStyle name="Normal 555 2 3" xfId="36987"/>
    <cellStyle name="Normal 555 2 3 2" xfId="36988"/>
    <cellStyle name="Normal 555 2 3 2 2" xfId="36989"/>
    <cellStyle name="Normal 555 2 3 3" xfId="36990"/>
    <cellStyle name="Normal 555 2 4" xfId="36991"/>
    <cellStyle name="Normal 555 3" xfId="36992"/>
    <cellStyle name="Normal 555 3 2" xfId="36993"/>
    <cellStyle name="Normal 555 3 2 2" xfId="36994"/>
    <cellStyle name="Normal 555 3 3" xfId="36995"/>
    <cellStyle name="Normal 555 4" xfId="36996"/>
    <cellStyle name="Normal 555 4 2" xfId="36997"/>
    <cellStyle name="Normal 555 4 2 2" xfId="36998"/>
    <cellStyle name="Normal 555 4 3" xfId="36999"/>
    <cellStyle name="Normal 555 5" xfId="37000"/>
    <cellStyle name="Normal 555 5 2" xfId="37001"/>
    <cellStyle name="Normal 555 5 2 2" xfId="37002"/>
    <cellStyle name="Normal 555 5 3" xfId="37003"/>
    <cellStyle name="Normal 555 6" xfId="37004"/>
    <cellStyle name="Normal 556" xfId="37005"/>
    <cellStyle name="Normal 556 2" xfId="37006"/>
    <cellStyle name="Normal 556 2 2" xfId="37007"/>
    <cellStyle name="Normal 556 2 2 2" xfId="37008"/>
    <cellStyle name="Normal 556 2 3" xfId="37009"/>
    <cellStyle name="Normal 556 2 3 2" xfId="37010"/>
    <cellStyle name="Normal 556 2 3 2 2" xfId="37011"/>
    <cellStyle name="Normal 556 2 3 3" xfId="37012"/>
    <cellStyle name="Normal 556 2 4" xfId="37013"/>
    <cellStyle name="Normal 556 3" xfId="37014"/>
    <cellStyle name="Normal 556 3 2" xfId="37015"/>
    <cellStyle name="Normal 556 3 2 2" xfId="37016"/>
    <cellStyle name="Normal 556 3 3" xfId="37017"/>
    <cellStyle name="Normal 556 4" xfId="37018"/>
    <cellStyle name="Normal 556 4 2" xfId="37019"/>
    <cellStyle name="Normal 556 4 2 2" xfId="37020"/>
    <cellStyle name="Normal 556 4 3" xfId="37021"/>
    <cellStyle name="Normal 556 5" xfId="37022"/>
    <cellStyle name="Normal 556 5 2" xfId="37023"/>
    <cellStyle name="Normal 556 5 2 2" xfId="37024"/>
    <cellStyle name="Normal 556 5 3" xfId="37025"/>
    <cellStyle name="Normal 556 6" xfId="37026"/>
    <cellStyle name="Normal 557" xfId="37027"/>
    <cellStyle name="Normal 557 2" xfId="37028"/>
    <cellStyle name="Normal 557 2 2" xfId="37029"/>
    <cellStyle name="Normal 557 2 2 2" xfId="37030"/>
    <cellStyle name="Normal 557 2 3" xfId="37031"/>
    <cellStyle name="Normal 557 2 3 2" xfId="37032"/>
    <cellStyle name="Normal 557 2 3 2 2" xfId="37033"/>
    <cellStyle name="Normal 557 2 3 3" xfId="37034"/>
    <cellStyle name="Normal 557 2 4" xfId="37035"/>
    <cellStyle name="Normal 557 3" xfId="37036"/>
    <cellStyle name="Normal 557 3 2" xfId="37037"/>
    <cellStyle name="Normal 557 3 2 2" xfId="37038"/>
    <cellStyle name="Normal 557 3 3" xfId="37039"/>
    <cellStyle name="Normal 557 4" xfId="37040"/>
    <cellStyle name="Normal 557 4 2" xfId="37041"/>
    <cellStyle name="Normal 557 4 2 2" xfId="37042"/>
    <cellStyle name="Normal 557 4 3" xfId="37043"/>
    <cellStyle name="Normal 557 5" xfId="37044"/>
    <cellStyle name="Normal 557 5 2" xfId="37045"/>
    <cellStyle name="Normal 557 5 2 2" xfId="37046"/>
    <cellStyle name="Normal 557 5 3" xfId="37047"/>
    <cellStyle name="Normal 557 6" xfId="37048"/>
    <cellStyle name="Normal 558" xfId="37049"/>
    <cellStyle name="Normal 558 2" xfId="37050"/>
    <cellStyle name="Normal 558 2 2" xfId="37051"/>
    <cellStyle name="Normal 558 2 2 2" xfId="37052"/>
    <cellStyle name="Normal 558 2 3" xfId="37053"/>
    <cellStyle name="Normal 558 2 3 2" xfId="37054"/>
    <cellStyle name="Normal 558 2 3 2 2" xfId="37055"/>
    <cellStyle name="Normal 558 2 3 3" xfId="37056"/>
    <cellStyle name="Normal 558 2 4" xfId="37057"/>
    <cellStyle name="Normal 558 3" xfId="37058"/>
    <cellStyle name="Normal 558 3 2" xfId="37059"/>
    <cellStyle name="Normal 558 3 2 2" xfId="37060"/>
    <cellStyle name="Normal 558 3 3" xfId="37061"/>
    <cellStyle name="Normal 558 4" xfId="37062"/>
    <cellStyle name="Normal 558 4 2" xfId="37063"/>
    <cellStyle name="Normal 558 4 2 2" xfId="37064"/>
    <cellStyle name="Normal 558 4 3" xfId="37065"/>
    <cellStyle name="Normal 558 5" xfId="37066"/>
    <cellStyle name="Normal 558 5 2" xfId="37067"/>
    <cellStyle name="Normal 558 5 2 2" xfId="37068"/>
    <cellStyle name="Normal 558 5 3" xfId="37069"/>
    <cellStyle name="Normal 558 6" xfId="37070"/>
    <cellStyle name="Normal 559" xfId="37071"/>
    <cellStyle name="Normal 559 2" xfId="37072"/>
    <cellStyle name="Normal 559 2 2" xfId="37073"/>
    <cellStyle name="Normal 559 2 2 2" xfId="37074"/>
    <cellStyle name="Normal 559 2 3" xfId="37075"/>
    <cellStyle name="Normal 559 2 3 2" xfId="37076"/>
    <cellStyle name="Normal 559 2 3 2 2" xfId="37077"/>
    <cellStyle name="Normal 559 2 3 3" xfId="37078"/>
    <cellStyle name="Normal 559 2 4" xfId="37079"/>
    <cellStyle name="Normal 559 3" xfId="37080"/>
    <cellStyle name="Normal 559 3 2" xfId="37081"/>
    <cellStyle name="Normal 559 3 2 2" xfId="37082"/>
    <cellStyle name="Normal 559 3 3" xfId="37083"/>
    <cellStyle name="Normal 559 4" xfId="37084"/>
    <cellStyle name="Normal 559 4 2" xfId="37085"/>
    <cellStyle name="Normal 559 4 2 2" xfId="37086"/>
    <cellStyle name="Normal 559 4 3" xfId="37087"/>
    <cellStyle name="Normal 559 5" xfId="37088"/>
    <cellStyle name="Normal 559 5 2" xfId="37089"/>
    <cellStyle name="Normal 559 5 2 2" xfId="37090"/>
    <cellStyle name="Normal 559 5 3" xfId="37091"/>
    <cellStyle name="Normal 559 6" xfId="37092"/>
    <cellStyle name="Normal 56" xfId="37093"/>
    <cellStyle name="Normal 56 2" xfId="37094"/>
    <cellStyle name="Normal 56 2 2" xfId="37095"/>
    <cellStyle name="Normal 56 2 2 2" xfId="37096"/>
    <cellStyle name="Normal 56 2 3" xfId="37097"/>
    <cellStyle name="Normal 56 2 3 2" xfId="37098"/>
    <cellStyle name="Normal 56 2 3 2 2" xfId="37099"/>
    <cellStyle name="Normal 56 2 3 3" xfId="37100"/>
    <cellStyle name="Normal 56 2 4" xfId="37101"/>
    <cellStyle name="Normal 56 2 4 2" xfId="37102"/>
    <cellStyle name="Normal 56 2 4 2 2" xfId="37103"/>
    <cellStyle name="Normal 56 2 4 3" xfId="37104"/>
    <cellStyle name="Normal 56 2 5" xfId="37105"/>
    <cellStyle name="Normal 56 3" xfId="37106"/>
    <cellStyle name="Normal 56 3 2" xfId="37107"/>
    <cellStyle name="Normal 56 3 2 2" xfId="37108"/>
    <cellStyle name="Normal 56 3 2 2 2" xfId="37109"/>
    <cellStyle name="Normal 56 3 2 3" xfId="37110"/>
    <cellStyle name="Normal 56 3 2 3 2" xfId="37111"/>
    <cellStyle name="Normal 56 3 2 3 2 2" xfId="37112"/>
    <cellStyle name="Normal 56 3 2 3 3" xfId="37113"/>
    <cellStyle name="Normal 56 3 2 4" xfId="37114"/>
    <cellStyle name="Normal 56 3 3" xfId="37115"/>
    <cellStyle name="Normal 56 3 3 2" xfId="37116"/>
    <cellStyle name="Normal 56 3 3 2 2" xfId="37117"/>
    <cellStyle name="Normal 56 3 3 3" xfId="37118"/>
    <cellStyle name="Normal 56 3 4" xfId="37119"/>
    <cellStyle name="Normal 56 3 4 2" xfId="37120"/>
    <cellStyle name="Normal 56 3 4 2 2" xfId="37121"/>
    <cellStyle name="Normal 56 3 4 3" xfId="37122"/>
    <cellStyle name="Normal 56 3 5" xfId="37123"/>
    <cellStyle name="Normal 56 3 5 2" xfId="37124"/>
    <cellStyle name="Normal 56 3 5 2 2" xfId="37125"/>
    <cellStyle name="Normal 56 3 5 3" xfId="37126"/>
    <cellStyle name="Normal 56 3 6" xfId="37127"/>
    <cellStyle name="Normal 56 4" xfId="37128"/>
    <cellStyle name="Normal 56 4 2" xfId="37129"/>
    <cellStyle name="Normal 56 4 2 2" xfId="37130"/>
    <cellStyle name="Normal 56 4 3" xfId="37131"/>
    <cellStyle name="Normal 56 5" xfId="37132"/>
    <cellStyle name="Normal 56 5 2" xfId="37133"/>
    <cellStyle name="Normal 56 5 2 2" xfId="37134"/>
    <cellStyle name="Normal 56 5 3" xfId="37135"/>
    <cellStyle name="Normal 56 6" xfId="37136"/>
    <cellStyle name="Normal 56 6 2" xfId="37137"/>
    <cellStyle name="Normal 56 6 2 2" xfId="37138"/>
    <cellStyle name="Normal 56 6 3" xfId="37139"/>
    <cellStyle name="Normal 56 7" xfId="37140"/>
    <cellStyle name="Normal 560" xfId="37141"/>
    <cellStyle name="Normal 560 2" xfId="37142"/>
    <cellStyle name="Normal 560 2 2" xfId="37143"/>
    <cellStyle name="Normal 560 2 2 2" xfId="37144"/>
    <cellStyle name="Normal 560 2 3" xfId="37145"/>
    <cellStyle name="Normal 560 2 3 2" xfId="37146"/>
    <cellStyle name="Normal 560 2 3 2 2" xfId="37147"/>
    <cellStyle name="Normal 560 2 3 3" xfId="37148"/>
    <cellStyle name="Normal 560 2 4" xfId="37149"/>
    <cellStyle name="Normal 560 3" xfId="37150"/>
    <cellStyle name="Normal 560 3 2" xfId="37151"/>
    <cellStyle name="Normal 560 3 2 2" xfId="37152"/>
    <cellStyle name="Normal 560 3 3" xfId="37153"/>
    <cellStyle name="Normal 560 4" xfId="37154"/>
    <cellStyle name="Normal 560 4 2" xfId="37155"/>
    <cellStyle name="Normal 560 4 2 2" xfId="37156"/>
    <cellStyle name="Normal 560 4 3" xfId="37157"/>
    <cellStyle name="Normal 560 5" xfId="37158"/>
    <cellStyle name="Normal 560 5 2" xfId="37159"/>
    <cellStyle name="Normal 560 5 2 2" xfId="37160"/>
    <cellStyle name="Normal 560 5 3" xfId="37161"/>
    <cellStyle name="Normal 560 6" xfId="37162"/>
    <cellStyle name="Normal 561" xfId="37163"/>
    <cellStyle name="Normal 561 2" xfId="37164"/>
    <cellStyle name="Normal 561 2 2" xfId="37165"/>
    <cellStyle name="Normal 561 2 2 2" xfId="37166"/>
    <cellStyle name="Normal 561 2 3" xfId="37167"/>
    <cellStyle name="Normal 561 2 3 2" xfId="37168"/>
    <cellStyle name="Normal 561 2 3 2 2" xfId="37169"/>
    <cellStyle name="Normal 561 2 3 3" xfId="37170"/>
    <cellStyle name="Normal 561 2 4" xfId="37171"/>
    <cellStyle name="Normal 561 3" xfId="37172"/>
    <cellStyle name="Normal 561 3 2" xfId="37173"/>
    <cellStyle name="Normal 561 3 2 2" xfId="37174"/>
    <cellStyle name="Normal 561 3 3" xfId="37175"/>
    <cellStyle name="Normal 561 4" xfId="37176"/>
    <cellStyle name="Normal 561 4 2" xfId="37177"/>
    <cellStyle name="Normal 561 4 2 2" xfId="37178"/>
    <cellStyle name="Normal 561 4 3" xfId="37179"/>
    <cellStyle name="Normal 561 5" xfId="37180"/>
    <cellStyle name="Normal 561 5 2" xfId="37181"/>
    <cellStyle name="Normal 561 5 2 2" xfId="37182"/>
    <cellStyle name="Normal 561 5 3" xfId="37183"/>
    <cellStyle name="Normal 561 6" xfId="37184"/>
    <cellStyle name="Normal 562" xfId="37185"/>
    <cellStyle name="Normal 562 2" xfId="37186"/>
    <cellStyle name="Normal 562 2 2" xfId="37187"/>
    <cellStyle name="Normal 562 2 2 2" xfId="37188"/>
    <cellStyle name="Normal 562 2 3" xfId="37189"/>
    <cellStyle name="Normal 562 2 3 2" xfId="37190"/>
    <cellStyle name="Normal 562 2 3 2 2" xfId="37191"/>
    <cellStyle name="Normal 562 2 3 3" xfId="37192"/>
    <cellStyle name="Normal 562 2 4" xfId="37193"/>
    <cellStyle name="Normal 562 3" xfId="37194"/>
    <cellStyle name="Normal 562 3 2" xfId="37195"/>
    <cellStyle name="Normal 562 3 2 2" xfId="37196"/>
    <cellStyle name="Normal 562 3 3" xfId="37197"/>
    <cellStyle name="Normal 562 4" xfId="37198"/>
    <cellStyle name="Normal 562 4 2" xfId="37199"/>
    <cellStyle name="Normal 562 4 2 2" xfId="37200"/>
    <cellStyle name="Normal 562 4 3" xfId="37201"/>
    <cellStyle name="Normal 562 5" xfId="37202"/>
    <cellStyle name="Normal 562 5 2" xfId="37203"/>
    <cellStyle name="Normal 562 5 2 2" xfId="37204"/>
    <cellStyle name="Normal 562 5 3" xfId="37205"/>
    <cellStyle name="Normal 562 6" xfId="37206"/>
    <cellStyle name="Normal 563" xfId="37207"/>
    <cellStyle name="Normal 563 2" xfId="37208"/>
    <cellStyle name="Normal 563 2 2" xfId="37209"/>
    <cellStyle name="Normal 563 2 2 2" xfId="37210"/>
    <cellStyle name="Normal 563 2 3" xfId="37211"/>
    <cellStyle name="Normal 563 2 3 2" xfId="37212"/>
    <cellStyle name="Normal 563 2 3 2 2" xfId="37213"/>
    <cellStyle name="Normal 563 2 3 3" xfId="37214"/>
    <cellStyle name="Normal 563 2 4" xfId="37215"/>
    <cellStyle name="Normal 563 3" xfId="37216"/>
    <cellStyle name="Normal 563 3 2" xfId="37217"/>
    <cellStyle name="Normal 563 3 2 2" xfId="37218"/>
    <cellStyle name="Normal 563 3 3" xfId="37219"/>
    <cellStyle name="Normal 563 4" xfId="37220"/>
    <cellStyle name="Normal 563 4 2" xfId="37221"/>
    <cellStyle name="Normal 563 4 2 2" xfId="37222"/>
    <cellStyle name="Normal 563 4 3" xfId="37223"/>
    <cellStyle name="Normal 563 5" xfId="37224"/>
    <cellStyle name="Normal 563 5 2" xfId="37225"/>
    <cellStyle name="Normal 563 5 2 2" xfId="37226"/>
    <cellStyle name="Normal 563 5 3" xfId="37227"/>
    <cellStyle name="Normal 563 6" xfId="37228"/>
    <cellStyle name="Normal 564" xfId="37229"/>
    <cellStyle name="Normal 564 2" xfId="37230"/>
    <cellStyle name="Normal 564 2 2" xfId="37231"/>
    <cellStyle name="Normal 564 2 2 2" xfId="37232"/>
    <cellStyle name="Normal 564 2 3" xfId="37233"/>
    <cellStyle name="Normal 564 2 3 2" xfId="37234"/>
    <cellStyle name="Normal 564 2 3 2 2" xfId="37235"/>
    <cellStyle name="Normal 564 2 3 3" xfId="37236"/>
    <cellStyle name="Normal 564 2 4" xfId="37237"/>
    <cellStyle name="Normal 564 3" xfId="37238"/>
    <cellStyle name="Normal 564 3 2" xfId="37239"/>
    <cellStyle name="Normal 564 3 2 2" xfId="37240"/>
    <cellStyle name="Normal 564 3 3" xfId="37241"/>
    <cellStyle name="Normal 564 4" xfId="37242"/>
    <cellStyle name="Normal 564 4 2" xfId="37243"/>
    <cellStyle name="Normal 564 4 2 2" xfId="37244"/>
    <cellStyle name="Normal 564 4 3" xfId="37245"/>
    <cellStyle name="Normal 564 5" xfId="37246"/>
    <cellStyle name="Normal 564 5 2" xfId="37247"/>
    <cellStyle name="Normal 564 5 2 2" xfId="37248"/>
    <cellStyle name="Normal 564 5 3" xfId="37249"/>
    <cellStyle name="Normal 564 6" xfId="37250"/>
    <cellStyle name="Normal 565" xfId="37251"/>
    <cellStyle name="Normal 565 2" xfId="37252"/>
    <cellStyle name="Normal 565 2 2" xfId="37253"/>
    <cellStyle name="Normal 565 2 2 2" xfId="37254"/>
    <cellStyle name="Normal 565 2 2 2 2" xfId="37255"/>
    <cellStyle name="Normal 565 2 2 3" xfId="37256"/>
    <cellStyle name="Normal 565 2 2 3 2" xfId="37257"/>
    <cellStyle name="Normal 565 2 2 3 2 2" xfId="37258"/>
    <cellStyle name="Normal 565 2 2 3 3" xfId="37259"/>
    <cellStyle name="Normal 565 2 2 4" xfId="37260"/>
    <cellStyle name="Normal 565 2 3" xfId="37261"/>
    <cellStyle name="Normal 565 2 3 2" xfId="37262"/>
    <cellStyle name="Normal 565 2 3 2 2" xfId="37263"/>
    <cellStyle name="Normal 565 2 3 3" xfId="37264"/>
    <cellStyle name="Normal 565 2 4" xfId="37265"/>
    <cellStyle name="Normal 565 2 4 2" xfId="37266"/>
    <cellStyle name="Normal 565 2 4 2 2" xfId="37267"/>
    <cellStyle name="Normal 565 2 4 3" xfId="37268"/>
    <cellStyle name="Normal 565 2 5" xfId="37269"/>
    <cellStyle name="Normal 565 2 5 2" xfId="37270"/>
    <cellStyle name="Normal 565 2 5 2 2" xfId="37271"/>
    <cellStyle name="Normal 565 2 5 3" xfId="37272"/>
    <cellStyle name="Normal 565 2 6" xfId="37273"/>
    <cellStyle name="Normal 565 3" xfId="37274"/>
    <cellStyle name="Normal 565 3 2" xfId="37275"/>
    <cellStyle name="Normal 565 3 2 2" xfId="37276"/>
    <cellStyle name="Normal 565 3 3" xfId="37277"/>
    <cellStyle name="Normal 565 3 3 2" xfId="37278"/>
    <cellStyle name="Normal 565 3 3 2 2" xfId="37279"/>
    <cellStyle name="Normal 565 3 3 3" xfId="37280"/>
    <cellStyle name="Normal 565 3 4" xfId="37281"/>
    <cellStyle name="Normal 565 3 4 2" xfId="37282"/>
    <cellStyle name="Normal 565 3 4 2 2" xfId="37283"/>
    <cellStyle name="Normal 565 3 4 3" xfId="37284"/>
    <cellStyle name="Normal 565 3 5" xfId="37285"/>
    <cellStyle name="Normal 565 4" xfId="37286"/>
    <cellStyle name="Normal 565 4 2" xfId="37287"/>
    <cellStyle name="Normal 565 4 2 2" xfId="37288"/>
    <cellStyle name="Normal 565 4 3" xfId="37289"/>
    <cellStyle name="Normal 565 4 3 2" xfId="37290"/>
    <cellStyle name="Normal 565 4 3 2 2" xfId="37291"/>
    <cellStyle name="Normal 565 4 3 3" xfId="37292"/>
    <cellStyle name="Normal 565 4 4" xfId="37293"/>
    <cellStyle name="Normal 565 4 4 2" xfId="37294"/>
    <cellStyle name="Normal 565 4 4 2 2" xfId="37295"/>
    <cellStyle name="Normal 565 4 4 3" xfId="37296"/>
    <cellStyle name="Normal 565 4 5" xfId="37297"/>
    <cellStyle name="Normal 565 5" xfId="37298"/>
    <cellStyle name="Normal 565 5 2" xfId="37299"/>
    <cellStyle name="Normal 565 6" xfId="37300"/>
    <cellStyle name="Normal 565 6 2" xfId="37301"/>
    <cellStyle name="Normal 565 6 2 2" xfId="37302"/>
    <cellStyle name="Normal 565 6 3" xfId="37303"/>
    <cellStyle name="Normal 565 7" xfId="37304"/>
    <cellStyle name="Normal 565 7 2" xfId="37305"/>
    <cellStyle name="Normal 565 7 2 2" xfId="37306"/>
    <cellStyle name="Normal 565 7 3" xfId="37307"/>
    <cellStyle name="Normal 565 8" xfId="37308"/>
    <cellStyle name="Normal 566" xfId="37309"/>
    <cellStyle name="Normal 566 2" xfId="37310"/>
    <cellStyle name="Normal 566 2 2" xfId="37311"/>
    <cellStyle name="Normal 566 3" xfId="37312"/>
    <cellStyle name="Normal 566 3 2" xfId="37313"/>
    <cellStyle name="Normal 566 3 2 2" xfId="37314"/>
    <cellStyle name="Normal 566 3 3" xfId="37315"/>
    <cellStyle name="Normal 566 4" xfId="37316"/>
    <cellStyle name="Normal 566 4 2" xfId="37317"/>
    <cellStyle name="Normal 566 4 2 2" xfId="37318"/>
    <cellStyle name="Normal 566 4 3" xfId="37319"/>
    <cellStyle name="Normal 566 5" xfId="37320"/>
    <cellStyle name="Normal 567" xfId="37321"/>
    <cellStyle name="Normal 567 2" xfId="37322"/>
    <cellStyle name="Normal 567 2 2" xfId="37323"/>
    <cellStyle name="Normal 567 2 2 2" xfId="37324"/>
    <cellStyle name="Normal 567 2 3" xfId="37325"/>
    <cellStyle name="Normal 567 2 3 2" xfId="37326"/>
    <cellStyle name="Normal 567 2 3 2 2" xfId="37327"/>
    <cellStyle name="Normal 567 2 3 3" xfId="37328"/>
    <cellStyle name="Normal 567 2 4" xfId="37329"/>
    <cellStyle name="Normal 567 3" xfId="37330"/>
    <cellStyle name="Normal 567 3 2" xfId="37331"/>
    <cellStyle name="Normal 567 3 2 2" xfId="37332"/>
    <cellStyle name="Normal 567 3 3" xfId="37333"/>
    <cellStyle name="Normal 567 4" xfId="37334"/>
    <cellStyle name="Normal 567 4 2" xfId="37335"/>
    <cellStyle name="Normal 567 4 2 2" xfId="37336"/>
    <cellStyle name="Normal 567 4 3" xfId="37337"/>
    <cellStyle name="Normal 567 5" xfId="37338"/>
    <cellStyle name="Normal 567 5 2" xfId="37339"/>
    <cellStyle name="Normal 567 5 2 2" xfId="37340"/>
    <cellStyle name="Normal 567 5 3" xfId="37341"/>
    <cellStyle name="Normal 567 6" xfId="37342"/>
    <cellStyle name="Normal 568" xfId="37343"/>
    <cellStyle name="Normal 568 2" xfId="37344"/>
    <cellStyle name="Normal 568 2 2" xfId="37345"/>
    <cellStyle name="Normal 568 2 2 2" xfId="37346"/>
    <cellStyle name="Normal 568 2 3" xfId="37347"/>
    <cellStyle name="Normal 568 2 3 2" xfId="37348"/>
    <cellStyle name="Normal 568 2 3 2 2" xfId="37349"/>
    <cellStyle name="Normal 568 2 3 3" xfId="37350"/>
    <cellStyle name="Normal 568 2 4" xfId="37351"/>
    <cellStyle name="Normal 568 3" xfId="37352"/>
    <cellStyle name="Normal 568 3 2" xfId="37353"/>
    <cellStyle name="Normal 568 3 2 2" xfId="37354"/>
    <cellStyle name="Normal 568 3 3" xfId="37355"/>
    <cellStyle name="Normal 568 4" xfId="37356"/>
    <cellStyle name="Normal 568 4 2" xfId="37357"/>
    <cellStyle name="Normal 568 4 2 2" xfId="37358"/>
    <cellStyle name="Normal 568 4 3" xfId="37359"/>
    <cellStyle name="Normal 568 5" xfId="37360"/>
    <cellStyle name="Normal 568 5 2" xfId="37361"/>
    <cellStyle name="Normal 568 5 2 2" xfId="37362"/>
    <cellStyle name="Normal 568 5 3" xfId="37363"/>
    <cellStyle name="Normal 568 6" xfId="37364"/>
    <cellStyle name="Normal 569" xfId="37365"/>
    <cellStyle name="Normal 569 2" xfId="37366"/>
    <cellStyle name="Normal 569 2 2" xfId="37367"/>
    <cellStyle name="Normal 569 2 2 2" xfId="37368"/>
    <cellStyle name="Normal 569 2 3" xfId="37369"/>
    <cellStyle name="Normal 569 2 3 2" xfId="37370"/>
    <cellStyle name="Normal 569 2 3 2 2" xfId="37371"/>
    <cellStyle name="Normal 569 2 3 3" xfId="37372"/>
    <cellStyle name="Normal 569 2 4" xfId="37373"/>
    <cellStyle name="Normal 569 3" xfId="37374"/>
    <cellStyle name="Normal 569 3 2" xfId="37375"/>
    <cellStyle name="Normal 569 3 2 2" xfId="37376"/>
    <cellStyle name="Normal 569 3 3" xfId="37377"/>
    <cellStyle name="Normal 569 4" xfId="37378"/>
    <cellStyle name="Normal 569 4 2" xfId="37379"/>
    <cellStyle name="Normal 569 4 2 2" xfId="37380"/>
    <cellStyle name="Normal 569 4 3" xfId="37381"/>
    <cellStyle name="Normal 569 5" xfId="37382"/>
    <cellStyle name="Normal 57" xfId="37383"/>
    <cellStyle name="Normal 57 2" xfId="37384"/>
    <cellStyle name="Normal 57 2 2" xfId="37385"/>
    <cellStyle name="Normal 57 2 2 2" xfId="37386"/>
    <cellStyle name="Normal 57 2 3" xfId="37387"/>
    <cellStyle name="Normal 57 2 3 2" xfId="37388"/>
    <cellStyle name="Normal 57 2 3 2 2" xfId="37389"/>
    <cellStyle name="Normal 57 2 3 3" xfId="37390"/>
    <cellStyle name="Normal 57 2 4" xfId="37391"/>
    <cellStyle name="Normal 57 2 4 2" xfId="37392"/>
    <cellStyle name="Normal 57 2 4 2 2" xfId="37393"/>
    <cellStyle name="Normal 57 2 4 3" xfId="37394"/>
    <cellStyle name="Normal 57 2 5" xfId="37395"/>
    <cellStyle name="Normal 57 3" xfId="37396"/>
    <cellStyle name="Normal 57 3 2" xfId="37397"/>
    <cellStyle name="Normal 57 3 2 2" xfId="37398"/>
    <cellStyle name="Normal 57 3 2 2 2" xfId="37399"/>
    <cellStyle name="Normal 57 3 2 3" xfId="37400"/>
    <cellStyle name="Normal 57 3 2 3 2" xfId="37401"/>
    <cellStyle name="Normal 57 3 2 3 2 2" xfId="37402"/>
    <cellStyle name="Normal 57 3 2 3 3" xfId="37403"/>
    <cellStyle name="Normal 57 3 2 4" xfId="37404"/>
    <cellStyle name="Normal 57 3 3" xfId="37405"/>
    <cellStyle name="Normal 57 3 3 2" xfId="37406"/>
    <cellStyle name="Normal 57 3 3 2 2" xfId="37407"/>
    <cellStyle name="Normal 57 3 3 3" xfId="37408"/>
    <cellStyle name="Normal 57 3 4" xfId="37409"/>
    <cellStyle name="Normal 57 3 4 2" xfId="37410"/>
    <cellStyle name="Normal 57 3 4 2 2" xfId="37411"/>
    <cellStyle name="Normal 57 3 4 3" xfId="37412"/>
    <cellStyle name="Normal 57 3 5" xfId="37413"/>
    <cellStyle name="Normal 57 3 5 2" xfId="37414"/>
    <cellStyle name="Normal 57 3 5 2 2" xfId="37415"/>
    <cellStyle name="Normal 57 3 5 3" xfId="37416"/>
    <cellStyle name="Normal 57 3 6" xfId="37417"/>
    <cellStyle name="Normal 57 4" xfId="37418"/>
    <cellStyle name="Normal 57 4 2" xfId="37419"/>
    <cellStyle name="Normal 57 4 2 2" xfId="37420"/>
    <cellStyle name="Normal 57 4 3" xfId="37421"/>
    <cellStyle name="Normal 57 5" xfId="37422"/>
    <cellStyle name="Normal 57 5 2" xfId="37423"/>
    <cellStyle name="Normal 57 5 2 2" xfId="37424"/>
    <cellStyle name="Normal 57 5 3" xfId="37425"/>
    <cellStyle name="Normal 57 6" xfId="37426"/>
    <cellStyle name="Normal 57 6 2" xfId="37427"/>
    <cellStyle name="Normal 57 6 2 2" xfId="37428"/>
    <cellStyle name="Normal 57 6 3" xfId="37429"/>
    <cellStyle name="Normal 57 7" xfId="37430"/>
    <cellStyle name="Normal 570" xfId="37431"/>
    <cellStyle name="Normal 570 2" xfId="37432"/>
    <cellStyle name="Normal 570 2 2" xfId="37433"/>
    <cellStyle name="Normal 570 2 2 2" xfId="37434"/>
    <cellStyle name="Normal 570 2 3" xfId="37435"/>
    <cellStyle name="Normal 570 2 3 2" xfId="37436"/>
    <cellStyle name="Normal 570 2 3 2 2" xfId="37437"/>
    <cellStyle name="Normal 570 2 3 3" xfId="37438"/>
    <cellStyle name="Normal 570 2 4" xfId="37439"/>
    <cellStyle name="Normal 570 3" xfId="37440"/>
    <cellStyle name="Normal 570 3 2" xfId="37441"/>
    <cellStyle name="Normal 570 3 2 2" xfId="37442"/>
    <cellStyle name="Normal 570 3 3" xfId="37443"/>
    <cellStyle name="Normal 570 4" xfId="37444"/>
    <cellStyle name="Normal 570 4 2" xfId="37445"/>
    <cellStyle name="Normal 570 4 2 2" xfId="37446"/>
    <cellStyle name="Normal 570 4 3" xfId="37447"/>
    <cellStyle name="Normal 570 5" xfId="37448"/>
    <cellStyle name="Normal 571" xfId="37449"/>
    <cellStyle name="Normal 571 2" xfId="37450"/>
    <cellStyle name="Normal 571 2 2" xfId="37451"/>
    <cellStyle name="Normal 571 2 2 2" xfId="37452"/>
    <cellStyle name="Normal 571 2 3" xfId="37453"/>
    <cellStyle name="Normal 571 2 3 2" xfId="37454"/>
    <cellStyle name="Normal 571 2 3 2 2" xfId="37455"/>
    <cellStyle name="Normal 571 2 3 3" xfId="37456"/>
    <cellStyle name="Normal 571 2 4" xfId="37457"/>
    <cellStyle name="Normal 571 3" xfId="37458"/>
    <cellStyle name="Normal 571 3 2" xfId="37459"/>
    <cellStyle name="Normal 571 3 2 2" xfId="37460"/>
    <cellStyle name="Normal 571 3 3" xfId="37461"/>
    <cellStyle name="Normal 571 4" xfId="37462"/>
    <cellStyle name="Normal 571 4 2" xfId="37463"/>
    <cellStyle name="Normal 571 4 2 2" xfId="37464"/>
    <cellStyle name="Normal 571 4 3" xfId="37465"/>
    <cellStyle name="Normal 571 5" xfId="37466"/>
    <cellStyle name="Normal 572" xfId="37467"/>
    <cellStyle name="Normal 572 2" xfId="37468"/>
    <cellStyle name="Normal 572 2 2" xfId="37469"/>
    <cellStyle name="Normal 572 2 2 2" xfId="37470"/>
    <cellStyle name="Normal 572 2 3" xfId="37471"/>
    <cellStyle name="Normal 572 2 3 2" xfId="37472"/>
    <cellStyle name="Normal 572 2 3 2 2" xfId="37473"/>
    <cellStyle name="Normal 572 2 3 3" xfId="37474"/>
    <cellStyle name="Normal 572 2 4" xfId="37475"/>
    <cellStyle name="Normal 572 3" xfId="37476"/>
    <cellStyle name="Normal 572 3 2" xfId="37477"/>
    <cellStyle name="Normal 572 3 2 2" xfId="37478"/>
    <cellStyle name="Normal 572 3 3" xfId="37479"/>
    <cellStyle name="Normal 572 4" xfId="37480"/>
    <cellStyle name="Normal 572 4 2" xfId="37481"/>
    <cellStyle name="Normal 572 4 2 2" xfId="37482"/>
    <cellStyle name="Normal 572 4 3" xfId="37483"/>
    <cellStyle name="Normal 572 5" xfId="37484"/>
    <cellStyle name="Normal 573" xfId="37485"/>
    <cellStyle name="Normal 573 2" xfId="37486"/>
    <cellStyle name="Normal 573 2 2" xfId="37487"/>
    <cellStyle name="Normal 573 2 2 2" xfId="37488"/>
    <cellStyle name="Normal 573 2 3" xfId="37489"/>
    <cellStyle name="Normal 573 2 3 2" xfId="37490"/>
    <cellStyle name="Normal 573 2 3 2 2" xfId="37491"/>
    <cellStyle name="Normal 573 2 3 3" xfId="37492"/>
    <cellStyle name="Normal 573 2 4" xfId="37493"/>
    <cellStyle name="Normal 573 3" xfId="37494"/>
    <cellStyle name="Normal 573 3 2" xfId="37495"/>
    <cellStyle name="Normal 573 3 2 2" xfId="37496"/>
    <cellStyle name="Normal 573 3 3" xfId="37497"/>
    <cellStyle name="Normal 573 4" xfId="37498"/>
    <cellStyle name="Normal 573 4 2" xfId="37499"/>
    <cellStyle name="Normal 573 4 2 2" xfId="37500"/>
    <cellStyle name="Normal 573 4 3" xfId="37501"/>
    <cellStyle name="Normal 573 5" xfId="37502"/>
    <cellStyle name="Normal 574" xfId="37503"/>
    <cellStyle name="Normal 574 2" xfId="37504"/>
    <cellStyle name="Normal 574 2 2" xfId="37505"/>
    <cellStyle name="Normal 574 3" xfId="37506"/>
    <cellStyle name="Normal 574 3 2" xfId="37507"/>
    <cellStyle name="Normal 574 3 2 2" xfId="37508"/>
    <cellStyle name="Normal 574 3 3" xfId="37509"/>
    <cellStyle name="Normal 574 4" xfId="37510"/>
    <cellStyle name="Normal 575" xfId="37511"/>
    <cellStyle name="Normal 575 2" xfId="37512"/>
    <cellStyle name="Normal 575 2 2" xfId="37513"/>
    <cellStyle name="Normal 575 3" xfId="37514"/>
    <cellStyle name="Normal 575 3 2" xfId="37515"/>
    <cellStyle name="Normal 575 3 2 2" xfId="37516"/>
    <cellStyle name="Normal 575 3 3" xfId="37517"/>
    <cellStyle name="Normal 575 4" xfId="37518"/>
    <cellStyle name="Normal 576" xfId="37519"/>
    <cellStyle name="Normal 576 2" xfId="37520"/>
    <cellStyle name="Normal 576 2 2" xfId="37521"/>
    <cellStyle name="Normal 576 2 2 2" xfId="37522"/>
    <cellStyle name="Normal 576 2 3" xfId="37523"/>
    <cellStyle name="Normal 576 2 3 2" xfId="37524"/>
    <cellStyle name="Normal 576 2 3 2 2" xfId="37525"/>
    <cellStyle name="Normal 576 2 3 3" xfId="37526"/>
    <cellStyle name="Normal 576 2 4" xfId="37527"/>
    <cellStyle name="Normal 576 3" xfId="37528"/>
    <cellStyle name="Normal 576 3 2" xfId="37529"/>
    <cellStyle name="Normal 576 3 2 2" xfId="37530"/>
    <cellStyle name="Normal 576 3 3" xfId="37531"/>
    <cellStyle name="Normal 576 4" xfId="37532"/>
    <cellStyle name="Normal 576 4 2" xfId="37533"/>
    <cellStyle name="Normal 576 4 2 2" xfId="37534"/>
    <cellStyle name="Normal 576 4 3" xfId="37535"/>
    <cellStyle name="Normal 576 5" xfId="37536"/>
    <cellStyle name="Normal 577" xfId="37537"/>
    <cellStyle name="Normal 577 2" xfId="37538"/>
    <cellStyle name="Normal 577 2 2" xfId="37539"/>
    <cellStyle name="Normal 577 2 2 2" xfId="37540"/>
    <cellStyle name="Normal 577 2 3" xfId="37541"/>
    <cellStyle name="Normal 577 2 3 2" xfId="37542"/>
    <cellStyle name="Normal 577 2 3 2 2" xfId="37543"/>
    <cellStyle name="Normal 577 2 3 3" xfId="37544"/>
    <cellStyle name="Normal 577 2 4" xfId="37545"/>
    <cellStyle name="Normal 577 3" xfId="37546"/>
    <cellStyle name="Normal 577 3 2" xfId="37547"/>
    <cellStyle name="Normal 577 3 2 2" xfId="37548"/>
    <cellStyle name="Normal 577 3 3" xfId="37549"/>
    <cellStyle name="Normal 577 4" xfId="37550"/>
    <cellStyle name="Normal 577 4 2" xfId="37551"/>
    <cellStyle name="Normal 577 4 2 2" xfId="37552"/>
    <cellStyle name="Normal 577 4 3" xfId="37553"/>
    <cellStyle name="Normal 577 5" xfId="37554"/>
    <cellStyle name="Normal 578" xfId="37555"/>
    <cellStyle name="Normal 578 2" xfId="37556"/>
    <cellStyle name="Normal 578 2 2" xfId="37557"/>
    <cellStyle name="Normal 578 2 2 2" xfId="37558"/>
    <cellStyle name="Normal 578 2 3" xfId="37559"/>
    <cellStyle name="Normal 578 2 3 2" xfId="37560"/>
    <cellStyle name="Normal 578 2 3 2 2" xfId="37561"/>
    <cellStyle name="Normal 578 2 3 3" xfId="37562"/>
    <cellStyle name="Normal 578 2 4" xfId="37563"/>
    <cellStyle name="Normal 578 3" xfId="37564"/>
    <cellStyle name="Normal 578 3 2" xfId="37565"/>
    <cellStyle name="Normal 578 3 2 2" xfId="37566"/>
    <cellStyle name="Normal 578 3 3" xfId="37567"/>
    <cellStyle name="Normal 578 4" xfId="37568"/>
    <cellStyle name="Normal 578 4 2" xfId="37569"/>
    <cellStyle name="Normal 578 4 2 2" xfId="37570"/>
    <cellStyle name="Normal 578 4 3" xfId="37571"/>
    <cellStyle name="Normal 578 5" xfId="37572"/>
    <cellStyle name="Normal 579" xfId="37573"/>
    <cellStyle name="Normal 579 2" xfId="37574"/>
    <cellStyle name="Normal 579 2 2" xfId="37575"/>
    <cellStyle name="Normal 579 2 2 2" xfId="37576"/>
    <cellStyle name="Normal 579 2 3" xfId="37577"/>
    <cellStyle name="Normal 579 2 3 2" xfId="37578"/>
    <cellStyle name="Normal 579 2 3 2 2" xfId="37579"/>
    <cellStyle name="Normal 579 2 3 3" xfId="37580"/>
    <cellStyle name="Normal 579 2 4" xfId="37581"/>
    <cellStyle name="Normal 579 3" xfId="37582"/>
    <cellStyle name="Normal 579 3 2" xfId="37583"/>
    <cellStyle name="Normal 579 3 2 2" xfId="37584"/>
    <cellStyle name="Normal 579 3 3" xfId="37585"/>
    <cellStyle name="Normal 579 4" xfId="37586"/>
    <cellStyle name="Normal 579 4 2" xfId="37587"/>
    <cellStyle name="Normal 579 4 2 2" xfId="37588"/>
    <cellStyle name="Normal 579 4 3" xfId="37589"/>
    <cellStyle name="Normal 579 5" xfId="37590"/>
    <cellStyle name="Normal 58" xfId="37591"/>
    <cellStyle name="Normal 58 2" xfId="37592"/>
    <cellStyle name="Normal 58 2 2" xfId="37593"/>
    <cellStyle name="Normal 58 2 2 2" xfId="37594"/>
    <cellStyle name="Normal 58 2 3" xfId="37595"/>
    <cellStyle name="Normal 58 2 3 2" xfId="37596"/>
    <cellStyle name="Normal 58 2 3 2 2" xfId="37597"/>
    <cellStyle name="Normal 58 2 3 3" xfId="37598"/>
    <cellStyle name="Normal 58 2 4" xfId="37599"/>
    <cellStyle name="Normal 58 2 4 2" xfId="37600"/>
    <cellStyle name="Normal 58 2 4 2 2" xfId="37601"/>
    <cellStyle name="Normal 58 2 4 3" xfId="37602"/>
    <cellStyle name="Normal 58 2 5" xfId="37603"/>
    <cellStyle name="Normal 58 3" xfId="37604"/>
    <cellStyle name="Normal 58 3 2" xfId="37605"/>
    <cellStyle name="Normal 58 3 2 2" xfId="37606"/>
    <cellStyle name="Normal 58 3 2 2 2" xfId="37607"/>
    <cellStyle name="Normal 58 3 2 3" xfId="37608"/>
    <cellStyle name="Normal 58 3 2 3 2" xfId="37609"/>
    <cellStyle name="Normal 58 3 2 3 2 2" xfId="37610"/>
    <cellStyle name="Normal 58 3 2 3 3" xfId="37611"/>
    <cellStyle name="Normal 58 3 2 4" xfId="37612"/>
    <cellStyle name="Normal 58 3 3" xfId="37613"/>
    <cellStyle name="Normal 58 3 3 2" xfId="37614"/>
    <cellStyle name="Normal 58 3 3 2 2" xfId="37615"/>
    <cellStyle name="Normal 58 3 3 3" xfId="37616"/>
    <cellStyle name="Normal 58 3 4" xfId="37617"/>
    <cellStyle name="Normal 58 3 4 2" xfId="37618"/>
    <cellStyle name="Normal 58 3 4 2 2" xfId="37619"/>
    <cellStyle name="Normal 58 3 4 3" xfId="37620"/>
    <cellStyle name="Normal 58 3 5" xfId="37621"/>
    <cellStyle name="Normal 58 3 5 2" xfId="37622"/>
    <cellStyle name="Normal 58 3 5 2 2" xfId="37623"/>
    <cellStyle name="Normal 58 3 5 3" xfId="37624"/>
    <cellStyle name="Normal 58 3 6" xfId="37625"/>
    <cellStyle name="Normal 58 4" xfId="37626"/>
    <cellStyle name="Normal 58 4 2" xfId="37627"/>
    <cellStyle name="Normal 58 4 2 2" xfId="37628"/>
    <cellStyle name="Normal 58 4 3" xfId="37629"/>
    <cellStyle name="Normal 58 5" xfId="37630"/>
    <cellStyle name="Normal 58 5 2" xfId="37631"/>
    <cellStyle name="Normal 58 5 2 2" xfId="37632"/>
    <cellStyle name="Normal 58 5 3" xfId="37633"/>
    <cellStyle name="Normal 58 6" xfId="37634"/>
    <cellStyle name="Normal 58 6 2" xfId="37635"/>
    <cellStyle name="Normal 58 6 2 2" xfId="37636"/>
    <cellStyle name="Normal 58 6 3" xfId="37637"/>
    <cellStyle name="Normal 58 7" xfId="37638"/>
    <cellStyle name="Normal 580" xfId="37639"/>
    <cellStyle name="Normal 580 2" xfId="37640"/>
    <cellStyle name="Normal 580 2 2" xfId="37641"/>
    <cellStyle name="Normal 580 3" xfId="37642"/>
    <cellStyle name="Normal 580 3 2" xfId="37643"/>
    <cellStyle name="Normal 580 3 2 2" xfId="37644"/>
    <cellStyle name="Normal 580 3 3" xfId="37645"/>
    <cellStyle name="Normal 580 4" xfId="37646"/>
    <cellStyle name="Normal 581" xfId="37647"/>
    <cellStyle name="Normal 581 2" xfId="37648"/>
    <cellStyle name="Normal 581 2 2" xfId="37649"/>
    <cellStyle name="Normal 581 3" xfId="37650"/>
    <cellStyle name="Normal 581 3 2" xfId="37651"/>
    <cellStyle name="Normal 581 3 2 2" xfId="37652"/>
    <cellStyle name="Normal 581 3 3" xfId="37653"/>
    <cellStyle name="Normal 581 4" xfId="37654"/>
    <cellStyle name="Normal 582" xfId="37655"/>
    <cellStyle name="Normal 582 2" xfId="37656"/>
    <cellStyle name="Normal 582 2 2" xfId="37657"/>
    <cellStyle name="Normal 582 3" xfId="37658"/>
    <cellStyle name="Normal 582 3 2" xfId="37659"/>
    <cellStyle name="Normal 582 3 2 2" xfId="37660"/>
    <cellStyle name="Normal 582 3 3" xfId="37661"/>
    <cellStyle name="Normal 582 4" xfId="37662"/>
    <cellStyle name="Normal 583" xfId="37663"/>
    <cellStyle name="Normal 583 2" xfId="37664"/>
    <cellStyle name="Normal 583 2 2" xfId="37665"/>
    <cellStyle name="Normal 583 3" xfId="37666"/>
    <cellStyle name="Normal 583 3 2" xfId="37667"/>
    <cellStyle name="Normal 583 3 2 2" xfId="37668"/>
    <cellStyle name="Normal 583 3 3" xfId="37669"/>
    <cellStyle name="Normal 583 4" xfId="37670"/>
    <cellStyle name="Normal 584" xfId="37671"/>
    <cellStyle name="Normal 584 2" xfId="37672"/>
    <cellStyle name="Normal 584 2 2" xfId="37673"/>
    <cellStyle name="Normal 584 2 2 2" xfId="37674"/>
    <cellStyle name="Normal 584 2 3" xfId="37675"/>
    <cellStyle name="Normal 584 3" xfId="37676"/>
    <cellStyle name="Normal 584 3 2" xfId="37677"/>
    <cellStyle name="Normal 584 3 2 2" xfId="37678"/>
    <cellStyle name="Normal 584 3 2 2 2" xfId="37679"/>
    <cellStyle name="Normal 584 3 2 3" xfId="37680"/>
    <cellStyle name="Normal 584 3 3" xfId="37681"/>
    <cellStyle name="Normal 584 3 3 2" xfId="37682"/>
    <cellStyle name="Normal 584 3 4" xfId="37683"/>
    <cellStyle name="Normal 584 4" xfId="37684"/>
    <cellStyle name="Normal 584 4 2" xfId="37685"/>
    <cellStyle name="Normal 584 4 2 2" xfId="37686"/>
    <cellStyle name="Normal 584 4 3" xfId="37687"/>
    <cellStyle name="Normal 584 5" xfId="37688"/>
    <cellStyle name="Normal 584 5 2" xfId="37689"/>
    <cellStyle name="Normal 584 6" xfId="37690"/>
    <cellStyle name="Normal 585" xfId="37691"/>
    <cellStyle name="Normal 585 2" xfId="37692"/>
    <cellStyle name="Normal 585 2 2" xfId="37693"/>
    <cellStyle name="Normal 585 2 2 2" xfId="37694"/>
    <cellStyle name="Normal 585 2 3" xfId="37695"/>
    <cellStyle name="Normal 585 3" xfId="37696"/>
    <cellStyle name="Normal 585 3 2" xfId="37697"/>
    <cellStyle name="Normal 585 4" xfId="37698"/>
    <cellStyle name="Normal 586" xfId="37699"/>
    <cellStyle name="Normal 586 2" xfId="37700"/>
    <cellStyle name="Normal 586 2 2" xfId="37701"/>
    <cellStyle name="Normal 586 2 2 2" xfId="37702"/>
    <cellStyle name="Normal 586 2 3" xfId="37703"/>
    <cellStyle name="Normal 586 3" xfId="37704"/>
    <cellStyle name="Normal 586 3 2" xfId="37705"/>
    <cellStyle name="Normal 586 4" xfId="37706"/>
    <cellStyle name="Normal 587" xfId="37707"/>
    <cellStyle name="Normal 587 2" xfId="37708"/>
    <cellStyle name="Normal 587 2 2" xfId="37709"/>
    <cellStyle name="Normal 587 2 2 2" xfId="37710"/>
    <cellStyle name="Normal 587 2 3" xfId="37711"/>
    <cellStyle name="Normal 587 3" xfId="37712"/>
    <cellStyle name="Normal 587 3 2" xfId="37713"/>
    <cellStyle name="Normal 587 4" xfId="37714"/>
    <cellStyle name="Normal 588" xfId="37715"/>
    <cellStyle name="Normal 588 2" xfId="37716"/>
    <cellStyle name="Normal 588 2 2" xfId="37717"/>
    <cellStyle name="Normal 588 3" xfId="37718"/>
    <cellStyle name="Normal 589" xfId="37719"/>
    <cellStyle name="Normal 589 2" xfId="37720"/>
    <cellStyle name="Normal 589 2 2" xfId="37721"/>
    <cellStyle name="Normal 589 3" xfId="37722"/>
    <cellStyle name="Normal 59" xfId="37723"/>
    <cellStyle name="Normal 59 2" xfId="37724"/>
    <cellStyle name="Normal 59 2 2" xfId="37725"/>
    <cellStyle name="Normal 59 2 2 2" xfId="37726"/>
    <cellStyle name="Normal 59 2 3" xfId="37727"/>
    <cellStyle name="Normal 59 2 3 2" xfId="37728"/>
    <cellStyle name="Normal 59 2 3 2 2" xfId="37729"/>
    <cellStyle name="Normal 59 2 3 3" xfId="37730"/>
    <cellStyle name="Normal 59 2 4" xfId="37731"/>
    <cellStyle name="Normal 59 2 4 2" xfId="37732"/>
    <cellStyle name="Normal 59 2 4 2 2" xfId="37733"/>
    <cellStyle name="Normal 59 2 4 3" xfId="37734"/>
    <cellStyle name="Normal 59 2 5" xfId="37735"/>
    <cellStyle name="Normal 59 3" xfId="37736"/>
    <cellStyle name="Normal 59 3 2" xfId="37737"/>
    <cellStyle name="Normal 59 3 2 2" xfId="37738"/>
    <cellStyle name="Normal 59 3 2 2 2" xfId="37739"/>
    <cellStyle name="Normal 59 3 2 3" xfId="37740"/>
    <cellStyle name="Normal 59 3 2 3 2" xfId="37741"/>
    <cellStyle name="Normal 59 3 2 3 2 2" xfId="37742"/>
    <cellStyle name="Normal 59 3 2 3 3" xfId="37743"/>
    <cellStyle name="Normal 59 3 2 4" xfId="37744"/>
    <cellStyle name="Normal 59 3 3" xfId="37745"/>
    <cellStyle name="Normal 59 3 3 2" xfId="37746"/>
    <cellStyle name="Normal 59 3 3 2 2" xfId="37747"/>
    <cellStyle name="Normal 59 3 3 3" xfId="37748"/>
    <cellStyle name="Normal 59 3 4" xfId="37749"/>
    <cellStyle name="Normal 59 3 4 2" xfId="37750"/>
    <cellStyle name="Normal 59 3 4 2 2" xfId="37751"/>
    <cellStyle name="Normal 59 3 4 3" xfId="37752"/>
    <cellStyle name="Normal 59 3 5" xfId="37753"/>
    <cellStyle name="Normal 59 3 5 2" xfId="37754"/>
    <cellStyle name="Normal 59 3 5 2 2" xfId="37755"/>
    <cellStyle name="Normal 59 3 5 3" xfId="37756"/>
    <cellStyle name="Normal 59 3 6" xfId="37757"/>
    <cellStyle name="Normal 59 4" xfId="37758"/>
    <cellStyle name="Normal 59 4 2" xfId="37759"/>
    <cellStyle name="Normal 59 4 2 2" xfId="37760"/>
    <cellStyle name="Normal 59 4 3" xfId="37761"/>
    <cellStyle name="Normal 59 5" xfId="37762"/>
    <cellStyle name="Normal 59 5 2" xfId="37763"/>
    <cellStyle name="Normal 59 5 2 2" xfId="37764"/>
    <cellStyle name="Normal 59 5 3" xfId="37765"/>
    <cellStyle name="Normal 59 6" xfId="37766"/>
    <cellStyle name="Normal 59 6 2" xfId="37767"/>
    <cellStyle name="Normal 59 6 2 2" xfId="37768"/>
    <cellStyle name="Normal 59 6 3" xfId="37769"/>
    <cellStyle name="Normal 59 7" xfId="37770"/>
    <cellStyle name="Normal 590" xfId="37771"/>
    <cellStyle name="Normal 590 2" xfId="37772"/>
    <cellStyle name="Normal 590 2 2" xfId="37773"/>
    <cellStyle name="Normal 590 3" xfId="37774"/>
    <cellStyle name="Normal 591" xfId="37775"/>
    <cellStyle name="Normal 591 2" xfId="37776"/>
    <cellStyle name="Normal 591 2 2" xfId="37777"/>
    <cellStyle name="Normal 591 3" xfId="37778"/>
    <cellStyle name="Normal 592" xfId="37779"/>
    <cellStyle name="Normal 592 2" xfId="37780"/>
    <cellStyle name="Normal 592 2 2" xfId="37781"/>
    <cellStyle name="Normal 592 3" xfId="37782"/>
    <cellStyle name="Normal 593" xfId="37783"/>
    <cellStyle name="Normal 593 2" xfId="37784"/>
    <cellStyle name="Normal 593 2 2" xfId="37785"/>
    <cellStyle name="Normal 593 3" xfId="37786"/>
    <cellStyle name="Normal 594" xfId="37787"/>
    <cellStyle name="Normal 594 2" xfId="37788"/>
    <cellStyle name="Normal 594 2 2" xfId="37789"/>
    <cellStyle name="Normal 594 3" xfId="37790"/>
    <cellStyle name="Normal 595" xfId="37791"/>
    <cellStyle name="Normal 595 2" xfId="37792"/>
    <cellStyle name="Normal 595 2 2" xfId="37793"/>
    <cellStyle name="Normal 595 3" xfId="37794"/>
    <cellStyle name="Normal 596" xfId="37795"/>
    <cellStyle name="Normal 596 2" xfId="37796"/>
    <cellStyle name="Normal 596 2 2" xfId="37797"/>
    <cellStyle name="Normal 596 3" xfId="37798"/>
    <cellStyle name="Normal 597" xfId="37799"/>
    <cellStyle name="Normal 597 2" xfId="37800"/>
    <cellStyle name="Normal 597 2 2" xfId="37801"/>
    <cellStyle name="Normal 597 3" xfId="37802"/>
    <cellStyle name="Normal 598" xfId="37803"/>
    <cellStyle name="Normal 598 2" xfId="37804"/>
    <cellStyle name="Normal 598 2 2" xfId="37805"/>
    <cellStyle name="Normal 598 3" xfId="37806"/>
    <cellStyle name="Normal 599" xfId="37807"/>
    <cellStyle name="Normal 599 2" xfId="37808"/>
    <cellStyle name="Normal 599 2 2" xfId="37809"/>
    <cellStyle name="Normal 599 3" xfId="37810"/>
    <cellStyle name="Normal 6" xfId="80"/>
    <cellStyle name="Normal 6 10" xfId="202"/>
    <cellStyle name="Normal 6 10 2" xfId="338"/>
    <cellStyle name="Normal 6 10 2 2" xfId="37813"/>
    <cellStyle name="Normal 6 10 3" xfId="461"/>
    <cellStyle name="Normal 6 10 4" xfId="604"/>
    <cellStyle name="Normal 6 10 5" xfId="37812"/>
    <cellStyle name="Normal 6 10 6" xfId="53828"/>
    <cellStyle name="Normal 6 11" xfId="248"/>
    <cellStyle name="Normal 6 11 2" xfId="37814"/>
    <cellStyle name="Normal 6 12" xfId="256"/>
    <cellStyle name="Normal 6 12 2" xfId="37815"/>
    <cellStyle name="Normal 6 13" xfId="379"/>
    <cellStyle name="Normal 6 13 2" xfId="37816"/>
    <cellStyle name="Normal 6 14" xfId="502"/>
    <cellStyle name="Normal 6 15" xfId="603"/>
    <cellStyle name="Normal 6 16" xfId="37811"/>
    <cellStyle name="Normal 6 17" xfId="53703"/>
    <cellStyle name="Normal 6 18" xfId="53765"/>
    <cellStyle name="Normal 6 2" xfId="108"/>
    <cellStyle name="Normal 6 2 10" xfId="381"/>
    <cellStyle name="Normal 6 2 11" xfId="504"/>
    <cellStyle name="Normal 6 2 12" xfId="605"/>
    <cellStyle name="Normal 6 2 13" xfId="37817"/>
    <cellStyle name="Normal 6 2 14" xfId="53705"/>
    <cellStyle name="Normal 6 2 15" xfId="53766"/>
    <cellStyle name="Normal 6 2 2" xfId="114"/>
    <cellStyle name="Normal 6 2 2 10" xfId="53711"/>
    <cellStyle name="Normal 6 2 2 11" xfId="53767"/>
    <cellStyle name="Normal 6 2 2 2" xfId="151"/>
    <cellStyle name="Normal 6 2 2 2 10" xfId="53768"/>
    <cellStyle name="Normal 6 2 2 2 2" xfId="192"/>
    <cellStyle name="Normal 6 2 2 2 2 2" xfId="328"/>
    <cellStyle name="Normal 6 2 2 2 2 3" xfId="451"/>
    <cellStyle name="Normal 6 2 2 2 2 4" xfId="608"/>
    <cellStyle name="Normal 6 2 2 2 2 5" xfId="37820"/>
    <cellStyle name="Normal 6 2 2 2 2 6" xfId="53818"/>
    <cellStyle name="Normal 6 2 2 2 3" xfId="233"/>
    <cellStyle name="Normal 6 2 2 2 3 2" xfId="369"/>
    <cellStyle name="Normal 6 2 2 2 3 3" xfId="492"/>
    <cellStyle name="Normal 6 2 2 2 3 4" xfId="609"/>
    <cellStyle name="Normal 6 2 2 2 3 5" xfId="53859"/>
    <cellStyle name="Normal 6 2 2 2 4" xfId="287"/>
    <cellStyle name="Normal 6 2 2 2 5" xfId="410"/>
    <cellStyle name="Normal 6 2 2 2 6" xfId="533"/>
    <cellStyle name="Normal 6 2 2 2 7" xfId="607"/>
    <cellStyle name="Normal 6 2 2 2 8" xfId="37819"/>
    <cellStyle name="Normal 6 2 2 2 9" xfId="53734"/>
    <cellStyle name="Normal 6 2 2 3" xfId="169"/>
    <cellStyle name="Normal 6 2 2 3 2" xfId="305"/>
    <cellStyle name="Normal 6 2 2 3 2 2" xfId="37823"/>
    <cellStyle name="Normal 6 2 2 3 2 3" xfId="37822"/>
    <cellStyle name="Normal 6 2 2 3 3" xfId="428"/>
    <cellStyle name="Normal 6 2 2 3 3 2" xfId="37824"/>
    <cellStyle name="Normal 6 2 2 3 4" xfId="610"/>
    <cellStyle name="Normal 6 2 2 3 5" xfId="37821"/>
    <cellStyle name="Normal 6 2 2 3 6" xfId="53795"/>
    <cellStyle name="Normal 6 2 2 4" xfId="210"/>
    <cellStyle name="Normal 6 2 2 4 2" xfId="346"/>
    <cellStyle name="Normal 6 2 2 4 2 2" xfId="37827"/>
    <cellStyle name="Normal 6 2 2 4 2 3" xfId="37826"/>
    <cellStyle name="Normal 6 2 2 4 3" xfId="469"/>
    <cellStyle name="Normal 6 2 2 4 3 2" xfId="37828"/>
    <cellStyle name="Normal 6 2 2 4 4" xfId="611"/>
    <cellStyle name="Normal 6 2 2 4 5" xfId="37825"/>
    <cellStyle name="Normal 6 2 2 4 6" xfId="53836"/>
    <cellStyle name="Normal 6 2 2 5" xfId="264"/>
    <cellStyle name="Normal 6 2 2 5 2" xfId="37829"/>
    <cellStyle name="Normal 6 2 2 6" xfId="387"/>
    <cellStyle name="Normal 6 2 2 7" xfId="510"/>
    <cellStyle name="Normal 6 2 2 8" xfId="606"/>
    <cellStyle name="Normal 6 2 2 9" xfId="37818"/>
    <cellStyle name="Normal 6 2 3" xfId="118"/>
    <cellStyle name="Normal 6 2 3 10" xfId="53715"/>
    <cellStyle name="Normal 6 2 3 11" xfId="53769"/>
    <cellStyle name="Normal 6 2 3 2" xfId="155"/>
    <cellStyle name="Normal 6 2 3 2 10" xfId="53770"/>
    <cellStyle name="Normal 6 2 3 2 2" xfId="196"/>
    <cellStyle name="Normal 6 2 3 2 2 2" xfId="332"/>
    <cellStyle name="Normal 6 2 3 2 2 2 2" xfId="37833"/>
    <cellStyle name="Normal 6 2 3 2 2 3" xfId="455"/>
    <cellStyle name="Normal 6 2 3 2 2 4" xfId="614"/>
    <cellStyle name="Normal 6 2 3 2 2 5" xfId="37832"/>
    <cellStyle name="Normal 6 2 3 2 2 6" xfId="53822"/>
    <cellStyle name="Normal 6 2 3 2 3" xfId="237"/>
    <cellStyle name="Normal 6 2 3 2 3 2" xfId="373"/>
    <cellStyle name="Normal 6 2 3 2 3 2 2" xfId="37836"/>
    <cellStyle name="Normal 6 2 3 2 3 2 3" xfId="37835"/>
    <cellStyle name="Normal 6 2 3 2 3 3" xfId="496"/>
    <cellStyle name="Normal 6 2 3 2 3 3 2" xfId="37837"/>
    <cellStyle name="Normal 6 2 3 2 3 4" xfId="615"/>
    <cellStyle name="Normal 6 2 3 2 3 5" xfId="37834"/>
    <cellStyle name="Normal 6 2 3 2 3 6" xfId="53863"/>
    <cellStyle name="Normal 6 2 3 2 4" xfId="291"/>
    <cellStyle name="Normal 6 2 3 2 4 2" xfId="37838"/>
    <cellStyle name="Normal 6 2 3 2 5" xfId="414"/>
    <cellStyle name="Normal 6 2 3 2 6" xfId="537"/>
    <cellStyle name="Normal 6 2 3 2 7" xfId="613"/>
    <cellStyle name="Normal 6 2 3 2 8" xfId="37831"/>
    <cellStyle name="Normal 6 2 3 2 9" xfId="53738"/>
    <cellStyle name="Normal 6 2 3 3" xfId="173"/>
    <cellStyle name="Normal 6 2 3 3 2" xfId="309"/>
    <cellStyle name="Normal 6 2 3 3 2 2" xfId="37841"/>
    <cellStyle name="Normal 6 2 3 3 2 3" xfId="37840"/>
    <cellStyle name="Normal 6 2 3 3 3" xfId="432"/>
    <cellStyle name="Normal 6 2 3 3 3 2" xfId="37842"/>
    <cellStyle name="Normal 6 2 3 3 4" xfId="616"/>
    <cellStyle name="Normal 6 2 3 3 5" xfId="37839"/>
    <cellStyle name="Normal 6 2 3 3 6" xfId="53799"/>
    <cellStyle name="Normal 6 2 3 4" xfId="214"/>
    <cellStyle name="Normal 6 2 3 4 2" xfId="350"/>
    <cellStyle name="Normal 6 2 3 4 2 2" xfId="37845"/>
    <cellStyle name="Normal 6 2 3 4 2 3" xfId="37844"/>
    <cellStyle name="Normal 6 2 3 4 3" xfId="473"/>
    <cellStyle name="Normal 6 2 3 4 3 2" xfId="37846"/>
    <cellStyle name="Normal 6 2 3 4 4" xfId="617"/>
    <cellStyle name="Normal 6 2 3 4 5" xfId="37843"/>
    <cellStyle name="Normal 6 2 3 4 6" xfId="53840"/>
    <cellStyle name="Normal 6 2 3 5" xfId="268"/>
    <cellStyle name="Normal 6 2 3 5 2" xfId="37848"/>
    <cellStyle name="Normal 6 2 3 5 2 2" xfId="37849"/>
    <cellStyle name="Normal 6 2 3 5 3" xfId="37850"/>
    <cellStyle name="Normal 6 2 3 5 4" xfId="37847"/>
    <cellStyle name="Normal 6 2 3 6" xfId="391"/>
    <cellStyle name="Normal 6 2 3 6 2" xfId="37851"/>
    <cellStyle name="Normal 6 2 3 7" xfId="514"/>
    <cellStyle name="Normal 6 2 3 8" xfId="612"/>
    <cellStyle name="Normal 6 2 3 9" xfId="37830"/>
    <cellStyle name="Normal 6 2 4" xfId="122"/>
    <cellStyle name="Normal 6 2 4 10" xfId="53719"/>
    <cellStyle name="Normal 6 2 4 11" xfId="53771"/>
    <cellStyle name="Normal 6 2 4 2" xfId="159"/>
    <cellStyle name="Normal 6 2 4 2 10" xfId="53772"/>
    <cellStyle name="Normal 6 2 4 2 2" xfId="200"/>
    <cellStyle name="Normal 6 2 4 2 2 2" xfId="336"/>
    <cellStyle name="Normal 6 2 4 2 2 3" xfId="459"/>
    <cellStyle name="Normal 6 2 4 2 2 4" xfId="620"/>
    <cellStyle name="Normal 6 2 4 2 2 5" xfId="37854"/>
    <cellStyle name="Normal 6 2 4 2 2 6" xfId="53826"/>
    <cellStyle name="Normal 6 2 4 2 3" xfId="241"/>
    <cellStyle name="Normal 6 2 4 2 3 2" xfId="377"/>
    <cellStyle name="Normal 6 2 4 2 3 3" xfId="500"/>
    <cellStyle name="Normal 6 2 4 2 3 4" xfId="621"/>
    <cellStyle name="Normal 6 2 4 2 3 5" xfId="53867"/>
    <cellStyle name="Normal 6 2 4 2 4" xfId="295"/>
    <cellStyle name="Normal 6 2 4 2 5" xfId="418"/>
    <cellStyle name="Normal 6 2 4 2 6" xfId="541"/>
    <cellStyle name="Normal 6 2 4 2 7" xfId="619"/>
    <cellStyle name="Normal 6 2 4 2 8" xfId="37853"/>
    <cellStyle name="Normal 6 2 4 2 9" xfId="53742"/>
    <cellStyle name="Normal 6 2 4 3" xfId="177"/>
    <cellStyle name="Normal 6 2 4 3 2" xfId="313"/>
    <cellStyle name="Normal 6 2 4 3 3" xfId="436"/>
    <cellStyle name="Normal 6 2 4 3 4" xfId="622"/>
    <cellStyle name="Normal 6 2 4 3 5" xfId="37855"/>
    <cellStyle name="Normal 6 2 4 3 6" xfId="53803"/>
    <cellStyle name="Normal 6 2 4 4" xfId="218"/>
    <cellStyle name="Normal 6 2 4 4 2" xfId="354"/>
    <cellStyle name="Normal 6 2 4 4 3" xfId="477"/>
    <cellStyle name="Normal 6 2 4 4 4" xfId="623"/>
    <cellStyle name="Normal 6 2 4 4 5" xfId="53844"/>
    <cellStyle name="Normal 6 2 4 5" xfId="272"/>
    <cellStyle name="Normal 6 2 4 6" xfId="395"/>
    <cellStyle name="Normal 6 2 4 7" xfId="518"/>
    <cellStyle name="Normal 6 2 4 8" xfId="618"/>
    <cellStyle name="Normal 6 2 4 9" xfId="37852"/>
    <cellStyle name="Normal 6 2 5" xfId="145"/>
    <cellStyle name="Normal 6 2 5 10" xfId="53773"/>
    <cellStyle name="Normal 6 2 5 2" xfId="186"/>
    <cellStyle name="Normal 6 2 5 2 2" xfId="322"/>
    <cellStyle name="Normal 6 2 5 2 2 2" xfId="37858"/>
    <cellStyle name="Normal 6 2 5 2 3" xfId="445"/>
    <cellStyle name="Normal 6 2 5 2 4" xfId="625"/>
    <cellStyle name="Normal 6 2 5 2 5" xfId="37857"/>
    <cellStyle name="Normal 6 2 5 2 6" xfId="53812"/>
    <cellStyle name="Normal 6 2 5 3" xfId="227"/>
    <cellStyle name="Normal 6 2 5 3 2" xfId="363"/>
    <cellStyle name="Normal 6 2 5 3 3" xfId="486"/>
    <cellStyle name="Normal 6 2 5 3 4" xfId="626"/>
    <cellStyle name="Normal 6 2 5 3 5" xfId="37859"/>
    <cellStyle name="Normal 6 2 5 3 6" xfId="53853"/>
    <cellStyle name="Normal 6 2 5 4" xfId="281"/>
    <cellStyle name="Normal 6 2 5 5" xfId="404"/>
    <cellStyle name="Normal 6 2 5 6" xfId="527"/>
    <cellStyle name="Normal 6 2 5 7" xfId="624"/>
    <cellStyle name="Normal 6 2 5 8" xfId="37856"/>
    <cellStyle name="Normal 6 2 5 9" xfId="53728"/>
    <cellStyle name="Normal 6 2 6" xfId="141"/>
    <cellStyle name="Normal 6 2 6 10" xfId="53774"/>
    <cellStyle name="Normal 6 2 6 2" xfId="182"/>
    <cellStyle name="Normal 6 2 6 2 2" xfId="318"/>
    <cellStyle name="Normal 6 2 6 2 2 2" xfId="37862"/>
    <cellStyle name="Normal 6 2 6 2 3" xfId="441"/>
    <cellStyle name="Normal 6 2 6 2 4" xfId="628"/>
    <cellStyle name="Normal 6 2 6 2 5" xfId="37861"/>
    <cellStyle name="Normal 6 2 6 2 6" xfId="53808"/>
    <cellStyle name="Normal 6 2 6 3" xfId="223"/>
    <cellStyle name="Normal 6 2 6 3 2" xfId="359"/>
    <cellStyle name="Normal 6 2 6 3 3" xfId="482"/>
    <cellStyle name="Normal 6 2 6 3 4" xfId="629"/>
    <cellStyle name="Normal 6 2 6 3 5" xfId="37863"/>
    <cellStyle name="Normal 6 2 6 3 6" xfId="53849"/>
    <cellStyle name="Normal 6 2 6 4" xfId="277"/>
    <cellStyle name="Normal 6 2 6 5" xfId="400"/>
    <cellStyle name="Normal 6 2 6 6" xfId="523"/>
    <cellStyle name="Normal 6 2 6 7" xfId="627"/>
    <cellStyle name="Normal 6 2 6 8" xfId="37860"/>
    <cellStyle name="Normal 6 2 6 9" xfId="53724"/>
    <cellStyle name="Normal 6 2 7" xfId="163"/>
    <cellStyle name="Normal 6 2 7 2" xfId="299"/>
    <cellStyle name="Normal 6 2 7 3" xfId="422"/>
    <cellStyle name="Normal 6 2 7 4" xfId="630"/>
    <cellStyle name="Normal 6 2 7 5" xfId="37864"/>
    <cellStyle name="Normal 6 2 7 6" xfId="53789"/>
    <cellStyle name="Normal 6 2 8" xfId="204"/>
    <cellStyle name="Normal 6 2 8 2" xfId="340"/>
    <cellStyle name="Normal 6 2 8 3" xfId="463"/>
    <cellStyle name="Normal 6 2 8 4" xfId="631"/>
    <cellStyle name="Normal 6 2 8 5" xfId="53830"/>
    <cellStyle name="Normal 6 2 9" xfId="258"/>
    <cellStyle name="Normal 6 3" xfId="111"/>
    <cellStyle name="Normal 6 3 10" xfId="53708"/>
    <cellStyle name="Normal 6 3 11" xfId="53775"/>
    <cellStyle name="Normal 6 3 2" xfId="148"/>
    <cellStyle name="Normal 6 3 2 10" xfId="53776"/>
    <cellStyle name="Normal 6 3 2 2" xfId="189"/>
    <cellStyle name="Normal 6 3 2 2 2" xfId="325"/>
    <cellStyle name="Normal 6 3 2 2 2 2" xfId="37868"/>
    <cellStyle name="Normal 6 3 2 2 3" xfId="448"/>
    <cellStyle name="Normal 6 3 2 2 4" xfId="634"/>
    <cellStyle name="Normal 6 3 2 2 5" xfId="37867"/>
    <cellStyle name="Normal 6 3 2 2 6" xfId="53815"/>
    <cellStyle name="Normal 6 3 2 3" xfId="230"/>
    <cellStyle name="Normal 6 3 2 3 2" xfId="366"/>
    <cellStyle name="Normal 6 3 2 3 2 2" xfId="37871"/>
    <cellStyle name="Normal 6 3 2 3 2 3" xfId="37870"/>
    <cellStyle name="Normal 6 3 2 3 3" xfId="489"/>
    <cellStyle name="Normal 6 3 2 3 3 2" xfId="37872"/>
    <cellStyle name="Normal 6 3 2 3 4" xfId="635"/>
    <cellStyle name="Normal 6 3 2 3 5" xfId="37869"/>
    <cellStyle name="Normal 6 3 2 3 6" xfId="53856"/>
    <cellStyle name="Normal 6 3 2 4" xfId="284"/>
    <cellStyle name="Normal 6 3 2 4 2" xfId="37874"/>
    <cellStyle name="Normal 6 3 2 4 2 2" xfId="37875"/>
    <cellStyle name="Normal 6 3 2 4 3" xfId="37876"/>
    <cellStyle name="Normal 6 3 2 4 4" xfId="37873"/>
    <cellStyle name="Normal 6 3 2 5" xfId="407"/>
    <cellStyle name="Normal 6 3 2 5 2" xfId="37877"/>
    <cellStyle name="Normal 6 3 2 6" xfId="530"/>
    <cellStyle name="Normal 6 3 2 7" xfId="633"/>
    <cellStyle name="Normal 6 3 2 8" xfId="37866"/>
    <cellStyle name="Normal 6 3 2 9" xfId="53731"/>
    <cellStyle name="Normal 6 3 3" xfId="166"/>
    <cellStyle name="Normal 6 3 3 2" xfId="302"/>
    <cellStyle name="Normal 6 3 3 2 2" xfId="37880"/>
    <cellStyle name="Normal 6 3 3 2 3" xfId="37879"/>
    <cellStyle name="Normal 6 3 3 3" xfId="425"/>
    <cellStyle name="Normal 6 3 3 3 2" xfId="37881"/>
    <cellStyle name="Normal 6 3 3 4" xfId="636"/>
    <cellStyle name="Normal 6 3 3 5" xfId="37878"/>
    <cellStyle name="Normal 6 3 3 6" xfId="53792"/>
    <cellStyle name="Normal 6 3 4" xfId="207"/>
    <cellStyle name="Normal 6 3 4 2" xfId="343"/>
    <cellStyle name="Normal 6 3 4 2 2" xfId="37884"/>
    <cellStyle name="Normal 6 3 4 2 3" xfId="37883"/>
    <cellStyle name="Normal 6 3 4 3" xfId="466"/>
    <cellStyle name="Normal 6 3 4 3 2" xfId="37885"/>
    <cellStyle name="Normal 6 3 4 4" xfId="637"/>
    <cellStyle name="Normal 6 3 4 5" xfId="37882"/>
    <cellStyle name="Normal 6 3 4 6" xfId="53833"/>
    <cellStyle name="Normal 6 3 5" xfId="261"/>
    <cellStyle name="Normal 6 3 5 2" xfId="37887"/>
    <cellStyle name="Normal 6 3 5 2 2" xfId="37888"/>
    <cellStyle name="Normal 6 3 5 3" xfId="37889"/>
    <cellStyle name="Normal 6 3 5 4" xfId="37886"/>
    <cellStyle name="Normal 6 3 6" xfId="384"/>
    <cellStyle name="Normal 6 3 6 2" xfId="37890"/>
    <cellStyle name="Normal 6 3 7" xfId="507"/>
    <cellStyle name="Normal 6 3 8" xfId="632"/>
    <cellStyle name="Normal 6 3 9" xfId="37865"/>
    <cellStyle name="Normal 6 4" xfId="112"/>
    <cellStyle name="Normal 6 4 10" xfId="53709"/>
    <cellStyle name="Normal 6 4 11" xfId="53777"/>
    <cellStyle name="Normal 6 4 2" xfId="149"/>
    <cellStyle name="Normal 6 4 2 10" xfId="53778"/>
    <cellStyle name="Normal 6 4 2 2" xfId="190"/>
    <cellStyle name="Normal 6 4 2 2 2" xfId="326"/>
    <cellStyle name="Normal 6 4 2 2 2 2" xfId="37894"/>
    <cellStyle name="Normal 6 4 2 2 3" xfId="449"/>
    <cellStyle name="Normal 6 4 2 2 4" xfId="640"/>
    <cellStyle name="Normal 6 4 2 2 5" xfId="37893"/>
    <cellStyle name="Normal 6 4 2 2 6" xfId="53816"/>
    <cellStyle name="Normal 6 4 2 3" xfId="231"/>
    <cellStyle name="Normal 6 4 2 3 2" xfId="367"/>
    <cellStyle name="Normal 6 4 2 3 2 2" xfId="37897"/>
    <cellStyle name="Normal 6 4 2 3 2 3" xfId="37896"/>
    <cellStyle name="Normal 6 4 2 3 3" xfId="490"/>
    <cellStyle name="Normal 6 4 2 3 3 2" xfId="37898"/>
    <cellStyle name="Normal 6 4 2 3 4" xfId="641"/>
    <cellStyle name="Normal 6 4 2 3 5" xfId="37895"/>
    <cellStyle name="Normal 6 4 2 3 6" xfId="53857"/>
    <cellStyle name="Normal 6 4 2 4" xfId="285"/>
    <cellStyle name="Normal 6 4 2 4 2" xfId="37900"/>
    <cellStyle name="Normal 6 4 2 4 2 2" xfId="37901"/>
    <cellStyle name="Normal 6 4 2 4 3" xfId="37902"/>
    <cellStyle name="Normal 6 4 2 4 4" xfId="37899"/>
    <cellStyle name="Normal 6 4 2 5" xfId="408"/>
    <cellStyle name="Normal 6 4 2 5 2" xfId="37903"/>
    <cellStyle name="Normal 6 4 2 6" xfId="531"/>
    <cellStyle name="Normal 6 4 2 7" xfId="639"/>
    <cellStyle name="Normal 6 4 2 8" xfId="37892"/>
    <cellStyle name="Normal 6 4 2 9" xfId="53732"/>
    <cellStyle name="Normal 6 4 3" xfId="167"/>
    <cellStyle name="Normal 6 4 3 2" xfId="303"/>
    <cellStyle name="Normal 6 4 3 2 2" xfId="37906"/>
    <cellStyle name="Normal 6 4 3 2 2 2" xfId="37907"/>
    <cellStyle name="Normal 6 4 3 2 3" xfId="37908"/>
    <cellStyle name="Normal 6 4 3 2 3 2" xfId="37909"/>
    <cellStyle name="Normal 6 4 3 2 3 2 2" xfId="37910"/>
    <cellStyle name="Normal 6 4 3 2 3 3" xfId="37911"/>
    <cellStyle name="Normal 6 4 3 2 4" xfId="37912"/>
    <cellStyle name="Normal 6 4 3 2 5" xfId="37905"/>
    <cellStyle name="Normal 6 4 3 3" xfId="426"/>
    <cellStyle name="Normal 6 4 3 3 2" xfId="37914"/>
    <cellStyle name="Normal 6 4 3 3 2 2" xfId="37915"/>
    <cellStyle name="Normal 6 4 3 3 3" xfId="37916"/>
    <cellStyle name="Normal 6 4 3 3 4" xfId="37913"/>
    <cellStyle name="Normal 6 4 3 4" xfId="642"/>
    <cellStyle name="Normal 6 4 3 4 2" xfId="37918"/>
    <cellStyle name="Normal 6 4 3 4 2 2" xfId="37919"/>
    <cellStyle name="Normal 6 4 3 4 3" xfId="37920"/>
    <cellStyle name="Normal 6 4 3 4 4" xfId="37917"/>
    <cellStyle name="Normal 6 4 3 5" xfId="37921"/>
    <cellStyle name="Normal 6 4 3 5 2" xfId="37922"/>
    <cellStyle name="Normal 6 4 3 5 2 2" xfId="37923"/>
    <cellStyle name="Normal 6 4 3 5 3" xfId="37924"/>
    <cellStyle name="Normal 6 4 3 6" xfId="37925"/>
    <cellStyle name="Normal 6 4 3 7" xfId="37904"/>
    <cellStyle name="Normal 6 4 3 8" xfId="53793"/>
    <cellStyle name="Normal 6 4 4" xfId="208"/>
    <cellStyle name="Normal 6 4 4 2" xfId="344"/>
    <cellStyle name="Normal 6 4 4 3" xfId="467"/>
    <cellStyle name="Normal 6 4 4 4" xfId="643"/>
    <cellStyle name="Normal 6 4 4 5" xfId="37926"/>
    <cellStyle name="Normal 6 4 4 6" xfId="53834"/>
    <cellStyle name="Normal 6 4 5" xfId="262"/>
    <cellStyle name="Normal 6 4 6" xfId="385"/>
    <cellStyle name="Normal 6 4 7" xfId="508"/>
    <cellStyle name="Normal 6 4 8" xfId="638"/>
    <cellStyle name="Normal 6 4 9" xfId="37891"/>
    <cellStyle name="Normal 6 5" xfId="116"/>
    <cellStyle name="Normal 6 5 10" xfId="53713"/>
    <cellStyle name="Normal 6 5 11" xfId="53779"/>
    <cellStyle name="Normal 6 5 2" xfId="153"/>
    <cellStyle name="Normal 6 5 2 10" xfId="53780"/>
    <cellStyle name="Normal 6 5 2 2" xfId="194"/>
    <cellStyle name="Normal 6 5 2 2 2" xfId="330"/>
    <cellStyle name="Normal 6 5 2 2 3" xfId="453"/>
    <cellStyle name="Normal 6 5 2 2 4" xfId="646"/>
    <cellStyle name="Normal 6 5 2 2 5" xfId="37929"/>
    <cellStyle name="Normal 6 5 2 2 6" xfId="53820"/>
    <cellStyle name="Normal 6 5 2 3" xfId="235"/>
    <cellStyle name="Normal 6 5 2 3 2" xfId="371"/>
    <cellStyle name="Normal 6 5 2 3 3" xfId="494"/>
    <cellStyle name="Normal 6 5 2 3 4" xfId="647"/>
    <cellStyle name="Normal 6 5 2 3 5" xfId="53861"/>
    <cellStyle name="Normal 6 5 2 4" xfId="289"/>
    <cellStyle name="Normal 6 5 2 5" xfId="412"/>
    <cellStyle name="Normal 6 5 2 6" xfId="535"/>
    <cellStyle name="Normal 6 5 2 7" xfId="645"/>
    <cellStyle name="Normal 6 5 2 8" xfId="37928"/>
    <cellStyle name="Normal 6 5 2 9" xfId="53736"/>
    <cellStyle name="Normal 6 5 3" xfId="171"/>
    <cellStyle name="Normal 6 5 3 2" xfId="307"/>
    <cellStyle name="Normal 6 5 3 2 2" xfId="37932"/>
    <cellStyle name="Normal 6 5 3 2 3" xfId="37931"/>
    <cellStyle name="Normal 6 5 3 3" xfId="430"/>
    <cellStyle name="Normal 6 5 3 3 2" xfId="37933"/>
    <cellStyle name="Normal 6 5 3 4" xfId="648"/>
    <cellStyle name="Normal 6 5 3 5" xfId="37930"/>
    <cellStyle name="Normal 6 5 3 6" xfId="53797"/>
    <cellStyle name="Normal 6 5 4" xfId="212"/>
    <cellStyle name="Normal 6 5 4 2" xfId="348"/>
    <cellStyle name="Normal 6 5 4 2 2" xfId="37936"/>
    <cellStyle name="Normal 6 5 4 2 3" xfId="37935"/>
    <cellStyle name="Normal 6 5 4 3" xfId="471"/>
    <cellStyle name="Normal 6 5 4 3 2" xfId="37937"/>
    <cellStyle name="Normal 6 5 4 4" xfId="649"/>
    <cellStyle name="Normal 6 5 4 5" xfId="37934"/>
    <cellStyle name="Normal 6 5 4 6" xfId="53838"/>
    <cellStyle name="Normal 6 5 5" xfId="266"/>
    <cellStyle name="Normal 6 5 5 2" xfId="37938"/>
    <cellStyle name="Normal 6 5 6" xfId="389"/>
    <cellStyle name="Normal 6 5 7" xfId="512"/>
    <cellStyle name="Normal 6 5 8" xfId="644"/>
    <cellStyle name="Normal 6 5 9" xfId="37927"/>
    <cellStyle name="Normal 6 6" xfId="120"/>
    <cellStyle name="Normal 6 6 10" xfId="53717"/>
    <cellStyle name="Normal 6 6 11" xfId="53781"/>
    <cellStyle name="Normal 6 6 2" xfId="157"/>
    <cellStyle name="Normal 6 6 2 10" xfId="53782"/>
    <cellStyle name="Normal 6 6 2 2" xfId="198"/>
    <cellStyle name="Normal 6 6 2 2 2" xfId="334"/>
    <cellStyle name="Normal 6 6 2 2 2 2" xfId="37943"/>
    <cellStyle name="Normal 6 6 2 2 2 3" xfId="37942"/>
    <cellStyle name="Normal 6 6 2 2 3" xfId="457"/>
    <cellStyle name="Normal 6 6 2 2 3 2" xfId="37945"/>
    <cellStyle name="Normal 6 6 2 2 3 2 2" xfId="37946"/>
    <cellStyle name="Normal 6 6 2 2 3 3" xfId="37947"/>
    <cellStyle name="Normal 6 6 2 2 3 4" xfId="37944"/>
    <cellStyle name="Normal 6 6 2 2 4" xfId="652"/>
    <cellStyle name="Normal 6 6 2 2 4 2" xfId="37948"/>
    <cellStyle name="Normal 6 6 2 2 5" xfId="37941"/>
    <cellStyle name="Normal 6 6 2 2 6" xfId="53824"/>
    <cellStyle name="Normal 6 6 2 3" xfId="239"/>
    <cellStyle name="Normal 6 6 2 3 2" xfId="375"/>
    <cellStyle name="Normal 6 6 2 3 2 2" xfId="37951"/>
    <cellStyle name="Normal 6 6 2 3 2 3" xfId="37950"/>
    <cellStyle name="Normal 6 6 2 3 3" xfId="498"/>
    <cellStyle name="Normal 6 6 2 3 3 2" xfId="37952"/>
    <cellStyle name="Normal 6 6 2 3 4" xfId="653"/>
    <cellStyle name="Normal 6 6 2 3 5" xfId="37949"/>
    <cellStyle name="Normal 6 6 2 3 6" xfId="53865"/>
    <cellStyle name="Normal 6 6 2 4" xfId="293"/>
    <cellStyle name="Normal 6 6 2 4 2" xfId="37954"/>
    <cellStyle name="Normal 6 6 2 4 2 2" xfId="37955"/>
    <cellStyle name="Normal 6 6 2 4 3" xfId="37956"/>
    <cellStyle name="Normal 6 6 2 4 4" xfId="37953"/>
    <cellStyle name="Normal 6 6 2 5" xfId="416"/>
    <cellStyle name="Normal 6 6 2 5 2" xfId="37958"/>
    <cellStyle name="Normal 6 6 2 5 2 2" xfId="37959"/>
    <cellStyle name="Normal 6 6 2 5 3" xfId="37960"/>
    <cellStyle name="Normal 6 6 2 5 4" xfId="37957"/>
    <cellStyle name="Normal 6 6 2 6" xfId="539"/>
    <cellStyle name="Normal 6 6 2 6 2" xfId="37961"/>
    <cellStyle name="Normal 6 6 2 7" xfId="651"/>
    <cellStyle name="Normal 6 6 2 8" xfId="37940"/>
    <cellStyle name="Normal 6 6 2 9" xfId="53740"/>
    <cellStyle name="Normal 6 6 3" xfId="175"/>
    <cellStyle name="Normal 6 6 3 2" xfId="311"/>
    <cellStyle name="Normal 6 6 3 2 2" xfId="37964"/>
    <cellStyle name="Normal 6 6 3 2 3" xfId="37963"/>
    <cellStyle name="Normal 6 6 3 3" xfId="434"/>
    <cellStyle name="Normal 6 6 3 3 2" xfId="37966"/>
    <cellStyle name="Normal 6 6 3 3 2 2" xfId="37967"/>
    <cellStyle name="Normal 6 6 3 3 3" xfId="37968"/>
    <cellStyle name="Normal 6 6 3 3 4" xfId="37965"/>
    <cellStyle name="Normal 6 6 3 4" xfId="654"/>
    <cellStyle name="Normal 6 6 3 4 2" xfId="37970"/>
    <cellStyle name="Normal 6 6 3 4 2 2" xfId="37971"/>
    <cellStyle name="Normal 6 6 3 4 3" xfId="37972"/>
    <cellStyle name="Normal 6 6 3 4 4" xfId="37969"/>
    <cellStyle name="Normal 6 6 3 5" xfId="37973"/>
    <cellStyle name="Normal 6 6 3 6" xfId="37962"/>
    <cellStyle name="Normal 6 6 3 7" xfId="53801"/>
    <cellStyle name="Normal 6 6 4" xfId="216"/>
    <cellStyle name="Normal 6 6 4 2" xfId="352"/>
    <cellStyle name="Normal 6 6 4 2 2" xfId="37976"/>
    <cellStyle name="Normal 6 6 4 2 3" xfId="37975"/>
    <cellStyle name="Normal 6 6 4 3" xfId="475"/>
    <cellStyle name="Normal 6 6 4 3 2" xfId="37978"/>
    <cellStyle name="Normal 6 6 4 3 2 2" xfId="37979"/>
    <cellStyle name="Normal 6 6 4 3 3" xfId="37980"/>
    <cellStyle name="Normal 6 6 4 3 4" xfId="37977"/>
    <cellStyle name="Normal 6 6 4 4" xfId="655"/>
    <cellStyle name="Normal 6 6 4 4 2" xfId="37982"/>
    <cellStyle name="Normal 6 6 4 4 2 2" xfId="37983"/>
    <cellStyle name="Normal 6 6 4 4 3" xfId="37984"/>
    <cellStyle name="Normal 6 6 4 4 4" xfId="37981"/>
    <cellStyle name="Normal 6 6 4 5" xfId="37985"/>
    <cellStyle name="Normal 6 6 4 6" xfId="37974"/>
    <cellStyle name="Normal 6 6 4 7" xfId="53842"/>
    <cellStyle name="Normal 6 6 5" xfId="270"/>
    <cellStyle name="Normal 6 6 5 2" xfId="37987"/>
    <cellStyle name="Normal 6 6 5 3" xfId="37986"/>
    <cellStyle name="Normal 6 6 6" xfId="393"/>
    <cellStyle name="Normal 6 6 6 2" xfId="37989"/>
    <cellStyle name="Normal 6 6 6 2 2" xfId="37990"/>
    <cellStyle name="Normal 6 6 6 3" xfId="37991"/>
    <cellStyle name="Normal 6 6 6 4" xfId="37988"/>
    <cellStyle name="Normal 6 6 7" xfId="516"/>
    <cellStyle name="Normal 6 6 7 2" xfId="37993"/>
    <cellStyle name="Normal 6 6 7 2 2" xfId="37994"/>
    <cellStyle name="Normal 6 6 7 3" xfId="37995"/>
    <cellStyle name="Normal 6 6 7 4" xfId="37992"/>
    <cellStyle name="Normal 6 6 8" xfId="650"/>
    <cellStyle name="Normal 6 6 8 2" xfId="37996"/>
    <cellStyle name="Normal 6 6 9" xfId="37939"/>
    <cellStyle name="Normal 6 7" xfId="143"/>
    <cellStyle name="Normal 6 7 10" xfId="37997"/>
    <cellStyle name="Normal 6 7 11" xfId="53726"/>
    <cellStyle name="Normal 6 7 12" xfId="53783"/>
    <cellStyle name="Normal 6 7 2" xfId="184"/>
    <cellStyle name="Normal 6 7 2 2" xfId="320"/>
    <cellStyle name="Normal 6 7 2 2 2" xfId="38000"/>
    <cellStyle name="Normal 6 7 2 2 2 2" xfId="38001"/>
    <cellStyle name="Normal 6 7 2 2 3" xfId="38002"/>
    <cellStyle name="Normal 6 7 2 2 3 2" xfId="38003"/>
    <cellStyle name="Normal 6 7 2 2 3 2 2" xfId="38004"/>
    <cellStyle name="Normal 6 7 2 2 3 3" xfId="38005"/>
    <cellStyle name="Normal 6 7 2 2 4" xfId="38006"/>
    <cellStyle name="Normal 6 7 2 2 5" xfId="37999"/>
    <cellStyle name="Normal 6 7 2 3" xfId="443"/>
    <cellStyle name="Normal 6 7 2 3 2" xfId="38008"/>
    <cellStyle name="Normal 6 7 2 3 2 2" xfId="38009"/>
    <cellStyle name="Normal 6 7 2 3 3" xfId="38010"/>
    <cellStyle name="Normal 6 7 2 3 4" xfId="38007"/>
    <cellStyle name="Normal 6 7 2 4" xfId="657"/>
    <cellStyle name="Normal 6 7 2 4 2" xfId="38012"/>
    <cellStyle name="Normal 6 7 2 4 2 2" xfId="38013"/>
    <cellStyle name="Normal 6 7 2 4 3" xfId="38014"/>
    <cellStyle name="Normal 6 7 2 4 4" xfId="38011"/>
    <cellStyle name="Normal 6 7 2 5" xfId="38015"/>
    <cellStyle name="Normal 6 7 2 5 2" xfId="38016"/>
    <cellStyle name="Normal 6 7 2 5 2 2" xfId="38017"/>
    <cellStyle name="Normal 6 7 2 5 3" xfId="38018"/>
    <cellStyle name="Normal 6 7 2 6" xfId="38019"/>
    <cellStyle name="Normal 6 7 2 7" xfId="37998"/>
    <cellStyle name="Normal 6 7 2 8" xfId="53810"/>
    <cellStyle name="Normal 6 7 3" xfId="225"/>
    <cellStyle name="Normal 6 7 3 2" xfId="361"/>
    <cellStyle name="Normal 6 7 3 2 2" xfId="38022"/>
    <cellStyle name="Normal 6 7 3 2 2 2" xfId="38023"/>
    <cellStyle name="Normal 6 7 3 2 2 2 2" xfId="38024"/>
    <cellStyle name="Normal 6 7 3 2 2 3" xfId="38025"/>
    <cellStyle name="Normal 6 7 3 2 2 3 2" xfId="38026"/>
    <cellStyle name="Normal 6 7 3 2 2 3 2 2" xfId="38027"/>
    <cellStyle name="Normal 6 7 3 2 2 3 3" xfId="38028"/>
    <cellStyle name="Normal 6 7 3 2 2 4" xfId="38029"/>
    <cellStyle name="Normal 6 7 3 2 3" xfId="38030"/>
    <cellStyle name="Normal 6 7 3 2 3 2" xfId="38031"/>
    <cellStyle name="Normal 6 7 3 2 3 2 2" xfId="38032"/>
    <cellStyle name="Normal 6 7 3 2 3 3" xfId="38033"/>
    <cellStyle name="Normal 6 7 3 2 4" xfId="38034"/>
    <cellStyle name="Normal 6 7 3 2 4 2" xfId="38035"/>
    <cellStyle name="Normal 6 7 3 2 4 2 2" xfId="38036"/>
    <cellStyle name="Normal 6 7 3 2 4 3" xfId="38037"/>
    <cellStyle name="Normal 6 7 3 2 5" xfId="38038"/>
    <cellStyle name="Normal 6 7 3 2 6" xfId="38021"/>
    <cellStyle name="Normal 6 7 3 3" xfId="484"/>
    <cellStyle name="Normal 6 7 3 3 2" xfId="38040"/>
    <cellStyle name="Normal 6 7 3 3 2 2" xfId="38041"/>
    <cellStyle name="Normal 6 7 3 3 3" xfId="38042"/>
    <cellStyle name="Normal 6 7 3 3 3 2" xfId="38043"/>
    <cellStyle name="Normal 6 7 3 3 3 2 2" xfId="38044"/>
    <cellStyle name="Normal 6 7 3 3 3 3" xfId="38045"/>
    <cellStyle name="Normal 6 7 3 3 4" xfId="38046"/>
    <cellStyle name="Normal 6 7 3 3 5" xfId="38039"/>
    <cellStyle name="Normal 6 7 3 4" xfId="658"/>
    <cellStyle name="Normal 6 7 3 4 2" xfId="38048"/>
    <cellStyle name="Normal 6 7 3 4 2 2" xfId="38049"/>
    <cellStyle name="Normal 6 7 3 4 3" xfId="38050"/>
    <cellStyle name="Normal 6 7 3 4 4" xfId="38047"/>
    <cellStyle name="Normal 6 7 3 5" xfId="38051"/>
    <cellStyle name="Normal 6 7 3 5 2" xfId="38052"/>
    <cellStyle name="Normal 6 7 3 5 2 2" xfId="38053"/>
    <cellStyle name="Normal 6 7 3 5 3" xfId="38054"/>
    <cellStyle name="Normal 6 7 3 6" xfId="38055"/>
    <cellStyle name="Normal 6 7 3 7" xfId="38020"/>
    <cellStyle name="Normal 6 7 3 8" xfId="53851"/>
    <cellStyle name="Normal 6 7 4" xfId="279"/>
    <cellStyle name="Normal 6 7 4 2" xfId="38057"/>
    <cellStyle name="Normal 6 7 4 2 2" xfId="38058"/>
    <cellStyle name="Normal 6 7 4 3" xfId="38059"/>
    <cellStyle name="Normal 6 7 4 3 2" xfId="38060"/>
    <cellStyle name="Normal 6 7 4 3 2 2" xfId="38061"/>
    <cellStyle name="Normal 6 7 4 3 3" xfId="38062"/>
    <cellStyle name="Normal 6 7 4 4" xfId="38063"/>
    <cellStyle name="Normal 6 7 4 5" xfId="38056"/>
    <cellStyle name="Normal 6 7 5" xfId="402"/>
    <cellStyle name="Normal 6 7 5 2" xfId="38065"/>
    <cellStyle name="Normal 6 7 5 2 2" xfId="38066"/>
    <cellStyle name="Normal 6 7 5 3" xfId="38067"/>
    <cellStyle name="Normal 6 7 5 4" xfId="38064"/>
    <cellStyle name="Normal 6 7 6" xfId="525"/>
    <cellStyle name="Normal 6 7 6 2" xfId="38069"/>
    <cellStyle name="Normal 6 7 6 2 2" xfId="38070"/>
    <cellStyle name="Normal 6 7 6 3" xfId="38071"/>
    <cellStyle name="Normal 6 7 6 4" xfId="38068"/>
    <cellStyle name="Normal 6 7 7" xfId="656"/>
    <cellStyle name="Normal 6 7 7 2" xfId="38073"/>
    <cellStyle name="Normal 6 7 7 2 2" xfId="38074"/>
    <cellStyle name="Normal 6 7 7 3" xfId="38075"/>
    <cellStyle name="Normal 6 7 7 4" xfId="38072"/>
    <cellStyle name="Normal 6 7 8" xfId="38076"/>
    <cellStyle name="Normal 6 7 8 2" xfId="38077"/>
    <cellStyle name="Normal 6 7 8 2 2" xfId="38078"/>
    <cellStyle name="Normal 6 7 8 2 2 2" xfId="38079"/>
    <cellStyle name="Normal 6 7 8 2 3" xfId="38080"/>
    <cellStyle name="Normal 6 7 8 3" xfId="38081"/>
    <cellStyle name="Normal 6 7 8 3 2" xfId="38082"/>
    <cellStyle name="Normal 6 7 8 3 2 2" xfId="38083"/>
    <cellStyle name="Normal 6 7 8 3 3" xfId="38084"/>
    <cellStyle name="Normal 6 7 8 4" xfId="38085"/>
    <cellStyle name="Normal 6 7 8 4 2" xfId="38086"/>
    <cellStyle name="Normal 6 7 8 5" xfId="38087"/>
    <cellStyle name="Normal 6 7 8 5 2" xfId="38088"/>
    <cellStyle name="Normal 6 7 8 6" xfId="38089"/>
    <cellStyle name="Normal 6 7 9" xfId="38090"/>
    <cellStyle name="Normal 6 8" xfId="135"/>
    <cellStyle name="Normal 6 8 10" xfId="53784"/>
    <cellStyle name="Normal 6 8 2" xfId="179"/>
    <cellStyle name="Normal 6 8 2 2" xfId="315"/>
    <cellStyle name="Normal 6 8 2 2 2" xfId="38093"/>
    <cellStyle name="Normal 6 8 2 3" xfId="438"/>
    <cellStyle name="Normal 6 8 2 4" xfId="660"/>
    <cellStyle name="Normal 6 8 2 5" xfId="38092"/>
    <cellStyle name="Normal 6 8 2 6" xfId="53805"/>
    <cellStyle name="Normal 6 8 3" xfId="220"/>
    <cellStyle name="Normal 6 8 3 2" xfId="356"/>
    <cellStyle name="Normal 6 8 3 3" xfId="479"/>
    <cellStyle name="Normal 6 8 3 4" xfId="661"/>
    <cellStyle name="Normal 6 8 3 5" xfId="38094"/>
    <cellStyle name="Normal 6 8 3 6" xfId="53846"/>
    <cellStyle name="Normal 6 8 4" xfId="274"/>
    <cellStyle name="Normal 6 8 5" xfId="397"/>
    <cellStyle name="Normal 6 8 6" xfId="520"/>
    <cellStyle name="Normal 6 8 7" xfId="659"/>
    <cellStyle name="Normal 6 8 8" xfId="38091"/>
    <cellStyle name="Normal 6 8 9" xfId="53721"/>
    <cellStyle name="Normal 6 9" xfId="161"/>
    <cellStyle name="Normal 6 9 2" xfId="297"/>
    <cellStyle name="Normal 6 9 2 2" xfId="38097"/>
    <cellStyle name="Normal 6 9 2 2 2" xfId="38098"/>
    <cellStyle name="Normal 6 9 2 3" xfId="38099"/>
    <cellStyle name="Normal 6 9 2 4" xfId="38096"/>
    <cellStyle name="Normal 6 9 3" xfId="420"/>
    <cellStyle name="Normal 6 9 3 2" xfId="38101"/>
    <cellStyle name="Normal 6 9 3 2 2" xfId="38102"/>
    <cellStyle name="Normal 6 9 3 3" xfId="38103"/>
    <cellStyle name="Normal 6 9 3 4" xfId="38100"/>
    <cellStyle name="Normal 6 9 4" xfId="662"/>
    <cellStyle name="Normal 6 9 4 2" xfId="38105"/>
    <cellStyle name="Normal 6 9 4 3" xfId="38104"/>
    <cellStyle name="Normal 6 9 5" xfId="38106"/>
    <cellStyle name="Normal 6 9 5 2" xfId="38107"/>
    <cellStyle name="Normal 6 9 6" xfId="38108"/>
    <cellStyle name="Normal 6 9 7" xfId="38095"/>
    <cellStyle name="Normal 6 9 8" xfId="53787"/>
    <cellStyle name="Normal 60" xfId="38109"/>
    <cellStyle name="Normal 60 2" xfId="38110"/>
    <cellStyle name="Normal 60 2 2" xfId="38111"/>
    <cellStyle name="Normal 60 2 2 2" xfId="38112"/>
    <cellStyle name="Normal 60 2 3" xfId="38113"/>
    <cellStyle name="Normal 60 2 3 2" xfId="38114"/>
    <cellStyle name="Normal 60 2 3 2 2" xfId="38115"/>
    <cellStyle name="Normal 60 2 3 3" xfId="38116"/>
    <cellStyle name="Normal 60 2 4" xfId="38117"/>
    <cellStyle name="Normal 60 2 4 2" xfId="38118"/>
    <cellStyle name="Normal 60 2 4 2 2" xfId="38119"/>
    <cellStyle name="Normal 60 2 4 3" xfId="38120"/>
    <cellStyle name="Normal 60 2 5" xfId="38121"/>
    <cellStyle name="Normal 60 3" xfId="38122"/>
    <cellStyle name="Normal 60 3 2" xfId="38123"/>
    <cellStyle name="Normal 60 3 2 2" xfId="38124"/>
    <cellStyle name="Normal 60 3 2 2 2" xfId="38125"/>
    <cellStyle name="Normal 60 3 2 3" xfId="38126"/>
    <cellStyle name="Normal 60 3 2 3 2" xfId="38127"/>
    <cellStyle name="Normal 60 3 2 3 2 2" xfId="38128"/>
    <cellStyle name="Normal 60 3 2 3 3" xfId="38129"/>
    <cellStyle name="Normal 60 3 2 4" xfId="38130"/>
    <cellStyle name="Normal 60 3 3" xfId="38131"/>
    <cellStyle name="Normal 60 3 3 2" xfId="38132"/>
    <cellStyle name="Normal 60 3 3 2 2" xfId="38133"/>
    <cellStyle name="Normal 60 3 3 3" xfId="38134"/>
    <cellStyle name="Normal 60 3 4" xfId="38135"/>
    <cellStyle name="Normal 60 3 4 2" xfId="38136"/>
    <cellStyle name="Normal 60 3 4 2 2" xfId="38137"/>
    <cellStyle name="Normal 60 3 4 3" xfId="38138"/>
    <cellStyle name="Normal 60 3 5" xfId="38139"/>
    <cellStyle name="Normal 60 3 5 2" xfId="38140"/>
    <cellStyle name="Normal 60 3 5 2 2" xfId="38141"/>
    <cellStyle name="Normal 60 3 5 3" xfId="38142"/>
    <cellStyle name="Normal 60 3 6" xfId="38143"/>
    <cellStyle name="Normal 60 4" xfId="38144"/>
    <cellStyle name="Normal 60 4 2" xfId="38145"/>
    <cellStyle name="Normal 60 4 2 2" xfId="38146"/>
    <cellStyle name="Normal 60 4 3" xfId="38147"/>
    <cellStyle name="Normal 60 5" xfId="38148"/>
    <cellStyle name="Normal 60 5 2" xfId="38149"/>
    <cellStyle name="Normal 60 5 2 2" xfId="38150"/>
    <cellStyle name="Normal 60 5 3" xfId="38151"/>
    <cellStyle name="Normal 60 6" xfId="38152"/>
    <cellStyle name="Normal 60 6 2" xfId="38153"/>
    <cellStyle name="Normal 60 6 2 2" xfId="38154"/>
    <cellStyle name="Normal 60 6 3" xfId="38155"/>
    <cellStyle name="Normal 60 7" xfId="38156"/>
    <cellStyle name="Normal 600" xfId="38157"/>
    <cellStyle name="Normal 600 2" xfId="38158"/>
    <cellStyle name="Normal 600 2 2" xfId="38159"/>
    <cellStyle name="Normal 600 3" xfId="38160"/>
    <cellStyle name="Normal 601" xfId="38161"/>
    <cellStyle name="Normal 601 2" xfId="38162"/>
    <cellStyle name="Normal 601 2 2" xfId="38163"/>
    <cellStyle name="Normal 601 3" xfId="38164"/>
    <cellStyle name="Normal 602" xfId="38165"/>
    <cellStyle name="Normal 602 2" xfId="38166"/>
    <cellStyle name="Normal 602 2 2" xfId="38167"/>
    <cellStyle name="Normal 602 3" xfId="38168"/>
    <cellStyle name="Normal 603" xfId="38169"/>
    <cellStyle name="Normal 603 2" xfId="38170"/>
    <cellStyle name="Normal 603 2 2" xfId="38171"/>
    <cellStyle name="Normal 603 3" xfId="38172"/>
    <cellStyle name="Normal 604" xfId="38173"/>
    <cellStyle name="Normal 604 2" xfId="38174"/>
    <cellStyle name="Normal 604 2 2" xfId="38175"/>
    <cellStyle name="Normal 604 3" xfId="38176"/>
    <cellStyle name="Normal 605" xfId="38177"/>
    <cellStyle name="Normal 605 2" xfId="38178"/>
    <cellStyle name="Normal 605 2 2" xfId="38179"/>
    <cellStyle name="Normal 605 3" xfId="38180"/>
    <cellStyle name="Normal 606" xfId="38181"/>
    <cellStyle name="Normal 606 2" xfId="38182"/>
    <cellStyle name="Normal 606 2 2" xfId="38183"/>
    <cellStyle name="Normal 606 3" xfId="38184"/>
    <cellStyle name="Normal 607" xfId="38185"/>
    <cellStyle name="Normal 607 2" xfId="38186"/>
    <cellStyle name="Normal 608" xfId="38187"/>
    <cellStyle name="Normal 608 2" xfId="38188"/>
    <cellStyle name="Normal 609" xfId="38189"/>
    <cellStyle name="Normal 609 2" xfId="38190"/>
    <cellStyle name="Normal 61" xfId="38191"/>
    <cellStyle name="Normal 61 2" xfId="38192"/>
    <cellStyle name="Normal 61 2 2" xfId="38193"/>
    <cellStyle name="Normal 61 2 2 2" xfId="38194"/>
    <cellStyle name="Normal 61 2 3" xfId="38195"/>
    <cellStyle name="Normal 61 2 3 2" xfId="38196"/>
    <cellStyle name="Normal 61 2 3 2 2" xfId="38197"/>
    <cellStyle name="Normal 61 2 3 3" xfId="38198"/>
    <cellStyle name="Normal 61 2 4" xfId="38199"/>
    <cellStyle name="Normal 61 2 4 2" xfId="38200"/>
    <cellStyle name="Normal 61 2 4 2 2" xfId="38201"/>
    <cellStyle name="Normal 61 2 4 3" xfId="38202"/>
    <cellStyle name="Normal 61 2 5" xfId="38203"/>
    <cellStyle name="Normal 61 3" xfId="38204"/>
    <cellStyle name="Normal 61 3 2" xfId="38205"/>
    <cellStyle name="Normal 61 3 2 2" xfId="38206"/>
    <cellStyle name="Normal 61 3 2 2 2" xfId="38207"/>
    <cellStyle name="Normal 61 3 2 3" xfId="38208"/>
    <cellStyle name="Normal 61 3 2 3 2" xfId="38209"/>
    <cellStyle name="Normal 61 3 2 3 2 2" xfId="38210"/>
    <cellStyle name="Normal 61 3 2 3 3" xfId="38211"/>
    <cellStyle name="Normal 61 3 2 4" xfId="38212"/>
    <cellStyle name="Normal 61 3 3" xfId="38213"/>
    <cellStyle name="Normal 61 3 3 2" xfId="38214"/>
    <cellStyle name="Normal 61 3 3 2 2" xfId="38215"/>
    <cellStyle name="Normal 61 3 3 3" xfId="38216"/>
    <cellStyle name="Normal 61 3 4" xfId="38217"/>
    <cellStyle name="Normal 61 3 4 2" xfId="38218"/>
    <cellStyle name="Normal 61 3 4 2 2" xfId="38219"/>
    <cellStyle name="Normal 61 3 4 3" xfId="38220"/>
    <cellStyle name="Normal 61 3 5" xfId="38221"/>
    <cellStyle name="Normal 61 3 5 2" xfId="38222"/>
    <cellStyle name="Normal 61 3 5 2 2" xfId="38223"/>
    <cellStyle name="Normal 61 3 5 3" xfId="38224"/>
    <cellStyle name="Normal 61 3 6" xfId="38225"/>
    <cellStyle name="Normal 61 4" xfId="38226"/>
    <cellStyle name="Normal 61 4 2" xfId="38227"/>
    <cellStyle name="Normal 61 4 2 2" xfId="38228"/>
    <cellStyle name="Normal 61 4 3" xfId="38229"/>
    <cellStyle name="Normal 61 5" xfId="38230"/>
    <cellStyle name="Normal 61 5 2" xfId="38231"/>
    <cellStyle name="Normal 61 5 2 2" xfId="38232"/>
    <cellStyle name="Normal 61 5 3" xfId="38233"/>
    <cellStyle name="Normal 61 6" xfId="38234"/>
    <cellStyle name="Normal 61 6 2" xfId="38235"/>
    <cellStyle name="Normal 61 6 2 2" xfId="38236"/>
    <cellStyle name="Normal 61 6 3" xfId="38237"/>
    <cellStyle name="Normal 61 7" xfId="38238"/>
    <cellStyle name="Normal 610" xfId="38239"/>
    <cellStyle name="Normal 610 2" xfId="38240"/>
    <cellStyle name="Normal 610 2 2" xfId="38241"/>
    <cellStyle name="Normal 610 3" xfId="38242"/>
    <cellStyle name="Normal 611" xfId="38243"/>
    <cellStyle name="Normal 611 2" xfId="38244"/>
    <cellStyle name="Normal 611 2 2" xfId="38245"/>
    <cellStyle name="Normal 611 3" xfId="38246"/>
    <cellStyle name="Normal 612" xfId="38247"/>
    <cellStyle name="Normal 612 2" xfId="38248"/>
    <cellStyle name="Normal 612 2 2" xfId="38249"/>
    <cellStyle name="Normal 612 3" xfId="38250"/>
    <cellStyle name="Normal 613" xfId="38251"/>
    <cellStyle name="Normal 613 2" xfId="38252"/>
    <cellStyle name="Normal 613 2 2" xfId="38253"/>
    <cellStyle name="Normal 613 3" xfId="38254"/>
    <cellStyle name="Normal 614" xfId="38255"/>
    <cellStyle name="Normal 614 2" xfId="38256"/>
    <cellStyle name="Normal 614 2 2" xfId="38257"/>
    <cellStyle name="Normal 614 3" xfId="38258"/>
    <cellStyle name="Normal 615" xfId="38259"/>
    <cellStyle name="Normal 615 2" xfId="38260"/>
    <cellStyle name="Normal 615 2 2" xfId="38261"/>
    <cellStyle name="Normal 615 3" xfId="38262"/>
    <cellStyle name="Normal 616" xfId="38263"/>
    <cellStyle name="Normal 616 2" xfId="38264"/>
    <cellStyle name="Normal 617" xfId="38265"/>
    <cellStyle name="Normal 617 2" xfId="38266"/>
    <cellStyle name="Normal 618" xfId="38267"/>
    <cellStyle name="Normal 618 2" xfId="38268"/>
    <cellStyle name="Normal 619" xfId="38269"/>
    <cellStyle name="Normal 619 2" xfId="38270"/>
    <cellStyle name="Normal 62" xfId="38271"/>
    <cellStyle name="Normal 62 2" xfId="38272"/>
    <cellStyle name="Normal 62 2 2" xfId="38273"/>
    <cellStyle name="Normal 62 2 2 2" xfId="38274"/>
    <cellStyle name="Normal 62 2 2 2 2" xfId="38275"/>
    <cellStyle name="Normal 62 2 2 3" xfId="38276"/>
    <cellStyle name="Normal 62 2 2 3 2" xfId="38277"/>
    <cellStyle name="Normal 62 2 2 3 2 2" xfId="38278"/>
    <cellStyle name="Normal 62 2 2 3 3" xfId="38279"/>
    <cellStyle name="Normal 62 2 2 4" xfId="38280"/>
    <cellStyle name="Normal 62 2 2 4 2" xfId="38281"/>
    <cellStyle name="Normal 62 2 2 4 2 2" xfId="38282"/>
    <cellStyle name="Normal 62 2 2 4 3" xfId="38283"/>
    <cellStyle name="Normal 62 2 2 5" xfId="38284"/>
    <cellStyle name="Normal 62 2 3" xfId="38285"/>
    <cellStyle name="Normal 62 2 3 2" xfId="38286"/>
    <cellStyle name="Normal 62 2 3 2 2" xfId="38287"/>
    <cellStyle name="Normal 62 2 3 3" xfId="38288"/>
    <cellStyle name="Normal 62 2 4" xfId="38289"/>
    <cellStyle name="Normal 62 2 4 2" xfId="38290"/>
    <cellStyle name="Normal 62 2 4 2 2" xfId="38291"/>
    <cellStyle name="Normal 62 2 4 3" xfId="38292"/>
    <cellStyle name="Normal 62 2 5" xfId="38293"/>
    <cellStyle name="Normal 62 2 5 2" xfId="38294"/>
    <cellStyle name="Normal 62 2 5 2 2" xfId="38295"/>
    <cellStyle name="Normal 62 2 5 3" xfId="38296"/>
    <cellStyle name="Normal 62 2 6" xfId="38297"/>
    <cellStyle name="Normal 62 3" xfId="38298"/>
    <cellStyle name="Normal 62 3 2" xfId="38299"/>
    <cellStyle name="Normal 62 3 2 2" xfId="38300"/>
    <cellStyle name="Normal 62 3 3" xfId="38301"/>
    <cellStyle name="Normal 62 3 3 2" xfId="38302"/>
    <cellStyle name="Normal 62 3 3 2 2" xfId="38303"/>
    <cellStyle name="Normal 62 3 3 3" xfId="38304"/>
    <cellStyle name="Normal 62 3 4" xfId="38305"/>
    <cellStyle name="Normal 62 3 4 2" xfId="38306"/>
    <cellStyle name="Normal 62 3 4 2 2" xfId="38307"/>
    <cellStyle name="Normal 62 3 4 3" xfId="38308"/>
    <cellStyle name="Normal 62 3 5" xfId="38309"/>
    <cellStyle name="Normal 62 4" xfId="38310"/>
    <cellStyle name="Normal 62 4 2" xfId="38311"/>
    <cellStyle name="Normal 62 4 2 2" xfId="38312"/>
    <cellStyle name="Normal 62 4 3" xfId="38313"/>
    <cellStyle name="Normal 62 5" xfId="38314"/>
    <cellStyle name="Normal 62 5 2" xfId="38315"/>
    <cellStyle name="Normal 62 5 2 2" xfId="38316"/>
    <cellStyle name="Normal 62 5 3" xfId="38317"/>
    <cellStyle name="Normal 62 6" xfId="38318"/>
    <cellStyle name="Normal 62 6 2" xfId="38319"/>
    <cellStyle name="Normal 62 6 2 2" xfId="38320"/>
    <cellStyle name="Normal 62 6 3" xfId="38321"/>
    <cellStyle name="Normal 62 7" xfId="38322"/>
    <cellStyle name="Normal 620" xfId="38323"/>
    <cellStyle name="Normal 620 2" xfId="38324"/>
    <cellStyle name="Normal 621" xfId="38325"/>
    <cellStyle name="Normal 621 2" xfId="38326"/>
    <cellStyle name="Normal 621 2 2" xfId="38327"/>
    <cellStyle name="Normal 621 3" xfId="38328"/>
    <cellStyle name="Normal 622" xfId="38329"/>
    <cellStyle name="Normal 622 2" xfId="38330"/>
    <cellStyle name="Normal 623" xfId="38331"/>
    <cellStyle name="Normal 623 2" xfId="38332"/>
    <cellStyle name="Normal 623 2 2" xfId="38333"/>
    <cellStyle name="Normal 623 3" xfId="38334"/>
    <cellStyle name="Normal 624" xfId="38335"/>
    <cellStyle name="Normal 624 2" xfId="38336"/>
    <cellStyle name="Normal 624 2 2" xfId="38337"/>
    <cellStyle name="Normal 624 3" xfId="38338"/>
    <cellStyle name="Normal 625" xfId="38339"/>
    <cellStyle name="Normal 625 2" xfId="38340"/>
    <cellStyle name="Normal 625 2 2" xfId="38341"/>
    <cellStyle name="Normal 625 3" xfId="38342"/>
    <cellStyle name="Normal 626" xfId="38343"/>
    <cellStyle name="Normal 626 2" xfId="38344"/>
    <cellStyle name="Normal 626 2 2" xfId="38345"/>
    <cellStyle name="Normal 626 3" xfId="38346"/>
    <cellStyle name="Normal 627" xfId="38347"/>
    <cellStyle name="Normal 627 2" xfId="38348"/>
    <cellStyle name="Normal 627 2 2" xfId="38349"/>
    <cellStyle name="Normal 627 3" xfId="38350"/>
    <cellStyle name="Normal 628" xfId="38351"/>
    <cellStyle name="Normal 628 2" xfId="38352"/>
    <cellStyle name="Normal 629" xfId="38353"/>
    <cellStyle name="Normal 629 2" xfId="38354"/>
    <cellStyle name="Normal 63" xfId="38355"/>
    <cellStyle name="Normal 63 2" xfId="38356"/>
    <cellStyle name="Normal 63 2 2" xfId="38357"/>
    <cellStyle name="Normal 63 2 2 2" xfId="38358"/>
    <cellStyle name="Normal 63 2 2 2 2" xfId="38359"/>
    <cellStyle name="Normal 63 2 2 3" xfId="38360"/>
    <cellStyle name="Normal 63 2 2 3 2" xfId="38361"/>
    <cellStyle name="Normal 63 2 2 3 2 2" xfId="38362"/>
    <cellStyle name="Normal 63 2 2 3 3" xfId="38363"/>
    <cellStyle name="Normal 63 2 2 4" xfId="38364"/>
    <cellStyle name="Normal 63 2 2 4 2" xfId="38365"/>
    <cellStyle name="Normal 63 2 2 4 2 2" xfId="38366"/>
    <cellStyle name="Normal 63 2 2 4 3" xfId="38367"/>
    <cellStyle name="Normal 63 2 2 5" xfId="38368"/>
    <cellStyle name="Normal 63 2 3" xfId="38369"/>
    <cellStyle name="Normal 63 2 3 2" xfId="38370"/>
    <cellStyle name="Normal 63 2 3 2 2" xfId="38371"/>
    <cellStyle name="Normal 63 2 3 3" xfId="38372"/>
    <cellStyle name="Normal 63 2 4" xfId="38373"/>
    <cellStyle name="Normal 63 2 4 2" xfId="38374"/>
    <cellStyle name="Normal 63 2 4 2 2" xfId="38375"/>
    <cellStyle name="Normal 63 2 4 3" xfId="38376"/>
    <cellStyle name="Normal 63 2 5" xfId="38377"/>
    <cellStyle name="Normal 63 2 5 2" xfId="38378"/>
    <cellStyle name="Normal 63 2 5 2 2" xfId="38379"/>
    <cellStyle name="Normal 63 2 5 3" xfId="38380"/>
    <cellStyle name="Normal 63 2 6" xfId="38381"/>
    <cellStyle name="Normal 63 3" xfId="38382"/>
    <cellStyle name="Normal 63 3 2" xfId="38383"/>
    <cellStyle name="Normal 63 3 2 2" xfId="38384"/>
    <cellStyle name="Normal 63 3 3" xfId="38385"/>
    <cellStyle name="Normal 63 3 3 2" xfId="38386"/>
    <cellStyle name="Normal 63 3 3 2 2" xfId="38387"/>
    <cellStyle name="Normal 63 3 3 3" xfId="38388"/>
    <cellStyle name="Normal 63 3 4" xfId="38389"/>
    <cellStyle name="Normal 63 3 4 2" xfId="38390"/>
    <cellStyle name="Normal 63 3 4 2 2" xfId="38391"/>
    <cellStyle name="Normal 63 3 4 3" xfId="38392"/>
    <cellStyle name="Normal 63 3 5" xfId="38393"/>
    <cellStyle name="Normal 63 4" xfId="38394"/>
    <cellStyle name="Normal 63 4 2" xfId="38395"/>
    <cellStyle name="Normal 63 4 2 2" xfId="38396"/>
    <cellStyle name="Normal 63 4 3" xfId="38397"/>
    <cellStyle name="Normal 63 5" xfId="38398"/>
    <cellStyle name="Normal 63 5 2" xfId="38399"/>
    <cellStyle name="Normal 63 5 2 2" xfId="38400"/>
    <cellStyle name="Normal 63 5 3" xfId="38401"/>
    <cellStyle name="Normal 63 6" xfId="38402"/>
    <cellStyle name="Normal 63 6 2" xfId="38403"/>
    <cellStyle name="Normal 63 6 2 2" xfId="38404"/>
    <cellStyle name="Normal 63 6 3" xfId="38405"/>
    <cellStyle name="Normal 63 7" xfId="38406"/>
    <cellStyle name="Normal 630" xfId="38407"/>
    <cellStyle name="Normal 630 2" xfId="38408"/>
    <cellStyle name="Normal 631" xfId="38409"/>
    <cellStyle name="Normal 631 2" xfId="38410"/>
    <cellStyle name="Normal 632" xfId="38411"/>
    <cellStyle name="Normal 632 2" xfId="38412"/>
    <cellStyle name="Normal 633" xfId="38413"/>
    <cellStyle name="Normal 633 2" xfId="38414"/>
    <cellStyle name="Normal 634" xfId="38415"/>
    <cellStyle name="Normal 634 2" xfId="38416"/>
    <cellStyle name="Normal 635" xfId="38417"/>
    <cellStyle name="Normal 635 2" xfId="38418"/>
    <cellStyle name="Normal 636" xfId="38419"/>
    <cellStyle name="Normal 636 2" xfId="38420"/>
    <cellStyle name="Normal 637" xfId="38421"/>
    <cellStyle name="Normal 638" xfId="38422"/>
    <cellStyle name="Normal 639" xfId="38423"/>
    <cellStyle name="Normal 64" xfId="38424"/>
    <cellStyle name="Normal 64 2" xfId="38425"/>
    <cellStyle name="Normal 64 2 2" xfId="38426"/>
    <cellStyle name="Normal 64 2 2 2" xfId="38427"/>
    <cellStyle name="Normal 64 2 2 2 2" xfId="38428"/>
    <cellStyle name="Normal 64 2 2 3" xfId="38429"/>
    <cellStyle name="Normal 64 2 2 3 2" xfId="38430"/>
    <cellStyle name="Normal 64 2 2 3 2 2" xfId="38431"/>
    <cellStyle name="Normal 64 2 2 3 3" xfId="38432"/>
    <cellStyle name="Normal 64 2 2 4" xfId="38433"/>
    <cellStyle name="Normal 64 2 2 4 2" xfId="38434"/>
    <cellStyle name="Normal 64 2 2 4 2 2" xfId="38435"/>
    <cellStyle name="Normal 64 2 2 4 3" xfId="38436"/>
    <cellStyle name="Normal 64 2 2 5" xfId="38437"/>
    <cellStyle name="Normal 64 2 3" xfId="38438"/>
    <cellStyle name="Normal 64 2 3 2" xfId="38439"/>
    <cellStyle name="Normal 64 2 3 2 2" xfId="38440"/>
    <cellStyle name="Normal 64 2 3 3" xfId="38441"/>
    <cellStyle name="Normal 64 2 4" xfId="38442"/>
    <cellStyle name="Normal 64 2 4 2" xfId="38443"/>
    <cellStyle name="Normal 64 2 4 2 2" xfId="38444"/>
    <cellStyle name="Normal 64 2 4 3" xfId="38445"/>
    <cellStyle name="Normal 64 2 5" xfId="38446"/>
    <cellStyle name="Normal 64 2 5 2" xfId="38447"/>
    <cellStyle name="Normal 64 2 5 2 2" xfId="38448"/>
    <cellStyle name="Normal 64 2 5 3" xfId="38449"/>
    <cellStyle name="Normal 64 2 6" xfId="38450"/>
    <cellStyle name="Normal 64 3" xfId="38451"/>
    <cellStyle name="Normal 64 3 2" xfId="38452"/>
    <cellStyle name="Normal 64 3 2 2" xfId="38453"/>
    <cellStyle name="Normal 64 3 3" xfId="38454"/>
    <cellStyle name="Normal 64 3 3 2" xfId="38455"/>
    <cellStyle name="Normal 64 3 3 2 2" xfId="38456"/>
    <cellStyle name="Normal 64 3 3 3" xfId="38457"/>
    <cellStyle name="Normal 64 3 4" xfId="38458"/>
    <cellStyle name="Normal 64 3 4 2" xfId="38459"/>
    <cellStyle name="Normal 64 3 4 2 2" xfId="38460"/>
    <cellStyle name="Normal 64 3 4 3" xfId="38461"/>
    <cellStyle name="Normal 64 3 5" xfId="38462"/>
    <cellStyle name="Normal 64 4" xfId="38463"/>
    <cellStyle name="Normal 64 4 2" xfId="38464"/>
    <cellStyle name="Normal 64 4 2 2" xfId="38465"/>
    <cellStyle name="Normal 64 4 3" xfId="38466"/>
    <cellStyle name="Normal 64 5" xfId="38467"/>
    <cellStyle name="Normal 64 5 2" xfId="38468"/>
    <cellStyle name="Normal 64 5 2 2" xfId="38469"/>
    <cellStyle name="Normal 64 5 3" xfId="38470"/>
    <cellStyle name="Normal 64 6" xfId="38471"/>
    <cellStyle name="Normal 64 6 2" xfId="38472"/>
    <cellStyle name="Normal 64 6 2 2" xfId="38473"/>
    <cellStyle name="Normal 64 6 3" xfId="38474"/>
    <cellStyle name="Normal 64 7" xfId="38475"/>
    <cellStyle name="Normal 640" xfId="38476"/>
    <cellStyle name="Normal 641" xfId="38477"/>
    <cellStyle name="Normal 642" xfId="38478"/>
    <cellStyle name="Normal 643" xfId="38479"/>
    <cellStyle name="Normal 644" xfId="38480"/>
    <cellStyle name="Normal 645" xfId="38481"/>
    <cellStyle name="Normal 646" xfId="38482"/>
    <cellStyle name="Normal 647" xfId="38483"/>
    <cellStyle name="Normal 648" xfId="38484"/>
    <cellStyle name="Normal 649" xfId="38485"/>
    <cellStyle name="Normal 65" xfId="38486"/>
    <cellStyle name="Normal 65 2" xfId="38487"/>
    <cellStyle name="Normal 65 2 2" xfId="38488"/>
    <cellStyle name="Normal 65 2 2 2" xfId="38489"/>
    <cellStyle name="Normal 65 2 2 2 2" xfId="38490"/>
    <cellStyle name="Normal 65 2 2 3" xfId="38491"/>
    <cellStyle name="Normal 65 2 2 3 2" xfId="38492"/>
    <cellStyle name="Normal 65 2 2 3 2 2" xfId="38493"/>
    <cellStyle name="Normal 65 2 2 3 3" xfId="38494"/>
    <cellStyle name="Normal 65 2 2 4" xfId="38495"/>
    <cellStyle name="Normal 65 2 2 4 2" xfId="38496"/>
    <cellStyle name="Normal 65 2 2 4 2 2" xfId="38497"/>
    <cellStyle name="Normal 65 2 2 4 3" xfId="38498"/>
    <cellStyle name="Normal 65 2 2 5" xfId="38499"/>
    <cellStyle name="Normal 65 2 3" xfId="38500"/>
    <cellStyle name="Normal 65 2 3 2" xfId="38501"/>
    <cellStyle name="Normal 65 2 3 2 2" xfId="38502"/>
    <cellStyle name="Normal 65 2 3 3" xfId="38503"/>
    <cellStyle name="Normal 65 2 4" xfId="38504"/>
    <cellStyle name="Normal 65 2 4 2" xfId="38505"/>
    <cellStyle name="Normal 65 2 4 2 2" xfId="38506"/>
    <cellStyle name="Normal 65 2 4 3" xfId="38507"/>
    <cellStyle name="Normal 65 2 5" xfId="38508"/>
    <cellStyle name="Normal 65 2 5 2" xfId="38509"/>
    <cellStyle name="Normal 65 2 5 2 2" xfId="38510"/>
    <cellStyle name="Normal 65 2 5 3" xfId="38511"/>
    <cellStyle name="Normal 65 2 6" xfId="38512"/>
    <cellStyle name="Normal 65 3" xfId="38513"/>
    <cellStyle name="Normal 65 3 2" xfId="38514"/>
    <cellStyle name="Normal 65 3 2 2" xfId="38515"/>
    <cellStyle name="Normal 65 3 3" xfId="38516"/>
    <cellStyle name="Normal 65 3 3 2" xfId="38517"/>
    <cellStyle name="Normal 65 3 3 2 2" xfId="38518"/>
    <cellStyle name="Normal 65 3 3 3" xfId="38519"/>
    <cellStyle name="Normal 65 3 4" xfId="38520"/>
    <cellStyle name="Normal 65 3 4 2" xfId="38521"/>
    <cellStyle name="Normal 65 3 4 2 2" xfId="38522"/>
    <cellStyle name="Normal 65 3 4 3" xfId="38523"/>
    <cellStyle name="Normal 65 3 5" xfId="38524"/>
    <cellStyle name="Normal 65 4" xfId="38525"/>
    <cellStyle name="Normal 65 4 2" xfId="38526"/>
    <cellStyle name="Normal 65 4 2 2" xfId="38527"/>
    <cellStyle name="Normal 65 4 3" xfId="38528"/>
    <cellStyle name="Normal 65 5" xfId="38529"/>
    <cellStyle name="Normal 65 5 2" xfId="38530"/>
    <cellStyle name="Normal 65 5 2 2" xfId="38531"/>
    <cellStyle name="Normal 65 5 3" xfId="38532"/>
    <cellStyle name="Normal 65 6" xfId="38533"/>
    <cellStyle name="Normal 65 6 2" xfId="38534"/>
    <cellStyle name="Normal 65 6 2 2" xfId="38535"/>
    <cellStyle name="Normal 65 6 3" xfId="38536"/>
    <cellStyle name="Normal 65 7" xfId="38537"/>
    <cellStyle name="Normal 650" xfId="38538"/>
    <cellStyle name="Normal 651" xfId="38539"/>
    <cellStyle name="Normal 652" xfId="38540"/>
    <cellStyle name="Normal 653" xfId="38541"/>
    <cellStyle name="Normal 654" xfId="38542"/>
    <cellStyle name="Normal 655" xfId="38543"/>
    <cellStyle name="Normal 656" xfId="38544"/>
    <cellStyle name="Normal 657" xfId="38545"/>
    <cellStyle name="Normal 658" xfId="38546"/>
    <cellStyle name="Normal 659" xfId="38547"/>
    <cellStyle name="Normal 66" xfId="38548"/>
    <cellStyle name="Normal 66 2" xfId="38549"/>
    <cellStyle name="Normal 66 2 2" xfId="38550"/>
    <cellStyle name="Normal 66 2 2 2" xfId="38551"/>
    <cellStyle name="Normal 66 2 2 2 2" xfId="38552"/>
    <cellStyle name="Normal 66 2 2 3" xfId="38553"/>
    <cellStyle name="Normal 66 2 2 3 2" xfId="38554"/>
    <cellStyle name="Normal 66 2 2 3 2 2" xfId="38555"/>
    <cellStyle name="Normal 66 2 2 3 3" xfId="38556"/>
    <cellStyle name="Normal 66 2 2 4" xfId="38557"/>
    <cellStyle name="Normal 66 2 2 4 2" xfId="38558"/>
    <cellStyle name="Normal 66 2 2 4 2 2" xfId="38559"/>
    <cellStyle name="Normal 66 2 2 4 3" xfId="38560"/>
    <cellStyle name="Normal 66 2 2 5" xfId="38561"/>
    <cellStyle name="Normal 66 2 3" xfId="38562"/>
    <cellStyle name="Normal 66 2 3 2" xfId="38563"/>
    <cellStyle name="Normal 66 2 3 2 2" xfId="38564"/>
    <cellStyle name="Normal 66 2 3 3" xfId="38565"/>
    <cellStyle name="Normal 66 2 4" xfId="38566"/>
    <cellStyle name="Normal 66 2 4 2" xfId="38567"/>
    <cellStyle name="Normal 66 2 4 2 2" xfId="38568"/>
    <cellStyle name="Normal 66 2 4 3" xfId="38569"/>
    <cellStyle name="Normal 66 2 5" xfId="38570"/>
    <cellStyle name="Normal 66 2 5 2" xfId="38571"/>
    <cellStyle name="Normal 66 2 5 2 2" xfId="38572"/>
    <cellStyle name="Normal 66 2 5 3" xfId="38573"/>
    <cellStyle name="Normal 66 2 6" xfId="38574"/>
    <cellStyle name="Normal 66 3" xfId="38575"/>
    <cellStyle name="Normal 66 3 2" xfId="38576"/>
    <cellStyle name="Normal 66 3 2 2" xfId="38577"/>
    <cellStyle name="Normal 66 3 3" xfId="38578"/>
    <cellStyle name="Normal 66 3 3 2" xfId="38579"/>
    <cellStyle name="Normal 66 3 3 2 2" xfId="38580"/>
    <cellStyle name="Normal 66 3 3 3" xfId="38581"/>
    <cellStyle name="Normal 66 3 4" xfId="38582"/>
    <cellStyle name="Normal 66 3 4 2" xfId="38583"/>
    <cellStyle name="Normal 66 3 4 2 2" xfId="38584"/>
    <cellStyle name="Normal 66 3 4 3" xfId="38585"/>
    <cellStyle name="Normal 66 3 5" xfId="38586"/>
    <cellStyle name="Normal 66 4" xfId="38587"/>
    <cellStyle name="Normal 66 4 2" xfId="38588"/>
    <cellStyle name="Normal 66 4 2 2" xfId="38589"/>
    <cellStyle name="Normal 66 4 3" xfId="38590"/>
    <cellStyle name="Normal 66 5" xfId="38591"/>
    <cellStyle name="Normal 66 5 2" xfId="38592"/>
    <cellStyle name="Normal 66 5 2 2" xfId="38593"/>
    <cellStyle name="Normal 66 5 3" xfId="38594"/>
    <cellStyle name="Normal 66 6" xfId="38595"/>
    <cellStyle name="Normal 66 6 2" xfId="38596"/>
    <cellStyle name="Normal 66 6 2 2" xfId="38597"/>
    <cellStyle name="Normal 66 6 3" xfId="38598"/>
    <cellStyle name="Normal 66 7" xfId="38599"/>
    <cellStyle name="Normal 660" xfId="38600"/>
    <cellStyle name="Normal 661" xfId="38601"/>
    <cellStyle name="Normal 662" xfId="38602"/>
    <cellStyle name="Normal 663" xfId="38603"/>
    <cellStyle name="Normal 664" xfId="38604"/>
    <cellStyle name="Normal 665" xfId="38605"/>
    <cellStyle name="Normal 666" xfId="38606"/>
    <cellStyle name="Normal 667" xfId="38607"/>
    <cellStyle name="Normal 668" xfId="38608"/>
    <cellStyle name="Normal 669" xfId="38609"/>
    <cellStyle name="Normal 67" xfId="38610"/>
    <cellStyle name="Normal 67 2" xfId="38611"/>
    <cellStyle name="Normal 67 2 2" xfId="38612"/>
    <cellStyle name="Normal 67 2 2 2" xfId="38613"/>
    <cellStyle name="Normal 67 2 2 2 2" xfId="38614"/>
    <cellStyle name="Normal 67 2 2 3" xfId="38615"/>
    <cellStyle name="Normal 67 2 2 3 2" xfId="38616"/>
    <cellStyle name="Normal 67 2 2 3 2 2" xfId="38617"/>
    <cellStyle name="Normal 67 2 2 3 3" xfId="38618"/>
    <cellStyle name="Normal 67 2 2 4" xfId="38619"/>
    <cellStyle name="Normal 67 2 2 4 2" xfId="38620"/>
    <cellStyle name="Normal 67 2 2 4 2 2" xfId="38621"/>
    <cellStyle name="Normal 67 2 2 4 3" xfId="38622"/>
    <cellStyle name="Normal 67 2 2 5" xfId="38623"/>
    <cellStyle name="Normal 67 2 3" xfId="38624"/>
    <cellStyle name="Normal 67 2 3 2" xfId="38625"/>
    <cellStyle name="Normal 67 2 3 2 2" xfId="38626"/>
    <cellStyle name="Normal 67 2 3 3" xfId="38627"/>
    <cellStyle name="Normal 67 2 4" xfId="38628"/>
    <cellStyle name="Normal 67 2 4 2" xfId="38629"/>
    <cellStyle name="Normal 67 2 4 2 2" xfId="38630"/>
    <cellStyle name="Normal 67 2 4 3" xfId="38631"/>
    <cellStyle name="Normal 67 2 5" xfId="38632"/>
    <cellStyle name="Normal 67 2 5 2" xfId="38633"/>
    <cellStyle name="Normal 67 2 5 2 2" xfId="38634"/>
    <cellStyle name="Normal 67 2 5 3" xfId="38635"/>
    <cellStyle name="Normal 67 2 6" xfId="38636"/>
    <cellStyle name="Normal 67 3" xfId="38637"/>
    <cellStyle name="Normal 67 3 2" xfId="38638"/>
    <cellStyle name="Normal 67 3 2 2" xfId="38639"/>
    <cellStyle name="Normal 67 3 3" xfId="38640"/>
    <cellStyle name="Normal 67 3 3 2" xfId="38641"/>
    <cellStyle name="Normal 67 3 3 2 2" xfId="38642"/>
    <cellStyle name="Normal 67 3 3 3" xfId="38643"/>
    <cellStyle name="Normal 67 3 4" xfId="38644"/>
    <cellStyle name="Normal 67 3 4 2" xfId="38645"/>
    <cellStyle name="Normal 67 3 4 2 2" xfId="38646"/>
    <cellStyle name="Normal 67 3 4 3" xfId="38647"/>
    <cellStyle name="Normal 67 3 5" xfId="38648"/>
    <cellStyle name="Normal 67 4" xfId="38649"/>
    <cellStyle name="Normal 67 4 2" xfId="38650"/>
    <cellStyle name="Normal 67 4 2 2" xfId="38651"/>
    <cellStyle name="Normal 67 4 3" xfId="38652"/>
    <cellStyle name="Normal 67 5" xfId="38653"/>
    <cellStyle name="Normal 67 5 2" xfId="38654"/>
    <cellStyle name="Normal 67 5 2 2" xfId="38655"/>
    <cellStyle name="Normal 67 5 3" xfId="38656"/>
    <cellStyle name="Normal 67 6" xfId="38657"/>
    <cellStyle name="Normal 67 6 2" xfId="38658"/>
    <cellStyle name="Normal 67 6 2 2" xfId="38659"/>
    <cellStyle name="Normal 67 6 3" xfId="38660"/>
    <cellStyle name="Normal 67 7" xfId="38661"/>
    <cellStyle name="Normal 670" xfId="38662"/>
    <cellStyle name="Normal 671" xfId="38663"/>
    <cellStyle name="Normal 672" xfId="38664"/>
    <cellStyle name="Normal 673" xfId="38665"/>
    <cellStyle name="Normal 674" xfId="38666"/>
    <cellStyle name="Normal 675" xfId="38667"/>
    <cellStyle name="Normal 676" xfId="38668"/>
    <cellStyle name="Normal 677" xfId="38669"/>
    <cellStyle name="Normal 678" xfId="38670"/>
    <cellStyle name="Normal 679" xfId="38671"/>
    <cellStyle name="Normal 68" xfId="38672"/>
    <cellStyle name="Normal 68 2" xfId="38673"/>
    <cellStyle name="Normal 68 2 2" xfId="38674"/>
    <cellStyle name="Normal 68 2 2 2" xfId="38675"/>
    <cellStyle name="Normal 68 2 2 2 2" xfId="38676"/>
    <cellStyle name="Normal 68 2 2 3" xfId="38677"/>
    <cellStyle name="Normal 68 2 2 3 2" xfId="38678"/>
    <cellStyle name="Normal 68 2 2 3 2 2" xfId="38679"/>
    <cellStyle name="Normal 68 2 2 3 3" xfId="38680"/>
    <cellStyle name="Normal 68 2 2 4" xfId="38681"/>
    <cellStyle name="Normal 68 2 2 4 2" xfId="38682"/>
    <cellStyle name="Normal 68 2 2 4 2 2" xfId="38683"/>
    <cellStyle name="Normal 68 2 2 4 3" xfId="38684"/>
    <cellStyle name="Normal 68 2 2 5" xfId="38685"/>
    <cellStyle name="Normal 68 2 3" xfId="38686"/>
    <cellStyle name="Normal 68 2 3 2" xfId="38687"/>
    <cellStyle name="Normal 68 2 3 2 2" xfId="38688"/>
    <cellStyle name="Normal 68 2 3 3" xfId="38689"/>
    <cellStyle name="Normal 68 2 4" xfId="38690"/>
    <cellStyle name="Normal 68 2 4 2" xfId="38691"/>
    <cellStyle name="Normal 68 2 4 2 2" xfId="38692"/>
    <cellStyle name="Normal 68 2 4 3" xfId="38693"/>
    <cellStyle name="Normal 68 2 5" xfId="38694"/>
    <cellStyle name="Normal 68 2 5 2" xfId="38695"/>
    <cellStyle name="Normal 68 2 5 2 2" xfId="38696"/>
    <cellStyle name="Normal 68 2 5 3" xfId="38697"/>
    <cellStyle name="Normal 68 2 6" xfId="38698"/>
    <cellStyle name="Normal 68 3" xfId="38699"/>
    <cellStyle name="Normal 68 3 2" xfId="38700"/>
    <cellStyle name="Normal 68 3 2 2" xfId="38701"/>
    <cellStyle name="Normal 68 3 3" xfId="38702"/>
    <cellStyle name="Normal 68 3 3 2" xfId="38703"/>
    <cellStyle name="Normal 68 3 3 2 2" xfId="38704"/>
    <cellStyle name="Normal 68 3 3 3" xfId="38705"/>
    <cellStyle name="Normal 68 3 4" xfId="38706"/>
    <cellStyle name="Normal 68 3 4 2" xfId="38707"/>
    <cellStyle name="Normal 68 3 4 2 2" xfId="38708"/>
    <cellStyle name="Normal 68 3 4 3" xfId="38709"/>
    <cellStyle name="Normal 68 3 5" xfId="38710"/>
    <cellStyle name="Normal 68 4" xfId="38711"/>
    <cellStyle name="Normal 68 4 2" xfId="38712"/>
    <cellStyle name="Normal 68 4 2 2" xfId="38713"/>
    <cellStyle name="Normal 68 4 3" xfId="38714"/>
    <cellStyle name="Normal 68 5" xfId="38715"/>
    <cellStyle name="Normal 68 5 2" xfId="38716"/>
    <cellStyle name="Normal 68 5 2 2" xfId="38717"/>
    <cellStyle name="Normal 68 5 3" xfId="38718"/>
    <cellStyle name="Normal 68 6" xfId="38719"/>
    <cellStyle name="Normal 68 6 2" xfId="38720"/>
    <cellStyle name="Normal 68 6 2 2" xfId="38721"/>
    <cellStyle name="Normal 68 6 3" xfId="38722"/>
    <cellStyle name="Normal 68 7" xfId="38723"/>
    <cellStyle name="Normal 680" xfId="38724"/>
    <cellStyle name="Normal 681" xfId="38725"/>
    <cellStyle name="Normal 682" xfId="38726"/>
    <cellStyle name="Normal 683" xfId="38727"/>
    <cellStyle name="Normal 684" xfId="38728"/>
    <cellStyle name="Normal 685" xfId="38729"/>
    <cellStyle name="Normal 686" xfId="38730"/>
    <cellStyle name="Normal 687" xfId="38731"/>
    <cellStyle name="Normal 688" xfId="38732"/>
    <cellStyle name="Normal 689" xfId="38733"/>
    <cellStyle name="Normal 69" xfId="38734"/>
    <cellStyle name="Normal 69 2" xfId="38735"/>
    <cellStyle name="Normal 69 2 2" xfId="38736"/>
    <cellStyle name="Normal 69 2 2 2" xfId="38737"/>
    <cellStyle name="Normal 69 2 3" xfId="38738"/>
    <cellStyle name="Normal 69 2 3 2" xfId="38739"/>
    <cellStyle name="Normal 69 2 3 2 2" xfId="38740"/>
    <cellStyle name="Normal 69 2 3 3" xfId="38741"/>
    <cellStyle name="Normal 69 2 4" xfId="38742"/>
    <cellStyle name="Normal 69 2 4 2" xfId="38743"/>
    <cellStyle name="Normal 69 2 4 2 2" xfId="38744"/>
    <cellStyle name="Normal 69 2 4 3" xfId="38745"/>
    <cellStyle name="Normal 69 2 5" xfId="38746"/>
    <cellStyle name="Normal 69 3" xfId="38747"/>
    <cellStyle name="Normal 69 3 2" xfId="38748"/>
    <cellStyle name="Normal 69 3 2 2" xfId="38749"/>
    <cellStyle name="Normal 69 3 2 2 2" xfId="38750"/>
    <cellStyle name="Normal 69 3 2 3" xfId="38751"/>
    <cellStyle name="Normal 69 3 2 3 2" xfId="38752"/>
    <cellStyle name="Normal 69 3 2 3 2 2" xfId="38753"/>
    <cellStyle name="Normal 69 3 2 3 3" xfId="38754"/>
    <cellStyle name="Normal 69 3 2 4" xfId="38755"/>
    <cellStyle name="Normal 69 3 3" xfId="38756"/>
    <cellStyle name="Normal 69 3 3 2" xfId="38757"/>
    <cellStyle name="Normal 69 3 3 2 2" xfId="38758"/>
    <cellStyle name="Normal 69 3 3 3" xfId="38759"/>
    <cellStyle name="Normal 69 3 4" xfId="38760"/>
    <cellStyle name="Normal 69 3 4 2" xfId="38761"/>
    <cellStyle name="Normal 69 3 4 2 2" xfId="38762"/>
    <cellStyle name="Normal 69 3 4 3" xfId="38763"/>
    <cellStyle name="Normal 69 3 5" xfId="38764"/>
    <cellStyle name="Normal 69 3 5 2" xfId="38765"/>
    <cellStyle name="Normal 69 3 5 2 2" xfId="38766"/>
    <cellStyle name="Normal 69 3 5 3" xfId="38767"/>
    <cellStyle name="Normal 69 3 6" xfId="38768"/>
    <cellStyle name="Normal 69 4" xfId="38769"/>
    <cellStyle name="Normal 69 4 2" xfId="38770"/>
    <cellStyle name="Normal 69 4 2 2" xfId="38771"/>
    <cellStyle name="Normal 69 4 3" xfId="38772"/>
    <cellStyle name="Normal 69 5" xfId="38773"/>
    <cellStyle name="Normal 69 5 2" xfId="38774"/>
    <cellStyle name="Normal 69 5 2 2" xfId="38775"/>
    <cellStyle name="Normal 69 5 3" xfId="38776"/>
    <cellStyle name="Normal 69 6" xfId="38777"/>
    <cellStyle name="Normal 69 6 2" xfId="38778"/>
    <cellStyle name="Normal 69 6 2 2" xfId="38779"/>
    <cellStyle name="Normal 69 6 3" xfId="38780"/>
    <cellStyle name="Normal 69 7" xfId="38781"/>
    <cellStyle name="Normal 690" xfId="38782"/>
    <cellStyle name="Normal 691" xfId="38783"/>
    <cellStyle name="Normal 692" xfId="38784"/>
    <cellStyle name="Normal 693" xfId="38785"/>
    <cellStyle name="Normal 694" xfId="38786"/>
    <cellStyle name="Normal 695" xfId="38787"/>
    <cellStyle name="Normal 696" xfId="38788"/>
    <cellStyle name="Normal 697" xfId="38789"/>
    <cellStyle name="Normal 698" xfId="38790"/>
    <cellStyle name="Normal 699" xfId="38791"/>
    <cellStyle name="Normal 7" xfId="107"/>
    <cellStyle name="Normal 7 10" xfId="38793"/>
    <cellStyle name="Normal 7 11" xfId="38792"/>
    <cellStyle name="Normal 7 2" xfId="247"/>
    <cellStyle name="Normal 7 2 2" xfId="38795"/>
    <cellStyle name="Normal 7 2 2 2" xfId="38796"/>
    <cellStyle name="Normal 7 2 2 2 2" xfId="38797"/>
    <cellStyle name="Normal 7 2 2 3" xfId="38798"/>
    <cellStyle name="Normal 7 2 2 3 2" xfId="38799"/>
    <cellStyle name="Normal 7 2 2 3 2 2" xfId="38800"/>
    <cellStyle name="Normal 7 2 2 3 3" xfId="38801"/>
    <cellStyle name="Normal 7 2 2 4" xfId="38802"/>
    <cellStyle name="Normal 7 2 2 4 2" xfId="38803"/>
    <cellStyle name="Normal 7 2 2 4 2 2" xfId="38804"/>
    <cellStyle name="Normal 7 2 2 4 3" xfId="38805"/>
    <cellStyle name="Normal 7 2 2 5" xfId="38806"/>
    <cellStyle name="Normal 7 2 3" xfId="38807"/>
    <cellStyle name="Normal 7 2 3 2" xfId="38808"/>
    <cellStyle name="Normal 7 2 3 2 2" xfId="38809"/>
    <cellStyle name="Normal 7 2 3 2 2 2" xfId="38810"/>
    <cellStyle name="Normal 7 2 3 2 3" xfId="38811"/>
    <cellStyle name="Normal 7 2 3 2 3 2" xfId="38812"/>
    <cellStyle name="Normal 7 2 3 2 3 2 2" xfId="38813"/>
    <cellStyle name="Normal 7 2 3 2 3 3" xfId="38814"/>
    <cellStyle name="Normal 7 2 3 2 4" xfId="38815"/>
    <cellStyle name="Normal 7 2 3 3" xfId="38816"/>
    <cellStyle name="Normal 7 2 3 3 2" xfId="38817"/>
    <cellStyle name="Normal 7 2 3 3 2 2" xfId="38818"/>
    <cellStyle name="Normal 7 2 3 3 3" xfId="38819"/>
    <cellStyle name="Normal 7 2 3 4" xfId="38820"/>
    <cellStyle name="Normal 7 2 3 4 2" xfId="38821"/>
    <cellStyle name="Normal 7 2 3 4 2 2" xfId="38822"/>
    <cellStyle name="Normal 7 2 3 4 3" xfId="38823"/>
    <cellStyle name="Normal 7 2 3 5" xfId="38824"/>
    <cellStyle name="Normal 7 2 3 5 2" xfId="38825"/>
    <cellStyle name="Normal 7 2 3 5 2 2" xfId="38826"/>
    <cellStyle name="Normal 7 2 3 5 3" xfId="38827"/>
    <cellStyle name="Normal 7 2 3 6" xfId="38828"/>
    <cellStyle name="Normal 7 2 4" xfId="38829"/>
    <cellStyle name="Normal 7 2 4 2" xfId="38830"/>
    <cellStyle name="Normal 7 2 4 2 2" xfId="38831"/>
    <cellStyle name="Normal 7 2 4 3" xfId="38832"/>
    <cellStyle name="Normal 7 2 5" xfId="38833"/>
    <cellStyle name="Normal 7 2 5 2" xfId="38834"/>
    <cellStyle name="Normal 7 2 5 2 2" xfId="38835"/>
    <cellStyle name="Normal 7 2 5 3" xfId="38836"/>
    <cellStyle name="Normal 7 2 6" xfId="38837"/>
    <cellStyle name="Normal 7 2 6 2" xfId="38838"/>
    <cellStyle name="Normal 7 2 6 2 2" xfId="38839"/>
    <cellStyle name="Normal 7 2 6 3" xfId="38840"/>
    <cellStyle name="Normal 7 2 7" xfId="38841"/>
    <cellStyle name="Normal 7 2 8" xfId="38794"/>
    <cellStyle name="Normal 7 3" xfId="38842"/>
    <cellStyle name="Normal 7 3 2" xfId="38843"/>
    <cellStyle name="Normal 7 3 2 2" xfId="38844"/>
    <cellStyle name="Normal 7 3 2 2 2" xfId="38845"/>
    <cellStyle name="Normal 7 3 2 3" xfId="38846"/>
    <cellStyle name="Normal 7 3 2 3 2" xfId="38847"/>
    <cellStyle name="Normal 7 3 2 3 2 2" xfId="38848"/>
    <cellStyle name="Normal 7 3 2 3 3" xfId="38849"/>
    <cellStyle name="Normal 7 3 2 4" xfId="38850"/>
    <cellStyle name="Normal 7 3 2 4 2" xfId="38851"/>
    <cellStyle name="Normal 7 3 2 4 2 2" xfId="38852"/>
    <cellStyle name="Normal 7 3 2 4 3" xfId="38853"/>
    <cellStyle name="Normal 7 3 2 5" xfId="38854"/>
    <cellStyle name="Normal 7 3 3" xfId="38855"/>
    <cellStyle name="Normal 7 3 3 2" xfId="38856"/>
    <cellStyle name="Normal 7 3 3 2 2" xfId="38857"/>
    <cellStyle name="Normal 7 3 3 3" xfId="38858"/>
    <cellStyle name="Normal 7 3 4" xfId="38859"/>
    <cellStyle name="Normal 7 3 4 2" xfId="38860"/>
    <cellStyle name="Normal 7 3 4 2 2" xfId="38861"/>
    <cellStyle name="Normal 7 3 4 3" xfId="38862"/>
    <cellStyle name="Normal 7 3 5" xfId="38863"/>
    <cellStyle name="Normal 7 3 5 2" xfId="38864"/>
    <cellStyle name="Normal 7 3 5 2 2" xfId="38865"/>
    <cellStyle name="Normal 7 3 5 3" xfId="38866"/>
    <cellStyle name="Normal 7 3 6" xfId="38867"/>
    <cellStyle name="Normal 7 4" xfId="38868"/>
    <cellStyle name="Normal 7 4 2" xfId="38869"/>
    <cellStyle name="Normal 7 4 2 2" xfId="38870"/>
    <cellStyle name="Normal 7 4 2 2 2" xfId="38871"/>
    <cellStyle name="Normal 7 4 2 3" xfId="38872"/>
    <cellStyle name="Normal 7 4 2 3 2" xfId="38873"/>
    <cellStyle name="Normal 7 4 2 3 2 2" xfId="38874"/>
    <cellStyle name="Normal 7 4 2 3 3" xfId="38875"/>
    <cellStyle name="Normal 7 4 2 4" xfId="38876"/>
    <cellStyle name="Normal 7 4 2 4 2" xfId="38877"/>
    <cellStyle name="Normal 7 4 2 4 2 2" xfId="38878"/>
    <cellStyle name="Normal 7 4 2 4 3" xfId="38879"/>
    <cellStyle name="Normal 7 4 2 5" xfId="38880"/>
    <cellStyle name="Normal 7 4 3" xfId="38881"/>
    <cellStyle name="Normal 7 4 3 2" xfId="38882"/>
    <cellStyle name="Normal 7 4 3 2 2" xfId="38883"/>
    <cellStyle name="Normal 7 4 3 2 2 2" xfId="38884"/>
    <cellStyle name="Normal 7 4 3 2 3" xfId="38885"/>
    <cellStyle name="Normal 7 4 3 2 3 2" xfId="38886"/>
    <cellStyle name="Normal 7 4 3 2 3 2 2" xfId="38887"/>
    <cellStyle name="Normal 7 4 3 2 3 3" xfId="38888"/>
    <cellStyle name="Normal 7 4 3 2 4" xfId="38889"/>
    <cellStyle name="Normal 7 4 3 3" xfId="38890"/>
    <cellStyle name="Normal 7 4 3 3 2" xfId="38891"/>
    <cellStyle name="Normal 7 4 3 3 2 2" xfId="38892"/>
    <cellStyle name="Normal 7 4 3 3 3" xfId="38893"/>
    <cellStyle name="Normal 7 4 3 4" xfId="38894"/>
    <cellStyle name="Normal 7 4 3 4 2" xfId="38895"/>
    <cellStyle name="Normal 7 4 3 4 2 2" xfId="38896"/>
    <cellStyle name="Normal 7 4 3 4 3" xfId="38897"/>
    <cellStyle name="Normal 7 4 3 5" xfId="38898"/>
    <cellStyle name="Normal 7 4 3 5 2" xfId="38899"/>
    <cellStyle name="Normal 7 4 3 5 2 2" xfId="38900"/>
    <cellStyle name="Normal 7 4 3 5 3" xfId="38901"/>
    <cellStyle name="Normal 7 4 3 6" xfId="38902"/>
    <cellStyle name="Normal 7 4 4" xfId="38903"/>
    <cellStyle name="Normal 7 5" xfId="38904"/>
    <cellStyle name="Normal 7 5 2" xfId="38905"/>
    <cellStyle name="Normal 7 5 2 2" xfId="38906"/>
    <cellStyle name="Normal 7 5 3" xfId="38907"/>
    <cellStyle name="Normal 7 5 3 2" xfId="38908"/>
    <cellStyle name="Normal 7 5 3 2 2" xfId="38909"/>
    <cellStyle name="Normal 7 5 3 3" xfId="38910"/>
    <cellStyle name="Normal 7 5 4" xfId="38911"/>
    <cellStyle name="Normal 7 5 4 2" xfId="38912"/>
    <cellStyle name="Normal 7 5 4 2 2" xfId="38913"/>
    <cellStyle name="Normal 7 5 4 3" xfId="38914"/>
    <cellStyle name="Normal 7 5 5" xfId="38915"/>
    <cellStyle name="Normal 7 6" xfId="38916"/>
    <cellStyle name="Normal 7 6 2" xfId="38917"/>
    <cellStyle name="Normal 7 6 2 2" xfId="38918"/>
    <cellStyle name="Normal 7 6 3" xfId="38919"/>
    <cellStyle name="Normal 7 6 3 2" xfId="38920"/>
    <cellStyle name="Normal 7 6 3 2 2" xfId="38921"/>
    <cellStyle name="Normal 7 6 3 3" xfId="38922"/>
    <cellStyle name="Normal 7 6 4" xfId="38923"/>
    <cellStyle name="Normal 7 6 4 2" xfId="38924"/>
    <cellStyle name="Normal 7 6 4 2 2" xfId="38925"/>
    <cellStyle name="Normal 7 6 4 3" xfId="38926"/>
    <cellStyle name="Normal 7 6 5" xfId="38927"/>
    <cellStyle name="Normal 7 7" xfId="38928"/>
    <cellStyle name="Normal 7 7 2" xfId="38929"/>
    <cellStyle name="Normal 7 7 2 2" xfId="38930"/>
    <cellStyle name="Normal 7 7 3" xfId="38931"/>
    <cellStyle name="Normal 7 8" xfId="38932"/>
    <cellStyle name="Normal 7 8 2" xfId="38933"/>
    <cellStyle name="Normal 7 9" xfId="38934"/>
    <cellStyle name="Normal 70" xfId="38935"/>
    <cellStyle name="Normal 70 2" xfId="38936"/>
    <cellStyle name="Normal 70 2 2" xfId="38937"/>
    <cellStyle name="Normal 70 2 2 2" xfId="38938"/>
    <cellStyle name="Normal 70 2 3" xfId="38939"/>
    <cellStyle name="Normal 70 2 3 2" xfId="38940"/>
    <cellStyle name="Normal 70 2 3 2 2" xfId="38941"/>
    <cellStyle name="Normal 70 2 3 3" xfId="38942"/>
    <cellStyle name="Normal 70 2 4" xfId="38943"/>
    <cellStyle name="Normal 70 2 4 2" xfId="38944"/>
    <cellStyle name="Normal 70 2 4 2 2" xfId="38945"/>
    <cellStyle name="Normal 70 2 4 3" xfId="38946"/>
    <cellStyle name="Normal 70 2 5" xfId="38947"/>
    <cellStyle name="Normal 70 3" xfId="38948"/>
    <cellStyle name="Normal 70 3 2" xfId="38949"/>
    <cellStyle name="Normal 70 3 2 2" xfId="38950"/>
    <cellStyle name="Normal 70 3 2 2 2" xfId="38951"/>
    <cellStyle name="Normal 70 3 2 3" xfId="38952"/>
    <cellStyle name="Normal 70 3 2 3 2" xfId="38953"/>
    <cellStyle name="Normal 70 3 2 3 2 2" xfId="38954"/>
    <cellStyle name="Normal 70 3 2 3 3" xfId="38955"/>
    <cellStyle name="Normal 70 3 2 4" xfId="38956"/>
    <cellStyle name="Normal 70 3 3" xfId="38957"/>
    <cellStyle name="Normal 70 3 3 2" xfId="38958"/>
    <cellStyle name="Normal 70 3 3 2 2" xfId="38959"/>
    <cellStyle name="Normal 70 3 3 3" xfId="38960"/>
    <cellStyle name="Normal 70 3 4" xfId="38961"/>
    <cellStyle name="Normal 70 3 4 2" xfId="38962"/>
    <cellStyle name="Normal 70 3 4 2 2" xfId="38963"/>
    <cellStyle name="Normal 70 3 4 3" xfId="38964"/>
    <cellStyle name="Normal 70 3 5" xfId="38965"/>
    <cellStyle name="Normal 70 3 5 2" xfId="38966"/>
    <cellStyle name="Normal 70 3 5 2 2" xfId="38967"/>
    <cellStyle name="Normal 70 3 5 3" xfId="38968"/>
    <cellStyle name="Normal 70 3 6" xfId="38969"/>
    <cellStyle name="Normal 70 4" xfId="38970"/>
    <cellStyle name="Normal 70 4 2" xfId="38971"/>
    <cellStyle name="Normal 70 4 2 2" xfId="38972"/>
    <cellStyle name="Normal 70 4 3" xfId="38973"/>
    <cellStyle name="Normal 70 5" xfId="38974"/>
    <cellStyle name="Normal 70 5 2" xfId="38975"/>
    <cellStyle name="Normal 70 5 2 2" xfId="38976"/>
    <cellStyle name="Normal 70 5 3" xfId="38977"/>
    <cellStyle name="Normal 70 6" xfId="38978"/>
    <cellStyle name="Normal 70 6 2" xfId="38979"/>
    <cellStyle name="Normal 70 6 2 2" xfId="38980"/>
    <cellStyle name="Normal 70 6 3" xfId="38981"/>
    <cellStyle name="Normal 70 7" xfId="38982"/>
    <cellStyle name="Normal 700" xfId="38983"/>
    <cellStyle name="Normal 701" xfId="38984"/>
    <cellStyle name="Normal 702" xfId="38985"/>
    <cellStyle name="Normal 703" xfId="38986"/>
    <cellStyle name="Normal 704" xfId="38987"/>
    <cellStyle name="Normal 705" xfId="38988"/>
    <cellStyle name="Normal 706" xfId="38989"/>
    <cellStyle name="Normal 707" xfId="38990"/>
    <cellStyle name="Normal 708" xfId="38991"/>
    <cellStyle name="Normal 709" xfId="38992"/>
    <cellStyle name="Normal 71" xfId="38993"/>
    <cellStyle name="Normal 71 2" xfId="38994"/>
    <cellStyle name="Normal 71 2 2" xfId="38995"/>
    <cellStyle name="Normal 71 2 2 2" xfId="38996"/>
    <cellStyle name="Normal 71 2 3" xfId="38997"/>
    <cellStyle name="Normal 71 2 3 2" xfId="38998"/>
    <cellStyle name="Normal 71 2 3 2 2" xfId="38999"/>
    <cellStyle name="Normal 71 2 3 3" xfId="39000"/>
    <cellStyle name="Normal 71 2 4" xfId="39001"/>
    <cellStyle name="Normal 71 2 4 2" xfId="39002"/>
    <cellStyle name="Normal 71 2 4 2 2" xfId="39003"/>
    <cellStyle name="Normal 71 2 4 3" xfId="39004"/>
    <cellStyle name="Normal 71 2 5" xfId="39005"/>
    <cellStyle name="Normal 71 3" xfId="39006"/>
    <cellStyle name="Normal 71 3 2" xfId="39007"/>
    <cellStyle name="Normal 71 3 2 2" xfId="39008"/>
    <cellStyle name="Normal 71 3 2 2 2" xfId="39009"/>
    <cellStyle name="Normal 71 3 2 3" xfId="39010"/>
    <cellStyle name="Normal 71 3 2 3 2" xfId="39011"/>
    <cellStyle name="Normal 71 3 2 3 2 2" xfId="39012"/>
    <cellStyle name="Normal 71 3 2 3 3" xfId="39013"/>
    <cellStyle name="Normal 71 3 2 4" xfId="39014"/>
    <cellStyle name="Normal 71 3 3" xfId="39015"/>
    <cellStyle name="Normal 71 3 3 2" xfId="39016"/>
    <cellStyle name="Normal 71 3 3 2 2" xfId="39017"/>
    <cellStyle name="Normal 71 3 3 3" xfId="39018"/>
    <cellStyle name="Normal 71 3 4" xfId="39019"/>
    <cellStyle name="Normal 71 3 4 2" xfId="39020"/>
    <cellStyle name="Normal 71 3 4 2 2" xfId="39021"/>
    <cellStyle name="Normal 71 3 4 3" xfId="39022"/>
    <cellStyle name="Normal 71 3 5" xfId="39023"/>
    <cellStyle name="Normal 71 3 5 2" xfId="39024"/>
    <cellStyle name="Normal 71 3 5 2 2" xfId="39025"/>
    <cellStyle name="Normal 71 3 5 3" xfId="39026"/>
    <cellStyle name="Normal 71 3 6" xfId="39027"/>
    <cellStyle name="Normal 71 4" xfId="39028"/>
    <cellStyle name="Normal 71 4 2" xfId="39029"/>
    <cellStyle name="Normal 71 4 2 2" xfId="39030"/>
    <cellStyle name="Normal 71 4 3" xfId="39031"/>
    <cellStyle name="Normal 71 5" xfId="39032"/>
    <cellStyle name="Normal 71 5 2" xfId="39033"/>
    <cellStyle name="Normal 71 5 2 2" xfId="39034"/>
    <cellStyle name="Normal 71 5 3" xfId="39035"/>
    <cellStyle name="Normal 71 6" xfId="39036"/>
    <cellStyle name="Normal 71 6 2" xfId="39037"/>
    <cellStyle name="Normal 71 6 2 2" xfId="39038"/>
    <cellStyle name="Normal 71 6 3" xfId="39039"/>
    <cellStyle name="Normal 71 7" xfId="39040"/>
    <cellStyle name="Normal 710" xfId="39041"/>
    <cellStyle name="Normal 711" xfId="39042"/>
    <cellStyle name="Normal 712" xfId="39043"/>
    <cellStyle name="Normal 713" xfId="39044"/>
    <cellStyle name="Normal 714" xfId="39045"/>
    <cellStyle name="Normal 715" xfId="39046"/>
    <cellStyle name="Normal 716" xfId="39047"/>
    <cellStyle name="Normal 717" xfId="39048"/>
    <cellStyle name="Normal 718" xfId="39049"/>
    <cellStyle name="Normal 719" xfId="39050"/>
    <cellStyle name="Normal 72" xfId="39051"/>
    <cellStyle name="Normal 72 2" xfId="39052"/>
    <cellStyle name="Normal 72 2 2" xfId="39053"/>
    <cellStyle name="Normal 72 2 2 2" xfId="39054"/>
    <cellStyle name="Normal 72 2 3" xfId="39055"/>
    <cellStyle name="Normal 72 2 3 2" xfId="39056"/>
    <cellStyle name="Normal 72 2 3 2 2" xfId="39057"/>
    <cellStyle name="Normal 72 2 3 3" xfId="39058"/>
    <cellStyle name="Normal 72 2 4" xfId="39059"/>
    <cellStyle name="Normal 72 2 4 2" xfId="39060"/>
    <cellStyle name="Normal 72 2 4 2 2" xfId="39061"/>
    <cellStyle name="Normal 72 2 4 3" xfId="39062"/>
    <cellStyle name="Normal 72 2 5" xfId="39063"/>
    <cellStyle name="Normal 72 3" xfId="39064"/>
    <cellStyle name="Normal 72 3 2" xfId="39065"/>
    <cellStyle name="Normal 72 3 2 2" xfId="39066"/>
    <cellStyle name="Normal 72 3 2 2 2" xfId="39067"/>
    <cellStyle name="Normal 72 3 2 3" xfId="39068"/>
    <cellStyle name="Normal 72 3 2 3 2" xfId="39069"/>
    <cellStyle name="Normal 72 3 2 3 2 2" xfId="39070"/>
    <cellStyle name="Normal 72 3 2 3 3" xfId="39071"/>
    <cellStyle name="Normal 72 3 2 4" xfId="39072"/>
    <cellStyle name="Normal 72 3 3" xfId="39073"/>
    <cellStyle name="Normal 72 3 3 2" xfId="39074"/>
    <cellStyle name="Normal 72 3 3 2 2" xfId="39075"/>
    <cellStyle name="Normal 72 3 3 3" xfId="39076"/>
    <cellStyle name="Normal 72 3 4" xfId="39077"/>
    <cellStyle name="Normal 72 3 4 2" xfId="39078"/>
    <cellStyle name="Normal 72 3 4 2 2" xfId="39079"/>
    <cellStyle name="Normal 72 3 4 3" xfId="39080"/>
    <cellStyle name="Normal 72 3 5" xfId="39081"/>
    <cellStyle name="Normal 72 3 5 2" xfId="39082"/>
    <cellStyle name="Normal 72 3 5 2 2" xfId="39083"/>
    <cellStyle name="Normal 72 3 5 3" xfId="39084"/>
    <cellStyle name="Normal 72 3 6" xfId="39085"/>
    <cellStyle name="Normal 72 4" xfId="39086"/>
    <cellStyle name="Normal 72 4 2" xfId="39087"/>
    <cellStyle name="Normal 72 4 2 2" xfId="39088"/>
    <cellStyle name="Normal 72 4 3" xfId="39089"/>
    <cellStyle name="Normal 72 5" xfId="39090"/>
    <cellStyle name="Normal 72 5 2" xfId="39091"/>
    <cellStyle name="Normal 72 5 2 2" xfId="39092"/>
    <cellStyle name="Normal 72 5 3" xfId="39093"/>
    <cellStyle name="Normal 72 6" xfId="39094"/>
    <cellStyle name="Normal 72 6 2" xfId="39095"/>
    <cellStyle name="Normal 72 6 2 2" xfId="39096"/>
    <cellStyle name="Normal 72 6 3" xfId="39097"/>
    <cellStyle name="Normal 72 7" xfId="39098"/>
    <cellStyle name="Normal 720" xfId="39099"/>
    <cellStyle name="Normal 721" xfId="39100"/>
    <cellStyle name="Normal 722" xfId="39101"/>
    <cellStyle name="Normal 723" xfId="39102"/>
    <cellStyle name="Normal 724" xfId="39103"/>
    <cellStyle name="Normal 725" xfId="39104"/>
    <cellStyle name="Normal 726" xfId="39105"/>
    <cellStyle name="Normal 727" xfId="39106"/>
    <cellStyle name="Normal 728" xfId="39107"/>
    <cellStyle name="Normal 729" xfId="39108"/>
    <cellStyle name="Normal 73" xfId="39109"/>
    <cellStyle name="Normal 73 2" xfId="39110"/>
    <cellStyle name="Normal 73 2 2" xfId="39111"/>
    <cellStyle name="Normal 73 2 2 2" xfId="39112"/>
    <cellStyle name="Normal 73 2 3" xfId="39113"/>
    <cellStyle name="Normal 73 2 3 2" xfId="39114"/>
    <cellStyle name="Normal 73 2 3 2 2" xfId="39115"/>
    <cellStyle name="Normal 73 2 3 3" xfId="39116"/>
    <cellStyle name="Normal 73 2 4" xfId="39117"/>
    <cellStyle name="Normal 73 2 4 2" xfId="39118"/>
    <cellStyle name="Normal 73 2 4 2 2" xfId="39119"/>
    <cellStyle name="Normal 73 2 4 3" xfId="39120"/>
    <cellStyle name="Normal 73 2 5" xfId="39121"/>
    <cellStyle name="Normal 73 3" xfId="39122"/>
    <cellStyle name="Normal 73 3 2" xfId="39123"/>
    <cellStyle name="Normal 73 3 2 2" xfId="39124"/>
    <cellStyle name="Normal 73 3 2 2 2" xfId="39125"/>
    <cellStyle name="Normal 73 3 2 3" xfId="39126"/>
    <cellStyle name="Normal 73 3 2 3 2" xfId="39127"/>
    <cellStyle name="Normal 73 3 2 3 2 2" xfId="39128"/>
    <cellStyle name="Normal 73 3 2 3 3" xfId="39129"/>
    <cellStyle name="Normal 73 3 2 4" xfId="39130"/>
    <cellStyle name="Normal 73 3 3" xfId="39131"/>
    <cellStyle name="Normal 73 3 3 2" xfId="39132"/>
    <cellStyle name="Normal 73 3 3 2 2" xfId="39133"/>
    <cellStyle name="Normal 73 3 3 3" xfId="39134"/>
    <cellStyle name="Normal 73 3 4" xfId="39135"/>
    <cellStyle name="Normal 73 3 4 2" xfId="39136"/>
    <cellStyle name="Normal 73 3 4 2 2" xfId="39137"/>
    <cellStyle name="Normal 73 3 4 3" xfId="39138"/>
    <cellStyle name="Normal 73 3 5" xfId="39139"/>
    <cellStyle name="Normal 73 3 5 2" xfId="39140"/>
    <cellStyle name="Normal 73 3 5 2 2" xfId="39141"/>
    <cellStyle name="Normal 73 3 5 3" xfId="39142"/>
    <cellStyle name="Normal 73 3 6" xfId="39143"/>
    <cellStyle name="Normal 73 4" xfId="39144"/>
    <cellStyle name="Normal 73 4 2" xfId="39145"/>
    <cellStyle name="Normal 73 4 2 2" xfId="39146"/>
    <cellStyle name="Normal 73 4 3" xfId="39147"/>
    <cellStyle name="Normal 73 5" xfId="39148"/>
    <cellStyle name="Normal 73 5 2" xfId="39149"/>
    <cellStyle name="Normal 73 5 2 2" xfId="39150"/>
    <cellStyle name="Normal 73 5 3" xfId="39151"/>
    <cellStyle name="Normal 73 6" xfId="39152"/>
    <cellStyle name="Normal 73 6 2" xfId="39153"/>
    <cellStyle name="Normal 73 6 2 2" xfId="39154"/>
    <cellStyle name="Normal 73 6 3" xfId="39155"/>
    <cellStyle name="Normal 73 7" xfId="39156"/>
    <cellStyle name="Normal 730" xfId="39157"/>
    <cellStyle name="Normal 731" xfId="39158"/>
    <cellStyle name="Normal 732" xfId="39159"/>
    <cellStyle name="Normal 733" xfId="39160"/>
    <cellStyle name="Normal 734" xfId="39161"/>
    <cellStyle name="Normal 735" xfId="39162"/>
    <cellStyle name="Normal 736" xfId="39163"/>
    <cellStyle name="Normal 737" xfId="666"/>
    <cellStyle name="Normal 738" xfId="53744"/>
    <cellStyle name="Normal 739" xfId="53786"/>
    <cellStyle name="Normal 74" xfId="39164"/>
    <cellStyle name="Normal 74 2" xfId="39165"/>
    <cellStyle name="Normal 74 2 2" xfId="39166"/>
    <cellStyle name="Normal 74 2 2 2" xfId="39167"/>
    <cellStyle name="Normal 74 2 3" xfId="39168"/>
    <cellStyle name="Normal 74 2 3 2" xfId="39169"/>
    <cellStyle name="Normal 74 2 3 2 2" xfId="39170"/>
    <cellStyle name="Normal 74 2 3 3" xfId="39171"/>
    <cellStyle name="Normal 74 2 4" xfId="39172"/>
    <cellStyle name="Normal 74 2 4 2" xfId="39173"/>
    <cellStyle name="Normal 74 2 4 2 2" xfId="39174"/>
    <cellStyle name="Normal 74 2 4 3" xfId="39175"/>
    <cellStyle name="Normal 74 2 5" xfId="39176"/>
    <cellStyle name="Normal 74 3" xfId="39177"/>
    <cellStyle name="Normal 74 3 2" xfId="39178"/>
    <cellStyle name="Normal 74 3 2 2" xfId="39179"/>
    <cellStyle name="Normal 74 3 2 2 2" xfId="39180"/>
    <cellStyle name="Normal 74 3 2 3" xfId="39181"/>
    <cellStyle name="Normal 74 3 2 3 2" xfId="39182"/>
    <cellStyle name="Normal 74 3 2 3 2 2" xfId="39183"/>
    <cellStyle name="Normal 74 3 2 3 3" xfId="39184"/>
    <cellStyle name="Normal 74 3 2 4" xfId="39185"/>
    <cellStyle name="Normal 74 3 3" xfId="39186"/>
    <cellStyle name="Normal 74 3 3 2" xfId="39187"/>
    <cellStyle name="Normal 74 3 3 2 2" xfId="39188"/>
    <cellStyle name="Normal 74 3 3 3" xfId="39189"/>
    <cellStyle name="Normal 74 3 4" xfId="39190"/>
    <cellStyle name="Normal 74 3 4 2" xfId="39191"/>
    <cellStyle name="Normal 74 3 4 2 2" xfId="39192"/>
    <cellStyle name="Normal 74 3 4 3" xfId="39193"/>
    <cellStyle name="Normal 74 3 5" xfId="39194"/>
    <cellStyle name="Normal 74 3 5 2" xfId="39195"/>
    <cellStyle name="Normal 74 3 5 2 2" xfId="39196"/>
    <cellStyle name="Normal 74 3 5 3" xfId="39197"/>
    <cellStyle name="Normal 74 3 6" xfId="39198"/>
    <cellStyle name="Normal 74 4" xfId="39199"/>
    <cellStyle name="Normal 74 4 2" xfId="39200"/>
    <cellStyle name="Normal 74 4 2 2" xfId="39201"/>
    <cellStyle name="Normal 74 4 3" xfId="39202"/>
    <cellStyle name="Normal 74 5" xfId="39203"/>
    <cellStyle name="Normal 74 5 2" xfId="39204"/>
    <cellStyle name="Normal 74 5 2 2" xfId="39205"/>
    <cellStyle name="Normal 74 5 3" xfId="39206"/>
    <cellStyle name="Normal 74 6" xfId="39207"/>
    <cellStyle name="Normal 74 6 2" xfId="39208"/>
    <cellStyle name="Normal 74 6 2 2" xfId="39209"/>
    <cellStyle name="Normal 74 6 3" xfId="39210"/>
    <cellStyle name="Normal 74 7" xfId="39211"/>
    <cellStyle name="Normal 740" xfId="53869"/>
    <cellStyle name="Normal 741" xfId="53873"/>
    <cellStyle name="Normal 742" xfId="53876"/>
    <cellStyle name="Normal 743" xfId="53879"/>
    <cellStyle name="Normal 744" xfId="53882"/>
    <cellStyle name="Normal 745" xfId="53885"/>
    <cellStyle name="Normal 746" xfId="53889"/>
    <cellStyle name="Normal 747" xfId="53892"/>
    <cellStyle name="Normal 75" xfId="39212"/>
    <cellStyle name="Normal 75 2" xfId="39213"/>
    <cellStyle name="Normal 75 2 2" xfId="39214"/>
    <cellStyle name="Normal 75 2 2 2" xfId="39215"/>
    <cellStyle name="Normal 75 2 3" xfId="39216"/>
    <cellStyle name="Normal 75 2 3 2" xfId="39217"/>
    <cellStyle name="Normal 75 2 3 2 2" xfId="39218"/>
    <cellStyle name="Normal 75 2 3 3" xfId="39219"/>
    <cellStyle name="Normal 75 2 4" xfId="39220"/>
    <cellStyle name="Normal 75 2 4 2" xfId="39221"/>
    <cellStyle name="Normal 75 2 4 2 2" xfId="39222"/>
    <cellStyle name="Normal 75 2 4 3" xfId="39223"/>
    <cellStyle name="Normal 75 2 5" xfId="39224"/>
    <cellStyle name="Normal 75 3" xfId="39225"/>
    <cellStyle name="Normal 75 3 2" xfId="39226"/>
    <cellStyle name="Normal 75 3 2 2" xfId="39227"/>
    <cellStyle name="Normal 75 3 2 2 2" xfId="39228"/>
    <cellStyle name="Normal 75 3 2 3" xfId="39229"/>
    <cellStyle name="Normal 75 3 2 3 2" xfId="39230"/>
    <cellStyle name="Normal 75 3 2 3 2 2" xfId="39231"/>
    <cellStyle name="Normal 75 3 2 3 3" xfId="39232"/>
    <cellStyle name="Normal 75 3 2 4" xfId="39233"/>
    <cellStyle name="Normal 75 3 3" xfId="39234"/>
    <cellStyle name="Normal 75 3 3 2" xfId="39235"/>
    <cellStyle name="Normal 75 3 3 2 2" xfId="39236"/>
    <cellStyle name="Normal 75 3 3 3" xfId="39237"/>
    <cellStyle name="Normal 75 3 4" xfId="39238"/>
    <cellStyle name="Normal 75 3 4 2" xfId="39239"/>
    <cellStyle name="Normal 75 3 4 2 2" xfId="39240"/>
    <cellStyle name="Normal 75 3 4 3" xfId="39241"/>
    <cellStyle name="Normal 75 3 5" xfId="39242"/>
    <cellStyle name="Normal 75 3 5 2" xfId="39243"/>
    <cellStyle name="Normal 75 3 5 2 2" xfId="39244"/>
    <cellStyle name="Normal 75 3 5 3" xfId="39245"/>
    <cellStyle name="Normal 75 3 6" xfId="39246"/>
    <cellStyle name="Normal 75 4" xfId="39247"/>
    <cellStyle name="Normal 75 4 2" xfId="39248"/>
    <cellStyle name="Normal 75 4 2 2" xfId="39249"/>
    <cellStyle name="Normal 75 4 3" xfId="39250"/>
    <cellStyle name="Normal 75 5" xfId="39251"/>
    <cellStyle name="Normal 75 5 2" xfId="39252"/>
    <cellStyle name="Normal 75 5 2 2" xfId="39253"/>
    <cellStyle name="Normal 75 5 3" xfId="39254"/>
    <cellStyle name="Normal 75 6" xfId="39255"/>
    <cellStyle name="Normal 75 6 2" xfId="39256"/>
    <cellStyle name="Normal 75 6 2 2" xfId="39257"/>
    <cellStyle name="Normal 75 6 3" xfId="39258"/>
    <cellStyle name="Normal 75 7" xfId="39259"/>
    <cellStyle name="Normal 76" xfId="39260"/>
    <cellStyle name="Normal 76 2" xfId="39261"/>
    <cellStyle name="Normal 76 2 2" xfId="39262"/>
    <cellStyle name="Normal 76 2 2 2" xfId="39263"/>
    <cellStyle name="Normal 76 2 3" xfId="39264"/>
    <cellStyle name="Normal 76 2 3 2" xfId="39265"/>
    <cellStyle name="Normal 76 2 3 2 2" xfId="39266"/>
    <cellStyle name="Normal 76 2 3 3" xfId="39267"/>
    <cellStyle name="Normal 76 2 4" xfId="39268"/>
    <cellStyle name="Normal 76 2 4 2" xfId="39269"/>
    <cellStyle name="Normal 76 2 4 2 2" xfId="39270"/>
    <cellStyle name="Normal 76 2 4 3" xfId="39271"/>
    <cellStyle name="Normal 76 2 5" xfId="39272"/>
    <cellStyle name="Normal 76 3" xfId="39273"/>
    <cellStyle name="Normal 76 3 2" xfId="39274"/>
    <cellStyle name="Normal 76 3 2 2" xfId="39275"/>
    <cellStyle name="Normal 76 3 2 2 2" xfId="39276"/>
    <cellStyle name="Normal 76 3 2 3" xfId="39277"/>
    <cellStyle name="Normal 76 3 2 3 2" xfId="39278"/>
    <cellStyle name="Normal 76 3 2 3 2 2" xfId="39279"/>
    <cellStyle name="Normal 76 3 2 3 3" xfId="39280"/>
    <cellStyle name="Normal 76 3 2 4" xfId="39281"/>
    <cellStyle name="Normal 76 3 3" xfId="39282"/>
    <cellStyle name="Normal 76 3 3 2" xfId="39283"/>
    <cellStyle name="Normal 76 3 3 2 2" xfId="39284"/>
    <cellStyle name="Normal 76 3 3 3" xfId="39285"/>
    <cellStyle name="Normal 76 3 4" xfId="39286"/>
    <cellStyle name="Normal 76 3 4 2" xfId="39287"/>
    <cellStyle name="Normal 76 3 4 2 2" xfId="39288"/>
    <cellStyle name="Normal 76 3 4 3" xfId="39289"/>
    <cellStyle name="Normal 76 3 5" xfId="39290"/>
    <cellStyle name="Normal 76 3 5 2" xfId="39291"/>
    <cellStyle name="Normal 76 3 5 2 2" xfId="39292"/>
    <cellStyle name="Normal 76 3 5 3" xfId="39293"/>
    <cellStyle name="Normal 76 3 6" xfId="39294"/>
    <cellStyle name="Normal 76 4" xfId="39295"/>
    <cellStyle name="Normal 76 4 2" xfId="39296"/>
    <cellStyle name="Normal 76 4 2 2" xfId="39297"/>
    <cellStyle name="Normal 76 4 3" xfId="39298"/>
    <cellStyle name="Normal 76 5" xfId="39299"/>
    <cellStyle name="Normal 76 5 2" xfId="39300"/>
    <cellStyle name="Normal 76 5 2 2" xfId="39301"/>
    <cellStyle name="Normal 76 5 3" xfId="39302"/>
    <cellStyle name="Normal 76 6" xfId="39303"/>
    <cellStyle name="Normal 76 6 2" xfId="39304"/>
    <cellStyle name="Normal 76 6 2 2" xfId="39305"/>
    <cellStyle name="Normal 76 6 3" xfId="39306"/>
    <cellStyle name="Normal 76 7" xfId="39307"/>
    <cellStyle name="Normal 77" xfId="39308"/>
    <cellStyle name="Normal 77 2" xfId="39309"/>
    <cellStyle name="Normal 77 2 2" xfId="39310"/>
    <cellStyle name="Normal 77 2 2 2" xfId="39311"/>
    <cellStyle name="Normal 77 2 3" xfId="39312"/>
    <cellStyle name="Normal 77 2 3 2" xfId="39313"/>
    <cellStyle name="Normal 77 2 3 2 2" xfId="39314"/>
    <cellStyle name="Normal 77 2 3 3" xfId="39315"/>
    <cellStyle name="Normal 77 2 4" xfId="39316"/>
    <cellStyle name="Normal 77 2 4 2" xfId="39317"/>
    <cellStyle name="Normal 77 2 4 2 2" xfId="39318"/>
    <cellStyle name="Normal 77 2 4 3" xfId="39319"/>
    <cellStyle name="Normal 77 2 5" xfId="39320"/>
    <cellStyle name="Normal 77 3" xfId="39321"/>
    <cellStyle name="Normal 77 3 2" xfId="39322"/>
    <cellStyle name="Normal 77 3 2 2" xfId="39323"/>
    <cellStyle name="Normal 77 3 2 2 2" xfId="39324"/>
    <cellStyle name="Normal 77 3 2 3" xfId="39325"/>
    <cellStyle name="Normal 77 3 2 3 2" xfId="39326"/>
    <cellStyle name="Normal 77 3 2 3 2 2" xfId="39327"/>
    <cellStyle name="Normal 77 3 2 3 3" xfId="39328"/>
    <cellStyle name="Normal 77 3 2 4" xfId="39329"/>
    <cellStyle name="Normal 77 3 3" xfId="39330"/>
    <cellStyle name="Normal 77 3 3 2" xfId="39331"/>
    <cellStyle name="Normal 77 3 3 2 2" xfId="39332"/>
    <cellStyle name="Normal 77 3 3 3" xfId="39333"/>
    <cellStyle name="Normal 77 3 4" xfId="39334"/>
    <cellStyle name="Normal 77 3 4 2" xfId="39335"/>
    <cellStyle name="Normal 77 3 4 2 2" xfId="39336"/>
    <cellStyle name="Normal 77 3 4 3" xfId="39337"/>
    <cellStyle name="Normal 77 3 5" xfId="39338"/>
    <cellStyle name="Normal 77 3 5 2" xfId="39339"/>
    <cellStyle name="Normal 77 3 5 2 2" xfId="39340"/>
    <cellStyle name="Normal 77 3 5 3" xfId="39341"/>
    <cellStyle name="Normal 77 3 6" xfId="39342"/>
    <cellStyle name="Normal 77 4" xfId="39343"/>
    <cellStyle name="Normal 77 4 2" xfId="39344"/>
    <cellStyle name="Normal 77 4 2 2" xfId="39345"/>
    <cellStyle name="Normal 77 4 3" xfId="39346"/>
    <cellStyle name="Normal 77 5" xfId="39347"/>
    <cellStyle name="Normal 77 5 2" xfId="39348"/>
    <cellStyle name="Normal 77 5 2 2" xfId="39349"/>
    <cellStyle name="Normal 77 5 3" xfId="39350"/>
    <cellStyle name="Normal 77 6" xfId="39351"/>
    <cellStyle name="Normal 77 6 2" xfId="39352"/>
    <cellStyle name="Normal 77 6 2 2" xfId="39353"/>
    <cellStyle name="Normal 77 6 3" xfId="39354"/>
    <cellStyle name="Normal 77 7" xfId="39355"/>
    <cellStyle name="Normal 78" xfId="39356"/>
    <cellStyle name="Normal 78 2" xfId="39357"/>
    <cellStyle name="Normal 78 2 2" xfId="39358"/>
    <cellStyle name="Normal 78 2 2 2" xfId="39359"/>
    <cellStyle name="Normal 78 2 3" xfId="39360"/>
    <cellStyle name="Normal 78 2 3 2" xfId="39361"/>
    <cellStyle name="Normal 78 2 3 2 2" xfId="39362"/>
    <cellStyle name="Normal 78 2 3 3" xfId="39363"/>
    <cellStyle name="Normal 78 2 4" xfId="39364"/>
    <cellStyle name="Normal 78 2 4 2" xfId="39365"/>
    <cellStyle name="Normal 78 2 4 2 2" xfId="39366"/>
    <cellStyle name="Normal 78 2 4 3" xfId="39367"/>
    <cellStyle name="Normal 78 2 5" xfId="39368"/>
    <cellStyle name="Normal 78 3" xfId="39369"/>
    <cellStyle name="Normal 78 3 2" xfId="39370"/>
    <cellStyle name="Normal 78 3 2 2" xfId="39371"/>
    <cellStyle name="Normal 78 3 2 2 2" xfId="39372"/>
    <cellStyle name="Normal 78 3 2 3" xfId="39373"/>
    <cellStyle name="Normal 78 3 2 3 2" xfId="39374"/>
    <cellStyle name="Normal 78 3 2 3 2 2" xfId="39375"/>
    <cellStyle name="Normal 78 3 2 3 3" xfId="39376"/>
    <cellStyle name="Normal 78 3 2 4" xfId="39377"/>
    <cellStyle name="Normal 78 3 3" xfId="39378"/>
    <cellStyle name="Normal 78 3 3 2" xfId="39379"/>
    <cellStyle name="Normal 78 3 3 2 2" xfId="39380"/>
    <cellStyle name="Normal 78 3 3 3" xfId="39381"/>
    <cellStyle name="Normal 78 3 4" xfId="39382"/>
    <cellStyle name="Normal 78 3 4 2" xfId="39383"/>
    <cellStyle name="Normal 78 3 4 2 2" xfId="39384"/>
    <cellStyle name="Normal 78 3 4 3" xfId="39385"/>
    <cellStyle name="Normal 78 3 5" xfId="39386"/>
    <cellStyle name="Normal 78 3 5 2" xfId="39387"/>
    <cellStyle name="Normal 78 3 5 2 2" xfId="39388"/>
    <cellStyle name="Normal 78 3 5 3" xfId="39389"/>
    <cellStyle name="Normal 78 3 6" xfId="39390"/>
    <cellStyle name="Normal 78 4" xfId="39391"/>
    <cellStyle name="Normal 78 4 2" xfId="39392"/>
    <cellStyle name="Normal 78 4 2 2" xfId="39393"/>
    <cellStyle name="Normal 78 4 3" xfId="39394"/>
    <cellStyle name="Normal 78 5" xfId="39395"/>
    <cellStyle name="Normal 78 5 2" xfId="39396"/>
    <cellStyle name="Normal 78 5 2 2" xfId="39397"/>
    <cellStyle name="Normal 78 5 3" xfId="39398"/>
    <cellStyle name="Normal 78 6" xfId="39399"/>
    <cellStyle name="Normal 78 6 2" xfId="39400"/>
    <cellStyle name="Normal 78 6 2 2" xfId="39401"/>
    <cellStyle name="Normal 78 6 3" xfId="39402"/>
    <cellStyle name="Normal 78 7" xfId="39403"/>
    <cellStyle name="Normal 79" xfId="39404"/>
    <cellStyle name="Normal 79 2" xfId="39405"/>
    <cellStyle name="Normal 79 2 2" xfId="39406"/>
    <cellStyle name="Normal 79 2 2 2" xfId="39407"/>
    <cellStyle name="Normal 79 2 3" xfId="39408"/>
    <cellStyle name="Normal 79 2 3 2" xfId="39409"/>
    <cellStyle name="Normal 79 2 3 2 2" xfId="39410"/>
    <cellStyle name="Normal 79 2 3 3" xfId="39411"/>
    <cellStyle name="Normal 79 2 4" xfId="39412"/>
    <cellStyle name="Normal 79 2 4 2" xfId="39413"/>
    <cellStyle name="Normal 79 2 4 2 2" xfId="39414"/>
    <cellStyle name="Normal 79 2 4 3" xfId="39415"/>
    <cellStyle name="Normal 79 2 5" xfId="39416"/>
    <cellStyle name="Normal 79 3" xfId="39417"/>
    <cellStyle name="Normal 79 3 2" xfId="39418"/>
    <cellStyle name="Normal 79 3 2 2" xfId="39419"/>
    <cellStyle name="Normal 79 3 2 2 2" xfId="39420"/>
    <cellStyle name="Normal 79 3 2 3" xfId="39421"/>
    <cellStyle name="Normal 79 3 2 3 2" xfId="39422"/>
    <cellStyle name="Normal 79 3 2 3 2 2" xfId="39423"/>
    <cellStyle name="Normal 79 3 2 3 3" xfId="39424"/>
    <cellStyle name="Normal 79 3 2 4" xfId="39425"/>
    <cellStyle name="Normal 79 3 3" xfId="39426"/>
    <cellStyle name="Normal 79 3 3 2" xfId="39427"/>
    <cellStyle name="Normal 79 3 3 2 2" xfId="39428"/>
    <cellStyle name="Normal 79 3 3 3" xfId="39429"/>
    <cellStyle name="Normal 79 3 4" xfId="39430"/>
    <cellStyle name="Normal 79 3 4 2" xfId="39431"/>
    <cellStyle name="Normal 79 3 4 2 2" xfId="39432"/>
    <cellStyle name="Normal 79 3 4 3" xfId="39433"/>
    <cellStyle name="Normal 79 3 5" xfId="39434"/>
    <cellStyle name="Normal 79 3 5 2" xfId="39435"/>
    <cellStyle name="Normal 79 3 5 2 2" xfId="39436"/>
    <cellStyle name="Normal 79 3 5 3" xfId="39437"/>
    <cellStyle name="Normal 79 3 6" xfId="39438"/>
    <cellStyle name="Normal 79 4" xfId="39439"/>
    <cellStyle name="Normal 79 4 2" xfId="39440"/>
    <cellStyle name="Normal 79 4 2 2" xfId="39441"/>
    <cellStyle name="Normal 79 4 3" xfId="39442"/>
    <cellStyle name="Normal 79 5" xfId="39443"/>
    <cellStyle name="Normal 79 5 2" xfId="39444"/>
    <cellStyle name="Normal 79 5 2 2" xfId="39445"/>
    <cellStyle name="Normal 79 5 3" xfId="39446"/>
    <cellStyle name="Normal 79 6" xfId="39447"/>
    <cellStyle name="Normal 79 6 2" xfId="39448"/>
    <cellStyle name="Normal 79 6 2 2" xfId="39449"/>
    <cellStyle name="Normal 79 6 3" xfId="39450"/>
    <cellStyle name="Normal 79 7" xfId="39451"/>
    <cellStyle name="Normal 8" xfId="125"/>
    <cellStyle name="Normal 8 10" xfId="39453"/>
    <cellStyle name="Normal 8 11" xfId="39452"/>
    <cellStyle name="Normal 8 2" xfId="39454"/>
    <cellStyle name="Normal 8 2 2" xfId="39455"/>
    <cellStyle name="Normal 8 2 2 2" xfId="39456"/>
    <cellStyle name="Normal 8 2 2 2 2" xfId="39457"/>
    <cellStyle name="Normal 8 2 2 3" xfId="39458"/>
    <cellStyle name="Normal 8 2 2 3 2" xfId="39459"/>
    <cellStyle name="Normal 8 2 2 3 2 2" xfId="39460"/>
    <cellStyle name="Normal 8 2 2 3 3" xfId="39461"/>
    <cellStyle name="Normal 8 2 2 4" xfId="39462"/>
    <cellStyle name="Normal 8 2 2 4 2" xfId="39463"/>
    <cellStyle name="Normal 8 2 2 4 2 2" xfId="39464"/>
    <cellStyle name="Normal 8 2 2 4 3" xfId="39465"/>
    <cellStyle name="Normal 8 2 2 5" xfId="39466"/>
    <cellStyle name="Normal 8 2 3" xfId="39467"/>
    <cellStyle name="Normal 8 2 3 2" xfId="39468"/>
    <cellStyle name="Normal 8 2 3 2 2" xfId="39469"/>
    <cellStyle name="Normal 8 2 3 2 2 2" xfId="39470"/>
    <cellStyle name="Normal 8 2 3 2 3" xfId="39471"/>
    <cellStyle name="Normal 8 2 3 2 3 2" xfId="39472"/>
    <cellStyle name="Normal 8 2 3 2 3 2 2" xfId="39473"/>
    <cellStyle name="Normal 8 2 3 2 3 3" xfId="39474"/>
    <cellStyle name="Normal 8 2 3 2 4" xfId="39475"/>
    <cellStyle name="Normal 8 2 3 3" xfId="39476"/>
    <cellStyle name="Normal 8 2 3 3 2" xfId="39477"/>
    <cellStyle name="Normal 8 2 3 3 2 2" xfId="39478"/>
    <cellStyle name="Normal 8 2 3 3 3" xfId="39479"/>
    <cellStyle name="Normal 8 2 3 4" xfId="39480"/>
    <cellStyle name="Normal 8 2 3 4 2" xfId="39481"/>
    <cellStyle name="Normal 8 2 3 4 2 2" xfId="39482"/>
    <cellStyle name="Normal 8 2 3 4 3" xfId="39483"/>
    <cellStyle name="Normal 8 2 3 5" xfId="39484"/>
    <cellStyle name="Normal 8 2 3 5 2" xfId="39485"/>
    <cellStyle name="Normal 8 2 3 5 2 2" xfId="39486"/>
    <cellStyle name="Normal 8 2 3 5 3" xfId="39487"/>
    <cellStyle name="Normal 8 2 3 6" xfId="39488"/>
    <cellStyle name="Normal 8 2 4" xfId="39489"/>
    <cellStyle name="Normal 8 3" xfId="39490"/>
    <cellStyle name="Normal 8 3 2" xfId="39491"/>
    <cellStyle name="Normal 8 3 2 2" xfId="39492"/>
    <cellStyle name="Normal 8 3 2 2 2" xfId="39493"/>
    <cellStyle name="Normal 8 3 2 3" xfId="39494"/>
    <cellStyle name="Normal 8 3 2 3 2" xfId="39495"/>
    <cellStyle name="Normal 8 3 2 3 2 2" xfId="39496"/>
    <cellStyle name="Normal 8 3 2 3 3" xfId="39497"/>
    <cellStyle name="Normal 8 3 2 4" xfId="39498"/>
    <cellStyle name="Normal 8 3 2 4 2" xfId="39499"/>
    <cellStyle name="Normal 8 3 2 4 2 2" xfId="39500"/>
    <cellStyle name="Normal 8 3 2 4 3" xfId="39501"/>
    <cellStyle name="Normal 8 3 2 5" xfId="39502"/>
    <cellStyle name="Normal 8 3 3" xfId="39503"/>
    <cellStyle name="Normal 8 3 3 2" xfId="39504"/>
    <cellStyle name="Normal 8 3 3 2 2" xfId="39505"/>
    <cellStyle name="Normal 8 3 3 2 2 2" xfId="39506"/>
    <cellStyle name="Normal 8 3 3 2 3" xfId="39507"/>
    <cellStyle name="Normal 8 3 3 2 3 2" xfId="39508"/>
    <cellStyle name="Normal 8 3 3 2 3 2 2" xfId="39509"/>
    <cellStyle name="Normal 8 3 3 2 3 3" xfId="39510"/>
    <cellStyle name="Normal 8 3 3 2 4" xfId="39511"/>
    <cellStyle name="Normal 8 3 3 3" xfId="39512"/>
    <cellStyle name="Normal 8 3 3 3 2" xfId="39513"/>
    <cellStyle name="Normal 8 3 3 3 2 2" xfId="39514"/>
    <cellStyle name="Normal 8 3 3 3 3" xfId="39515"/>
    <cellStyle name="Normal 8 3 3 4" xfId="39516"/>
    <cellStyle name="Normal 8 3 3 4 2" xfId="39517"/>
    <cellStyle name="Normal 8 3 3 4 2 2" xfId="39518"/>
    <cellStyle name="Normal 8 3 3 4 3" xfId="39519"/>
    <cellStyle name="Normal 8 3 3 5" xfId="39520"/>
    <cellStyle name="Normal 8 3 3 5 2" xfId="39521"/>
    <cellStyle name="Normal 8 3 3 5 2 2" xfId="39522"/>
    <cellStyle name="Normal 8 3 3 5 3" xfId="39523"/>
    <cellStyle name="Normal 8 3 3 6" xfId="39524"/>
    <cellStyle name="Normal 8 3 4" xfId="39525"/>
    <cellStyle name="Normal 8 4" xfId="39526"/>
    <cellStyle name="Normal 8 4 2" xfId="39527"/>
    <cellStyle name="Normal 8 4 2 2" xfId="39528"/>
    <cellStyle name="Normal 8 4 3" xfId="39529"/>
    <cellStyle name="Normal 8 4 3 2" xfId="39530"/>
    <cellStyle name="Normal 8 4 3 2 2" xfId="39531"/>
    <cellStyle name="Normal 8 4 3 3" xfId="39532"/>
    <cellStyle name="Normal 8 4 4" xfId="39533"/>
    <cellStyle name="Normal 8 4 4 2" xfId="39534"/>
    <cellStyle name="Normal 8 4 4 2 2" xfId="39535"/>
    <cellStyle name="Normal 8 4 4 3" xfId="39536"/>
    <cellStyle name="Normal 8 4 5" xfId="39537"/>
    <cellStyle name="Normal 8 5" xfId="39538"/>
    <cellStyle name="Normal 8 5 2" xfId="39539"/>
    <cellStyle name="Normal 8 5 2 2" xfId="39540"/>
    <cellStyle name="Normal 8 5 3" xfId="39541"/>
    <cellStyle name="Normal 8 5 3 2" xfId="39542"/>
    <cellStyle name="Normal 8 5 3 2 2" xfId="39543"/>
    <cellStyle name="Normal 8 5 3 3" xfId="39544"/>
    <cellStyle name="Normal 8 5 4" xfId="39545"/>
    <cellStyle name="Normal 8 5 4 2" xfId="39546"/>
    <cellStyle name="Normal 8 5 4 2 2" xfId="39547"/>
    <cellStyle name="Normal 8 5 4 3" xfId="39548"/>
    <cellStyle name="Normal 8 5 5" xfId="39549"/>
    <cellStyle name="Normal 8 6" xfId="39550"/>
    <cellStyle name="Normal 8 6 2" xfId="39551"/>
    <cellStyle name="Normal 8 6 2 2" xfId="39552"/>
    <cellStyle name="Normal 8 6 2 2 2" xfId="39553"/>
    <cellStyle name="Normal 8 6 2 3" xfId="39554"/>
    <cellStyle name="Normal 8 6 2 3 2" xfId="39555"/>
    <cellStyle name="Normal 8 6 2 3 2 2" xfId="39556"/>
    <cellStyle name="Normal 8 6 2 3 3" xfId="39557"/>
    <cellStyle name="Normal 8 6 2 4" xfId="39558"/>
    <cellStyle name="Normal 8 6 3" xfId="39559"/>
    <cellStyle name="Normal 8 6 3 2" xfId="39560"/>
    <cellStyle name="Normal 8 6 3 2 2" xfId="39561"/>
    <cellStyle name="Normal 8 6 3 3" xfId="39562"/>
    <cellStyle name="Normal 8 6 4" xfId="39563"/>
    <cellStyle name="Normal 8 6 4 2" xfId="39564"/>
    <cellStyle name="Normal 8 6 4 2 2" xfId="39565"/>
    <cellStyle name="Normal 8 6 4 3" xfId="39566"/>
    <cellStyle name="Normal 8 6 5" xfId="39567"/>
    <cellStyle name="Normal 8 6 5 2" xfId="39568"/>
    <cellStyle name="Normal 8 6 5 2 2" xfId="39569"/>
    <cellStyle name="Normal 8 6 5 3" xfId="39570"/>
    <cellStyle name="Normal 8 6 6" xfId="39571"/>
    <cellStyle name="Normal 8 7" xfId="39572"/>
    <cellStyle name="Normal 8 7 2" xfId="39573"/>
    <cellStyle name="Normal 8 7 2 2" xfId="39574"/>
    <cellStyle name="Normal 8 7 3" xfId="39575"/>
    <cellStyle name="Normal 8 8" xfId="39576"/>
    <cellStyle name="Normal 8 8 2" xfId="39577"/>
    <cellStyle name="Normal 8 8 2 2" xfId="39578"/>
    <cellStyle name="Normal 8 8 3" xfId="39579"/>
    <cellStyle name="Normal 8 9" xfId="39580"/>
    <cellStyle name="Normal 8 9 2" xfId="39581"/>
    <cellStyle name="Normal 80" xfId="39582"/>
    <cellStyle name="Normal 80 2" xfId="39583"/>
    <cellStyle name="Normal 80 2 2" xfId="39584"/>
    <cellStyle name="Normal 80 2 2 2" xfId="39585"/>
    <cellStyle name="Normal 80 2 3" xfId="39586"/>
    <cellStyle name="Normal 80 2 3 2" xfId="39587"/>
    <cellStyle name="Normal 80 2 3 2 2" xfId="39588"/>
    <cellStyle name="Normal 80 2 3 3" xfId="39589"/>
    <cellStyle name="Normal 80 2 4" xfId="39590"/>
    <cellStyle name="Normal 80 2 4 2" xfId="39591"/>
    <cellStyle name="Normal 80 2 4 2 2" xfId="39592"/>
    <cellStyle name="Normal 80 2 4 3" xfId="39593"/>
    <cellStyle name="Normal 80 2 5" xfId="39594"/>
    <cellStyle name="Normal 80 3" xfId="39595"/>
    <cellStyle name="Normal 80 3 2" xfId="39596"/>
    <cellStyle name="Normal 80 3 2 2" xfId="39597"/>
    <cellStyle name="Normal 80 3 2 2 2" xfId="39598"/>
    <cellStyle name="Normal 80 3 2 3" xfId="39599"/>
    <cellStyle name="Normal 80 3 2 3 2" xfId="39600"/>
    <cellStyle name="Normal 80 3 2 3 2 2" xfId="39601"/>
    <cellStyle name="Normal 80 3 2 3 3" xfId="39602"/>
    <cellStyle name="Normal 80 3 2 4" xfId="39603"/>
    <cellStyle name="Normal 80 3 3" xfId="39604"/>
    <cellStyle name="Normal 80 3 3 2" xfId="39605"/>
    <cellStyle name="Normal 80 3 3 2 2" xfId="39606"/>
    <cellStyle name="Normal 80 3 3 3" xfId="39607"/>
    <cellStyle name="Normal 80 3 4" xfId="39608"/>
    <cellStyle name="Normal 80 3 4 2" xfId="39609"/>
    <cellStyle name="Normal 80 3 4 2 2" xfId="39610"/>
    <cellStyle name="Normal 80 3 4 3" xfId="39611"/>
    <cellStyle name="Normal 80 3 5" xfId="39612"/>
    <cellStyle name="Normal 80 3 5 2" xfId="39613"/>
    <cellStyle name="Normal 80 3 5 2 2" xfId="39614"/>
    <cellStyle name="Normal 80 3 5 3" xfId="39615"/>
    <cellStyle name="Normal 80 3 6" xfId="39616"/>
    <cellStyle name="Normal 80 4" xfId="39617"/>
    <cellStyle name="Normal 80 4 2" xfId="39618"/>
    <cellStyle name="Normal 80 4 2 2" xfId="39619"/>
    <cellStyle name="Normal 80 4 3" xfId="39620"/>
    <cellStyle name="Normal 80 5" xfId="39621"/>
    <cellStyle name="Normal 80 5 2" xfId="39622"/>
    <cellStyle name="Normal 80 5 2 2" xfId="39623"/>
    <cellStyle name="Normal 80 5 3" xfId="39624"/>
    <cellStyle name="Normal 80 6" xfId="39625"/>
    <cellStyle name="Normal 80 6 2" xfId="39626"/>
    <cellStyle name="Normal 80 6 2 2" xfId="39627"/>
    <cellStyle name="Normal 80 6 3" xfId="39628"/>
    <cellStyle name="Normal 80 7" xfId="39629"/>
    <cellStyle name="Normal 81" xfId="39630"/>
    <cellStyle name="Normal 81 2" xfId="39631"/>
    <cellStyle name="Normal 81 2 2" xfId="39632"/>
    <cellStyle name="Normal 81 2 2 2" xfId="39633"/>
    <cellStyle name="Normal 81 2 3" xfId="39634"/>
    <cellStyle name="Normal 81 2 3 2" xfId="39635"/>
    <cellStyle name="Normal 81 2 3 2 2" xfId="39636"/>
    <cellStyle name="Normal 81 2 3 3" xfId="39637"/>
    <cellStyle name="Normal 81 2 4" xfId="39638"/>
    <cellStyle name="Normal 81 2 4 2" xfId="39639"/>
    <cellStyle name="Normal 81 2 4 2 2" xfId="39640"/>
    <cellStyle name="Normal 81 2 4 3" xfId="39641"/>
    <cellStyle name="Normal 81 2 5" xfId="39642"/>
    <cellStyle name="Normal 81 3" xfId="39643"/>
    <cellStyle name="Normal 81 3 2" xfId="39644"/>
    <cellStyle name="Normal 81 3 2 2" xfId="39645"/>
    <cellStyle name="Normal 81 3 2 2 2" xfId="39646"/>
    <cellStyle name="Normal 81 3 2 3" xfId="39647"/>
    <cellStyle name="Normal 81 3 2 3 2" xfId="39648"/>
    <cellStyle name="Normal 81 3 2 3 2 2" xfId="39649"/>
    <cellStyle name="Normal 81 3 2 3 3" xfId="39650"/>
    <cellStyle name="Normal 81 3 2 4" xfId="39651"/>
    <cellStyle name="Normal 81 3 3" xfId="39652"/>
    <cellStyle name="Normal 81 3 3 2" xfId="39653"/>
    <cellStyle name="Normal 81 3 3 2 2" xfId="39654"/>
    <cellStyle name="Normal 81 3 3 3" xfId="39655"/>
    <cellStyle name="Normal 81 3 4" xfId="39656"/>
    <cellStyle name="Normal 81 3 4 2" xfId="39657"/>
    <cellStyle name="Normal 81 3 4 2 2" xfId="39658"/>
    <cellStyle name="Normal 81 3 4 3" xfId="39659"/>
    <cellStyle name="Normal 81 3 5" xfId="39660"/>
    <cellStyle name="Normal 81 3 5 2" xfId="39661"/>
    <cellStyle name="Normal 81 3 5 2 2" xfId="39662"/>
    <cellStyle name="Normal 81 3 5 3" xfId="39663"/>
    <cellStyle name="Normal 81 3 6" xfId="39664"/>
    <cellStyle name="Normal 81 4" xfId="39665"/>
    <cellStyle name="Normal 81 4 2" xfId="39666"/>
    <cellStyle name="Normal 81 4 2 2" xfId="39667"/>
    <cellStyle name="Normal 81 4 3" xfId="39668"/>
    <cellStyle name="Normal 81 5" xfId="39669"/>
    <cellStyle name="Normal 81 5 2" xfId="39670"/>
    <cellStyle name="Normal 81 5 2 2" xfId="39671"/>
    <cellStyle name="Normal 81 5 3" xfId="39672"/>
    <cellStyle name="Normal 81 6" xfId="39673"/>
    <cellStyle name="Normal 81 6 2" xfId="39674"/>
    <cellStyle name="Normal 81 6 2 2" xfId="39675"/>
    <cellStyle name="Normal 81 6 3" xfId="39676"/>
    <cellStyle name="Normal 81 7" xfId="39677"/>
    <cellStyle name="Normal 82" xfId="39678"/>
    <cellStyle name="Normal 82 2" xfId="39679"/>
    <cellStyle name="Normal 82 2 2" xfId="39680"/>
    <cellStyle name="Normal 82 2 2 2" xfId="39681"/>
    <cellStyle name="Normal 82 2 3" xfId="39682"/>
    <cellStyle name="Normal 82 2 3 2" xfId="39683"/>
    <cellStyle name="Normal 82 2 3 2 2" xfId="39684"/>
    <cellStyle name="Normal 82 2 3 3" xfId="39685"/>
    <cellStyle name="Normal 82 2 4" xfId="39686"/>
    <cellStyle name="Normal 82 2 4 2" xfId="39687"/>
    <cellStyle name="Normal 82 2 4 2 2" xfId="39688"/>
    <cellStyle name="Normal 82 2 4 3" xfId="39689"/>
    <cellStyle name="Normal 82 2 5" xfId="39690"/>
    <cellStyle name="Normal 82 3" xfId="39691"/>
    <cellStyle name="Normal 82 3 2" xfId="39692"/>
    <cellStyle name="Normal 82 3 2 2" xfId="39693"/>
    <cellStyle name="Normal 82 3 2 2 2" xfId="39694"/>
    <cellStyle name="Normal 82 3 2 3" xfId="39695"/>
    <cellStyle name="Normal 82 3 2 3 2" xfId="39696"/>
    <cellStyle name="Normal 82 3 2 3 2 2" xfId="39697"/>
    <cellStyle name="Normal 82 3 2 3 3" xfId="39698"/>
    <cellStyle name="Normal 82 3 2 4" xfId="39699"/>
    <cellStyle name="Normal 82 3 3" xfId="39700"/>
    <cellStyle name="Normal 82 3 3 2" xfId="39701"/>
    <cellStyle name="Normal 82 3 3 2 2" xfId="39702"/>
    <cellStyle name="Normal 82 3 3 3" xfId="39703"/>
    <cellStyle name="Normal 82 3 4" xfId="39704"/>
    <cellStyle name="Normal 82 3 4 2" xfId="39705"/>
    <cellStyle name="Normal 82 3 4 2 2" xfId="39706"/>
    <cellStyle name="Normal 82 3 4 3" xfId="39707"/>
    <cellStyle name="Normal 82 3 5" xfId="39708"/>
    <cellStyle name="Normal 82 3 5 2" xfId="39709"/>
    <cellStyle name="Normal 82 3 5 2 2" xfId="39710"/>
    <cellStyle name="Normal 82 3 5 3" xfId="39711"/>
    <cellStyle name="Normal 82 3 6" xfId="39712"/>
    <cellStyle name="Normal 82 4" xfId="39713"/>
    <cellStyle name="Normal 82 4 2" xfId="39714"/>
    <cellStyle name="Normal 82 4 2 2" xfId="39715"/>
    <cellStyle name="Normal 82 4 3" xfId="39716"/>
    <cellStyle name="Normal 82 5" xfId="39717"/>
    <cellStyle name="Normal 82 5 2" xfId="39718"/>
    <cellStyle name="Normal 82 5 2 2" xfId="39719"/>
    <cellStyle name="Normal 82 5 3" xfId="39720"/>
    <cellStyle name="Normal 82 6" xfId="39721"/>
    <cellStyle name="Normal 82 6 2" xfId="39722"/>
    <cellStyle name="Normal 82 6 2 2" xfId="39723"/>
    <cellStyle name="Normal 82 6 3" xfId="39724"/>
    <cellStyle name="Normal 82 7" xfId="39725"/>
    <cellStyle name="Normal 83" xfId="39726"/>
    <cellStyle name="Normal 83 2" xfId="39727"/>
    <cellStyle name="Normal 83 2 2" xfId="39728"/>
    <cellStyle name="Normal 83 2 2 2" xfId="39729"/>
    <cellStyle name="Normal 83 2 3" xfId="39730"/>
    <cellStyle name="Normal 83 2 3 2" xfId="39731"/>
    <cellStyle name="Normal 83 2 3 2 2" xfId="39732"/>
    <cellStyle name="Normal 83 2 3 3" xfId="39733"/>
    <cellStyle name="Normal 83 2 4" xfId="39734"/>
    <cellStyle name="Normal 83 2 4 2" xfId="39735"/>
    <cellStyle name="Normal 83 2 4 2 2" xfId="39736"/>
    <cellStyle name="Normal 83 2 4 3" xfId="39737"/>
    <cellStyle name="Normal 83 2 5" xfId="39738"/>
    <cellStyle name="Normal 83 3" xfId="39739"/>
    <cellStyle name="Normal 83 3 2" xfId="39740"/>
    <cellStyle name="Normal 83 3 2 2" xfId="39741"/>
    <cellStyle name="Normal 83 3 2 2 2" xfId="39742"/>
    <cellStyle name="Normal 83 3 2 3" xfId="39743"/>
    <cellStyle name="Normal 83 3 2 3 2" xfId="39744"/>
    <cellStyle name="Normal 83 3 2 3 2 2" xfId="39745"/>
    <cellStyle name="Normal 83 3 2 3 3" xfId="39746"/>
    <cellStyle name="Normal 83 3 2 4" xfId="39747"/>
    <cellStyle name="Normal 83 3 3" xfId="39748"/>
    <cellStyle name="Normal 83 3 3 2" xfId="39749"/>
    <cellStyle name="Normal 83 3 3 2 2" xfId="39750"/>
    <cellStyle name="Normal 83 3 3 3" xfId="39751"/>
    <cellStyle name="Normal 83 3 4" xfId="39752"/>
    <cellStyle name="Normal 83 3 4 2" xfId="39753"/>
    <cellStyle name="Normal 83 3 4 2 2" xfId="39754"/>
    <cellStyle name="Normal 83 3 4 3" xfId="39755"/>
    <cellStyle name="Normal 83 3 5" xfId="39756"/>
    <cellStyle name="Normal 83 3 5 2" xfId="39757"/>
    <cellStyle name="Normal 83 3 5 2 2" xfId="39758"/>
    <cellStyle name="Normal 83 3 5 3" xfId="39759"/>
    <cellStyle name="Normal 83 3 6" xfId="39760"/>
    <cellStyle name="Normal 83 4" xfId="39761"/>
    <cellStyle name="Normal 83 4 2" xfId="39762"/>
    <cellStyle name="Normal 83 4 2 2" xfId="39763"/>
    <cellStyle name="Normal 83 4 3" xfId="39764"/>
    <cellStyle name="Normal 83 5" xfId="39765"/>
    <cellStyle name="Normal 83 5 2" xfId="39766"/>
    <cellStyle name="Normal 83 5 2 2" xfId="39767"/>
    <cellStyle name="Normal 83 5 3" xfId="39768"/>
    <cellStyle name="Normal 83 6" xfId="39769"/>
    <cellStyle name="Normal 83 6 2" xfId="39770"/>
    <cellStyle name="Normal 83 6 2 2" xfId="39771"/>
    <cellStyle name="Normal 83 6 3" xfId="39772"/>
    <cellStyle name="Normal 83 7" xfId="39773"/>
    <cellStyle name="Normal 84" xfId="39774"/>
    <cellStyle name="Normal 84 2" xfId="39775"/>
    <cellStyle name="Normal 84 2 2" xfId="39776"/>
    <cellStyle name="Normal 84 2 2 2" xfId="39777"/>
    <cellStyle name="Normal 84 2 3" xfId="39778"/>
    <cellStyle name="Normal 84 2 3 2" xfId="39779"/>
    <cellStyle name="Normal 84 2 3 2 2" xfId="39780"/>
    <cellStyle name="Normal 84 2 3 3" xfId="39781"/>
    <cellStyle name="Normal 84 2 4" xfId="39782"/>
    <cellStyle name="Normal 84 2 4 2" xfId="39783"/>
    <cellStyle name="Normal 84 2 4 2 2" xfId="39784"/>
    <cellStyle name="Normal 84 2 4 3" xfId="39785"/>
    <cellStyle name="Normal 84 2 5" xfId="39786"/>
    <cellStyle name="Normal 84 3" xfId="39787"/>
    <cellStyle name="Normal 84 3 2" xfId="39788"/>
    <cellStyle name="Normal 84 3 2 2" xfId="39789"/>
    <cellStyle name="Normal 84 3 2 2 2" xfId="39790"/>
    <cellStyle name="Normal 84 3 2 3" xfId="39791"/>
    <cellStyle name="Normal 84 3 2 3 2" xfId="39792"/>
    <cellStyle name="Normal 84 3 2 3 2 2" xfId="39793"/>
    <cellStyle name="Normal 84 3 2 3 3" xfId="39794"/>
    <cellStyle name="Normal 84 3 2 4" xfId="39795"/>
    <cellStyle name="Normal 84 3 3" xfId="39796"/>
    <cellStyle name="Normal 84 3 3 2" xfId="39797"/>
    <cellStyle name="Normal 84 3 3 2 2" xfId="39798"/>
    <cellStyle name="Normal 84 3 3 3" xfId="39799"/>
    <cellStyle name="Normal 84 3 4" xfId="39800"/>
    <cellStyle name="Normal 84 3 4 2" xfId="39801"/>
    <cellStyle name="Normal 84 3 4 2 2" xfId="39802"/>
    <cellStyle name="Normal 84 3 4 3" xfId="39803"/>
    <cellStyle name="Normal 84 3 5" xfId="39804"/>
    <cellStyle name="Normal 84 3 5 2" xfId="39805"/>
    <cellStyle name="Normal 84 3 5 2 2" xfId="39806"/>
    <cellStyle name="Normal 84 3 5 3" xfId="39807"/>
    <cellStyle name="Normal 84 3 6" xfId="39808"/>
    <cellStyle name="Normal 84 4" xfId="39809"/>
    <cellStyle name="Normal 84 4 2" xfId="39810"/>
    <cellStyle name="Normal 84 4 2 2" xfId="39811"/>
    <cellStyle name="Normal 84 4 3" xfId="39812"/>
    <cellStyle name="Normal 84 5" xfId="39813"/>
    <cellStyle name="Normal 84 5 2" xfId="39814"/>
    <cellStyle name="Normal 84 5 2 2" xfId="39815"/>
    <cellStyle name="Normal 84 5 3" xfId="39816"/>
    <cellStyle name="Normal 84 6" xfId="39817"/>
    <cellStyle name="Normal 84 6 2" xfId="39818"/>
    <cellStyle name="Normal 84 6 2 2" xfId="39819"/>
    <cellStyle name="Normal 84 6 3" xfId="39820"/>
    <cellStyle name="Normal 84 7" xfId="39821"/>
    <cellStyle name="Normal 85" xfId="39822"/>
    <cellStyle name="Normal 85 2" xfId="39823"/>
    <cellStyle name="Normal 85 2 2" xfId="39824"/>
    <cellStyle name="Normal 85 2 2 2" xfId="39825"/>
    <cellStyle name="Normal 85 2 3" xfId="39826"/>
    <cellStyle name="Normal 85 2 3 2" xfId="39827"/>
    <cellStyle name="Normal 85 2 3 2 2" xfId="39828"/>
    <cellStyle name="Normal 85 2 3 3" xfId="39829"/>
    <cellStyle name="Normal 85 2 4" xfId="39830"/>
    <cellStyle name="Normal 85 2 4 2" xfId="39831"/>
    <cellStyle name="Normal 85 2 4 2 2" xfId="39832"/>
    <cellStyle name="Normal 85 2 4 3" xfId="39833"/>
    <cellStyle name="Normal 85 2 5" xfId="39834"/>
    <cellStyle name="Normal 85 3" xfId="39835"/>
    <cellStyle name="Normal 85 3 2" xfId="39836"/>
    <cellStyle name="Normal 85 3 2 2" xfId="39837"/>
    <cellStyle name="Normal 85 3 2 2 2" xfId="39838"/>
    <cellStyle name="Normal 85 3 2 3" xfId="39839"/>
    <cellStyle name="Normal 85 3 2 3 2" xfId="39840"/>
    <cellStyle name="Normal 85 3 2 3 2 2" xfId="39841"/>
    <cellStyle name="Normal 85 3 2 3 3" xfId="39842"/>
    <cellStyle name="Normal 85 3 2 4" xfId="39843"/>
    <cellStyle name="Normal 85 3 3" xfId="39844"/>
    <cellStyle name="Normal 85 3 3 2" xfId="39845"/>
    <cellStyle name="Normal 85 3 3 2 2" xfId="39846"/>
    <cellStyle name="Normal 85 3 3 3" xfId="39847"/>
    <cellStyle name="Normal 85 3 4" xfId="39848"/>
    <cellStyle name="Normal 85 3 4 2" xfId="39849"/>
    <cellStyle name="Normal 85 3 4 2 2" xfId="39850"/>
    <cellStyle name="Normal 85 3 4 3" xfId="39851"/>
    <cellStyle name="Normal 85 3 5" xfId="39852"/>
    <cellStyle name="Normal 85 3 5 2" xfId="39853"/>
    <cellStyle name="Normal 85 3 5 2 2" xfId="39854"/>
    <cellStyle name="Normal 85 3 5 3" xfId="39855"/>
    <cellStyle name="Normal 85 3 6" xfId="39856"/>
    <cellStyle name="Normal 85 4" xfId="39857"/>
    <cellStyle name="Normal 85 4 2" xfId="39858"/>
    <cellStyle name="Normal 85 4 2 2" xfId="39859"/>
    <cellStyle name="Normal 85 4 3" xfId="39860"/>
    <cellStyle name="Normal 85 5" xfId="39861"/>
    <cellStyle name="Normal 85 5 2" xfId="39862"/>
    <cellStyle name="Normal 85 5 2 2" xfId="39863"/>
    <cellStyle name="Normal 85 5 3" xfId="39864"/>
    <cellStyle name="Normal 85 6" xfId="39865"/>
    <cellStyle name="Normal 85 6 2" xfId="39866"/>
    <cellStyle name="Normal 85 6 2 2" xfId="39867"/>
    <cellStyle name="Normal 85 6 3" xfId="39868"/>
    <cellStyle name="Normal 85 7" xfId="39869"/>
    <cellStyle name="Normal 86" xfId="39870"/>
    <cellStyle name="Normal 86 2" xfId="39871"/>
    <cellStyle name="Normal 86 2 2" xfId="39872"/>
    <cellStyle name="Normal 86 2 2 2" xfId="39873"/>
    <cellStyle name="Normal 86 2 3" xfId="39874"/>
    <cellStyle name="Normal 86 2 3 2" xfId="39875"/>
    <cellStyle name="Normal 86 2 3 2 2" xfId="39876"/>
    <cellStyle name="Normal 86 2 3 3" xfId="39877"/>
    <cellStyle name="Normal 86 2 4" xfId="39878"/>
    <cellStyle name="Normal 86 2 4 2" xfId="39879"/>
    <cellStyle name="Normal 86 2 4 2 2" xfId="39880"/>
    <cellStyle name="Normal 86 2 4 3" xfId="39881"/>
    <cellStyle name="Normal 86 2 5" xfId="39882"/>
    <cellStyle name="Normal 86 3" xfId="39883"/>
    <cellStyle name="Normal 86 3 2" xfId="39884"/>
    <cellStyle name="Normal 86 3 2 2" xfId="39885"/>
    <cellStyle name="Normal 86 3 2 2 2" xfId="39886"/>
    <cellStyle name="Normal 86 3 2 3" xfId="39887"/>
    <cellStyle name="Normal 86 3 2 3 2" xfId="39888"/>
    <cellStyle name="Normal 86 3 2 3 2 2" xfId="39889"/>
    <cellStyle name="Normal 86 3 2 3 3" xfId="39890"/>
    <cellStyle name="Normal 86 3 2 4" xfId="39891"/>
    <cellStyle name="Normal 86 3 3" xfId="39892"/>
    <cellStyle name="Normal 86 3 3 2" xfId="39893"/>
    <cellStyle name="Normal 86 3 3 2 2" xfId="39894"/>
    <cellStyle name="Normal 86 3 3 3" xfId="39895"/>
    <cellStyle name="Normal 86 3 4" xfId="39896"/>
    <cellStyle name="Normal 86 3 4 2" xfId="39897"/>
    <cellStyle name="Normal 86 3 4 2 2" xfId="39898"/>
    <cellStyle name="Normal 86 3 4 3" xfId="39899"/>
    <cellStyle name="Normal 86 3 5" xfId="39900"/>
    <cellStyle name="Normal 86 3 5 2" xfId="39901"/>
    <cellStyle name="Normal 86 3 5 2 2" xfId="39902"/>
    <cellStyle name="Normal 86 3 5 3" xfId="39903"/>
    <cellStyle name="Normal 86 3 6" xfId="39904"/>
    <cellStyle name="Normal 86 4" xfId="39905"/>
    <cellStyle name="Normal 86 4 2" xfId="39906"/>
    <cellStyle name="Normal 86 4 2 2" xfId="39907"/>
    <cellStyle name="Normal 86 4 3" xfId="39908"/>
    <cellStyle name="Normal 86 5" xfId="39909"/>
    <cellStyle name="Normal 86 5 2" xfId="39910"/>
    <cellStyle name="Normal 86 5 2 2" xfId="39911"/>
    <cellStyle name="Normal 86 5 3" xfId="39912"/>
    <cellStyle name="Normal 86 6" xfId="39913"/>
    <cellStyle name="Normal 86 6 2" xfId="39914"/>
    <cellStyle name="Normal 86 6 2 2" xfId="39915"/>
    <cellStyle name="Normal 86 6 3" xfId="39916"/>
    <cellStyle name="Normal 86 7" xfId="39917"/>
    <cellStyle name="Normal 87" xfId="39918"/>
    <cellStyle name="Normal 87 2" xfId="39919"/>
    <cellStyle name="Normal 87 2 2" xfId="39920"/>
    <cellStyle name="Normal 87 2 2 2" xfId="39921"/>
    <cellStyle name="Normal 87 2 3" xfId="39922"/>
    <cellStyle name="Normal 87 2 3 2" xfId="39923"/>
    <cellStyle name="Normal 87 2 3 2 2" xfId="39924"/>
    <cellStyle name="Normal 87 2 3 3" xfId="39925"/>
    <cellStyle name="Normal 87 2 4" xfId="39926"/>
    <cellStyle name="Normal 87 2 4 2" xfId="39927"/>
    <cellStyle name="Normal 87 2 4 2 2" xfId="39928"/>
    <cellStyle name="Normal 87 2 4 3" xfId="39929"/>
    <cellStyle name="Normal 87 2 5" xfId="39930"/>
    <cellStyle name="Normal 87 3" xfId="39931"/>
    <cellStyle name="Normal 87 3 2" xfId="39932"/>
    <cellStyle name="Normal 87 3 2 2" xfId="39933"/>
    <cellStyle name="Normal 87 3 2 2 2" xfId="39934"/>
    <cellStyle name="Normal 87 3 2 3" xfId="39935"/>
    <cellStyle name="Normal 87 3 2 3 2" xfId="39936"/>
    <cellStyle name="Normal 87 3 2 3 2 2" xfId="39937"/>
    <cellStyle name="Normal 87 3 2 3 3" xfId="39938"/>
    <cellStyle name="Normal 87 3 2 4" xfId="39939"/>
    <cellStyle name="Normal 87 3 3" xfId="39940"/>
    <cellStyle name="Normal 87 3 3 2" xfId="39941"/>
    <cellStyle name="Normal 87 3 3 2 2" xfId="39942"/>
    <cellStyle name="Normal 87 3 3 3" xfId="39943"/>
    <cellStyle name="Normal 87 3 4" xfId="39944"/>
    <cellStyle name="Normal 87 3 4 2" xfId="39945"/>
    <cellStyle name="Normal 87 3 4 2 2" xfId="39946"/>
    <cellStyle name="Normal 87 3 4 3" xfId="39947"/>
    <cellStyle name="Normal 87 3 5" xfId="39948"/>
    <cellStyle name="Normal 87 3 5 2" xfId="39949"/>
    <cellStyle name="Normal 87 3 5 2 2" xfId="39950"/>
    <cellStyle name="Normal 87 3 5 3" xfId="39951"/>
    <cellStyle name="Normal 87 3 6" xfId="39952"/>
    <cellStyle name="Normal 87 4" xfId="39953"/>
    <cellStyle name="Normal 87 4 2" xfId="39954"/>
    <cellStyle name="Normal 87 4 2 2" xfId="39955"/>
    <cellStyle name="Normal 87 4 3" xfId="39956"/>
    <cellStyle name="Normal 87 5" xfId="39957"/>
    <cellStyle name="Normal 87 5 2" xfId="39958"/>
    <cellStyle name="Normal 87 5 2 2" xfId="39959"/>
    <cellStyle name="Normal 87 5 3" xfId="39960"/>
    <cellStyle name="Normal 87 6" xfId="39961"/>
    <cellStyle name="Normal 87 6 2" xfId="39962"/>
    <cellStyle name="Normal 87 6 2 2" xfId="39963"/>
    <cellStyle name="Normal 87 6 3" xfId="39964"/>
    <cellStyle name="Normal 87 7" xfId="39965"/>
    <cellStyle name="Normal 88" xfId="39966"/>
    <cellStyle name="Normal 88 2" xfId="39967"/>
    <cellStyle name="Normal 88 2 2" xfId="39968"/>
    <cellStyle name="Normal 88 2 2 2" xfId="39969"/>
    <cellStyle name="Normal 88 2 3" xfId="39970"/>
    <cellStyle name="Normal 88 2 3 2" xfId="39971"/>
    <cellStyle name="Normal 88 2 3 2 2" xfId="39972"/>
    <cellStyle name="Normal 88 2 3 3" xfId="39973"/>
    <cellStyle name="Normal 88 2 4" xfId="39974"/>
    <cellStyle name="Normal 88 2 4 2" xfId="39975"/>
    <cellStyle name="Normal 88 2 4 2 2" xfId="39976"/>
    <cellStyle name="Normal 88 2 4 3" xfId="39977"/>
    <cellStyle name="Normal 88 2 5" xfId="39978"/>
    <cellStyle name="Normal 88 3" xfId="39979"/>
    <cellStyle name="Normal 88 3 2" xfId="39980"/>
    <cellStyle name="Normal 88 3 2 2" xfId="39981"/>
    <cellStyle name="Normal 88 3 2 2 2" xfId="39982"/>
    <cellStyle name="Normal 88 3 2 3" xfId="39983"/>
    <cellStyle name="Normal 88 3 2 3 2" xfId="39984"/>
    <cellStyle name="Normal 88 3 2 3 2 2" xfId="39985"/>
    <cellStyle name="Normal 88 3 2 3 3" xfId="39986"/>
    <cellStyle name="Normal 88 3 2 4" xfId="39987"/>
    <cellStyle name="Normal 88 3 3" xfId="39988"/>
    <cellStyle name="Normal 88 3 3 2" xfId="39989"/>
    <cellStyle name="Normal 88 3 3 2 2" xfId="39990"/>
    <cellStyle name="Normal 88 3 3 3" xfId="39991"/>
    <cellStyle name="Normal 88 3 4" xfId="39992"/>
    <cellStyle name="Normal 88 3 4 2" xfId="39993"/>
    <cellStyle name="Normal 88 3 4 2 2" xfId="39994"/>
    <cellStyle name="Normal 88 3 4 3" xfId="39995"/>
    <cellStyle name="Normal 88 3 5" xfId="39996"/>
    <cellStyle name="Normal 88 3 5 2" xfId="39997"/>
    <cellStyle name="Normal 88 3 5 2 2" xfId="39998"/>
    <cellStyle name="Normal 88 3 5 3" xfId="39999"/>
    <cellStyle name="Normal 88 3 6" xfId="40000"/>
    <cellStyle name="Normal 88 4" xfId="40001"/>
    <cellStyle name="Normal 88 4 2" xfId="40002"/>
    <cellStyle name="Normal 88 4 2 2" xfId="40003"/>
    <cellStyle name="Normal 88 4 3" xfId="40004"/>
    <cellStyle name="Normal 88 5" xfId="40005"/>
    <cellStyle name="Normal 88 5 2" xfId="40006"/>
    <cellStyle name="Normal 88 5 2 2" xfId="40007"/>
    <cellStyle name="Normal 88 5 3" xfId="40008"/>
    <cellStyle name="Normal 88 6" xfId="40009"/>
    <cellStyle name="Normal 88 6 2" xfId="40010"/>
    <cellStyle name="Normal 88 6 2 2" xfId="40011"/>
    <cellStyle name="Normal 88 6 3" xfId="40012"/>
    <cellStyle name="Normal 88 7" xfId="40013"/>
    <cellStyle name="Normal 89" xfId="40014"/>
    <cellStyle name="Normal 89 2" xfId="40015"/>
    <cellStyle name="Normal 89 2 2" xfId="40016"/>
    <cellStyle name="Normal 89 2 2 2" xfId="40017"/>
    <cellStyle name="Normal 89 2 3" xfId="40018"/>
    <cellStyle name="Normal 89 2 3 2" xfId="40019"/>
    <cellStyle name="Normal 89 2 3 2 2" xfId="40020"/>
    <cellStyle name="Normal 89 2 3 3" xfId="40021"/>
    <cellStyle name="Normal 89 2 4" xfId="40022"/>
    <cellStyle name="Normal 89 2 4 2" xfId="40023"/>
    <cellStyle name="Normal 89 2 4 2 2" xfId="40024"/>
    <cellStyle name="Normal 89 2 4 3" xfId="40025"/>
    <cellStyle name="Normal 89 2 5" xfId="40026"/>
    <cellStyle name="Normal 89 3" xfId="40027"/>
    <cellStyle name="Normal 89 3 2" xfId="40028"/>
    <cellStyle name="Normal 89 3 2 2" xfId="40029"/>
    <cellStyle name="Normal 89 3 2 2 2" xfId="40030"/>
    <cellStyle name="Normal 89 3 2 3" xfId="40031"/>
    <cellStyle name="Normal 89 3 2 3 2" xfId="40032"/>
    <cellStyle name="Normal 89 3 2 3 2 2" xfId="40033"/>
    <cellStyle name="Normal 89 3 2 3 3" xfId="40034"/>
    <cellStyle name="Normal 89 3 2 4" xfId="40035"/>
    <cellStyle name="Normal 89 3 3" xfId="40036"/>
    <cellStyle name="Normal 89 3 3 2" xfId="40037"/>
    <cellStyle name="Normal 89 3 3 2 2" xfId="40038"/>
    <cellStyle name="Normal 89 3 3 3" xfId="40039"/>
    <cellStyle name="Normal 89 3 4" xfId="40040"/>
    <cellStyle name="Normal 89 3 4 2" xfId="40041"/>
    <cellStyle name="Normal 89 3 4 2 2" xfId="40042"/>
    <cellStyle name="Normal 89 3 4 3" xfId="40043"/>
    <cellStyle name="Normal 89 3 5" xfId="40044"/>
    <cellStyle name="Normal 89 3 5 2" xfId="40045"/>
    <cellStyle name="Normal 89 3 5 2 2" xfId="40046"/>
    <cellStyle name="Normal 89 3 5 3" xfId="40047"/>
    <cellStyle name="Normal 89 3 6" xfId="40048"/>
    <cellStyle name="Normal 89 4" xfId="40049"/>
    <cellStyle name="Normal 89 4 2" xfId="40050"/>
    <cellStyle name="Normal 89 4 2 2" xfId="40051"/>
    <cellStyle name="Normal 89 4 3" xfId="40052"/>
    <cellStyle name="Normal 89 5" xfId="40053"/>
    <cellStyle name="Normal 89 5 2" xfId="40054"/>
    <cellStyle name="Normal 89 5 2 2" xfId="40055"/>
    <cellStyle name="Normal 89 5 3" xfId="40056"/>
    <cellStyle name="Normal 89 6" xfId="40057"/>
    <cellStyle name="Normal 89 6 2" xfId="40058"/>
    <cellStyle name="Normal 89 6 2 2" xfId="40059"/>
    <cellStyle name="Normal 89 6 3" xfId="40060"/>
    <cellStyle name="Normal 89 7" xfId="40061"/>
    <cellStyle name="Normal 9" xfId="137"/>
    <cellStyle name="Normal 9 10" xfId="53723"/>
    <cellStyle name="Normal 9 11" xfId="53785"/>
    <cellStyle name="Normal 9 2" xfId="181"/>
    <cellStyle name="Normal 9 2 2" xfId="317"/>
    <cellStyle name="Normal 9 2 2 2" xfId="40065"/>
    <cellStyle name="Normal 9 2 2 2 2" xfId="40066"/>
    <cellStyle name="Normal 9 2 2 3" xfId="40067"/>
    <cellStyle name="Normal 9 2 2 3 2" xfId="40068"/>
    <cellStyle name="Normal 9 2 2 3 2 2" xfId="40069"/>
    <cellStyle name="Normal 9 2 2 3 3" xfId="40070"/>
    <cellStyle name="Normal 9 2 2 4" xfId="40071"/>
    <cellStyle name="Normal 9 2 2 4 2" xfId="40072"/>
    <cellStyle name="Normal 9 2 2 4 2 2" xfId="40073"/>
    <cellStyle name="Normal 9 2 2 4 3" xfId="40074"/>
    <cellStyle name="Normal 9 2 2 5" xfId="40075"/>
    <cellStyle name="Normal 9 2 2 6" xfId="40064"/>
    <cellStyle name="Normal 9 2 3" xfId="440"/>
    <cellStyle name="Normal 9 2 3 2" xfId="40077"/>
    <cellStyle name="Normal 9 2 3 2 2" xfId="40078"/>
    <cellStyle name="Normal 9 2 3 2 2 2" xfId="40079"/>
    <cellStyle name="Normal 9 2 3 2 3" xfId="40080"/>
    <cellStyle name="Normal 9 2 3 2 3 2" xfId="40081"/>
    <cellStyle name="Normal 9 2 3 2 3 2 2" xfId="40082"/>
    <cellStyle name="Normal 9 2 3 2 3 3" xfId="40083"/>
    <cellStyle name="Normal 9 2 3 2 4" xfId="40084"/>
    <cellStyle name="Normal 9 2 3 3" xfId="40085"/>
    <cellStyle name="Normal 9 2 3 3 2" xfId="40086"/>
    <cellStyle name="Normal 9 2 3 3 2 2" xfId="40087"/>
    <cellStyle name="Normal 9 2 3 3 3" xfId="40088"/>
    <cellStyle name="Normal 9 2 3 4" xfId="40089"/>
    <cellStyle name="Normal 9 2 3 4 2" xfId="40090"/>
    <cellStyle name="Normal 9 2 3 4 2 2" xfId="40091"/>
    <cellStyle name="Normal 9 2 3 4 3" xfId="40092"/>
    <cellStyle name="Normal 9 2 3 5" xfId="40093"/>
    <cellStyle name="Normal 9 2 3 5 2" xfId="40094"/>
    <cellStyle name="Normal 9 2 3 5 2 2" xfId="40095"/>
    <cellStyle name="Normal 9 2 3 5 3" xfId="40096"/>
    <cellStyle name="Normal 9 2 3 6" xfId="40097"/>
    <cellStyle name="Normal 9 2 3 7" xfId="40076"/>
    <cellStyle name="Normal 9 2 4" xfId="664"/>
    <cellStyle name="Normal 9 2 4 2" xfId="40098"/>
    <cellStyle name="Normal 9 2 5" xfId="40063"/>
    <cellStyle name="Normal 9 2 6" xfId="53807"/>
    <cellStyle name="Normal 9 3" xfId="222"/>
    <cellStyle name="Normal 9 3 2" xfId="358"/>
    <cellStyle name="Normal 9 3 2 2" xfId="40101"/>
    <cellStyle name="Normal 9 3 2 2 2" xfId="40102"/>
    <cellStyle name="Normal 9 3 2 3" xfId="40103"/>
    <cellStyle name="Normal 9 3 2 3 2" xfId="40104"/>
    <cellStyle name="Normal 9 3 2 3 2 2" xfId="40105"/>
    <cellStyle name="Normal 9 3 2 3 3" xfId="40106"/>
    <cellStyle name="Normal 9 3 2 4" xfId="40107"/>
    <cellStyle name="Normal 9 3 2 4 2" xfId="40108"/>
    <cellStyle name="Normal 9 3 2 4 2 2" xfId="40109"/>
    <cellStyle name="Normal 9 3 2 4 3" xfId="40110"/>
    <cellStyle name="Normal 9 3 2 5" xfId="40111"/>
    <cellStyle name="Normal 9 3 2 6" xfId="40100"/>
    <cellStyle name="Normal 9 3 3" xfId="481"/>
    <cellStyle name="Normal 9 3 3 2" xfId="40113"/>
    <cellStyle name="Normal 9 3 3 2 2" xfId="40114"/>
    <cellStyle name="Normal 9 3 3 3" xfId="40115"/>
    <cellStyle name="Normal 9 3 3 4" xfId="40112"/>
    <cellStyle name="Normal 9 3 4" xfId="665"/>
    <cellStyle name="Normal 9 3 4 2" xfId="40117"/>
    <cellStyle name="Normal 9 3 4 2 2" xfId="40118"/>
    <cellStyle name="Normal 9 3 4 3" xfId="40119"/>
    <cellStyle name="Normal 9 3 4 4" xfId="40116"/>
    <cellStyle name="Normal 9 3 5" xfId="40120"/>
    <cellStyle name="Normal 9 3 5 2" xfId="40121"/>
    <cellStyle name="Normal 9 3 5 2 2" xfId="40122"/>
    <cellStyle name="Normal 9 3 5 3" xfId="40123"/>
    <cellStyle name="Normal 9 3 6" xfId="40124"/>
    <cellStyle name="Normal 9 3 7" xfId="40099"/>
    <cellStyle name="Normal 9 3 8" xfId="53848"/>
    <cellStyle name="Normal 9 4" xfId="276"/>
    <cellStyle name="Normal 9 4 2" xfId="40126"/>
    <cellStyle name="Normal 9 4 2 2" xfId="40127"/>
    <cellStyle name="Normal 9 4 3" xfId="40128"/>
    <cellStyle name="Normal 9 4 3 2" xfId="40129"/>
    <cellStyle name="Normal 9 4 3 2 2" xfId="40130"/>
    <cellStyle name="Normal 9 4 3 3" xfId="40131"/>
    <cellStyle name="Normal 9 4 4" xfId="40132"/>
    <cellStyle name="Normal 9 4 4 2" xfId="40133"/>
    <cellStyle name="Normal 9 4 4 2 2" xfId="40134"/>
    <cellStyle name="Normal 9 4 4 3" xfId="40135"/>
    <cellStyle name="Normal 9 4 5" xfId="40136"/>
    <cellStyle name="Normal 9 4 6" xfId="40125"/>
    <cellStyle name="Normal 9 5" xfId="399"/>
    <cellStyle name="Normal 9 5 2" xfId="40138"/>
    <cellStyle name="Normal 9 5 2 2" xfId="40139"/>
    <cellStyle name="Normal 9 5 2 2 2" xfId="40140"/>
    <cellStyle name="Normal 9 5 2 3" xfId="40141"/>
    <cellStyle name="Normal 9 5 2 3 2" xfId="40142"/>
    <cellStyle name="Normal 9 5 2 3 2 2" xfId="40143"/>
    <cellStyle name="Normal 9 5 2 3 3" xfId="40144"/>
    <cellStyle name="Normal 9 5 2 4" xfId="40145"/>
    <cellStyle name="Normal 9 5 3" xfId="40146"/>
    <cellStyle name="Normal 9 5 3 2" xfId="40147"/>
    <cellStyle name="Normal 9 5 3 2 2" xfId="40148"/>
    <cellStyle name="Normal 9 5 3 3" xfId="40149"/>
    <cellStyle name="Normal 9 5 4" xfId="40150"/>
    <cellStyle name="Normal 9 5 4 2" xfId="40151"/>
    <cellStyle name="Normal 9 5 4 2 2" xfId="40152"/>
    <cellStyle name="Normal 9 5 4 3" xfId="40153"/>
    <cellStyle name="Normal 9 5 5" xfId="40154"/>
    <cellStyle name="Normal 9 5 5 2" xfId="40155"/>
    <cellStyle name="Normal 9 5 5 2 2" xfId="40156"/>
    <cellStyle name="Normal 9 5 5 3" xfId="40157"/>
    <cellStyle name="Normal 9 5 6" xfId="40158"/>
    <cellStyle name="Normal 9 5 7" xfId="40137"/>
    <cellStyle name="Normal 9 6" xfId="522"/>
    <cellStyle name="Normal 9 6 2" xfId="40160"/>
    <cellStyle name="Normal 9 6 2 2" xfId="40161"/>
    <cellStyle name="Normal 9 6 2 2 2" xfId="40162"/>
    <cellStyle name="Normal 9 6 2 3" xfId="40163"/>
    <cellStyle name="Normal 9 6 2 3 2" xfId="40164"/>
    <cellStyle name="Normal 9 6 2 3 2 2" xfId="40165"/>
    <cellStyle name="Normal 9 6 2 3 3" xfId="40166"/>
    <cellStyle name="Normal 9 6 2 4" xfId="40167"/>
    <cellStyle name="Normal 9 6 3" xfId="40168"/>
    <cellStyle name="Normal 9 6 3 2" xfId="40169"/>
    <cellStyle name="Normal 9 6 3 2 2" xfId="40170"/>
    <cellStyle name="Normal 9 6 3 3" xfId="40171"/>
    <cellStyle name="Normal 9 6 4" xfId="40172"/>
    <cellStyle name="Normal 9 6 4 2" xfId="40173"/>
    <cellStyle name="Normal 9 6 4 2 2" xfId="40174"/>
    <cellStyle name="Normal 9 6 4 3" xfId="40175"/>
    <cellStyle name="Normal 9 6 5" xfId="40176"/>
    <cellStyle name="Normal 9 6 6" xfId="40159"/>
    <cellStyle name="Normal 9 7" xfId="663"/>
    <cellStyle name="Normal 9 7 2" xfId="40178"/>
    <cellStyle name="Normal 9 7 3" xfId="40177"/>
    <cellStyle name="Normal 9 8" xfId="40179"/>
    <cellStyle name="Normal 9 9" xfId="40062"/>
    <cellStyle name="Normal 90" xfId="40180"/>
    <cellStyle name="Normal 90 2" xfId="40181"/>
    <cellStyle name="Normal 90 2 2" xfId="40182"/>
    <cellStyle name="Normal 90 2 2 2" xfId="40183"/>
    <cellStyle name="Normal 90 2 3" xfId="40184"/>
    <cellStyle name="Normal 90 2 3 2" xfId="40185"/>
    <cellStyle name="Normal 90 2 3 2 2" xfId="40186"/>
    <cellStyle name="Normal 90 2 3 3" xfId="40187"/>
    <cellStyle name="Normal 90 2 4" xfId="40188"/>
    <cellStyle name="Normal 90 2 4 2" xfId="40189"/>
    <cellStyle name="Normal 90 2 4 2 2" xfId="40190"/>
    <cellStyle name="Normal 90 2 4 3" xfId="40191"/>
    <cellStyle name="Normal 90 2 5" xfId="40192"/>
    <cellStyle name="Normal 90 3" xfId="40193"/>
    <cellStyle name="Normal 90 3 2" xfId="40194"/>
    <cellStyle name="Normal 90 3 2 2" xfId="40195"/>
    <cellStyle name="Normal 90 3 2 2 2" xfId="40196"/>
    <cellStyle name="Normal 90 3 2 3" xfId="40197"/>
    <cellStyle name="Normal 90 3 2 3 2" xfId="40198"/>
    <cellStyle name="Normal 90 3 2 3 2 2" xfId="40199"/>
    <cellStyle name="Normal 90 3 2 3 3" xfId="40200"/>
    <cellStyle name="Normal 90 3 2 4" xfId="40201"/>
    <cellStyle name="Normal 90 3 3" xfId="40202"/>
    <cellStyle name="Normal 90 3 3 2" xfId="40203"/>
    <cellStyle name="Normal 90 3 3 2 2" xfId="40204"/>
    <cellStyle name="Normal 90 3 3 3" xfId="40205"/>
    <cellStyle name="Normal 90 3 4" xfId="40206"/>
    <cellStyle name="Normal 90 3 4 2" xfId="40207"/>
    <cellStyle name="Normal 90 3 4 2 2" xfId="40208"/>
    <cellStyle name="Normal 90 3 4 3" xfId="40209"/>
    <cellStyle name="Normal 90 3 5" xfId="40210"/>
    <cellStyle name="Normal 90 3 5 2" xfId="40211"/>
    <cellStyle name="Normal 90 3 5 2 2" xfId="40212"/>
    <cellStyle name="Normal 90 3 5 3" xfId="40213"/>
    <cellStyle name="Normal 90 3 6" xfId="40214"/>
    <cellStyle name="Normal 90 4" xfId="40215"/>
    <cellStyle name="Normal 90 4 2" xfId="40216"/>
    <cellStyle name="Normal 90 4 2 2" xfId="40217"/>
    <cellStyle name="Normal 90 4 3" xfId="40218"/>
    <cellStyle name="Normal 90 5" xfId="40219"/>
    <cellStyle name="Normal 90 5 2" xfId="40220"/>
    <cellStyle name="Normal 90 5 2 2" xfId="40221"/>
    <cellStyle name="Normal 90 5 3" xfId="40222"/>
    <cellStyle name="Normal 90 6" xfId="40223"/>
    <cellStyle name="Normal 90 6 2" xfId="40224"/>
    <cellStyle name="Normal 90 6 2 2" xfId="40225"/>
    <cellStyle name="Normal 90 6 3" xfId="40226"/>
    <cellStyle name="Normal 90 7" xfId="40227"/>
    <cellStyle name="Normal 91" xfId="40228"/>
    <cellStyle name="Normal 91 2" xfId="40229"/>
    <cellStyle name="Normal 91 2 2" xfId="40230"/>
    <cellStyle name="Normal 91 2 2 2" xfId="40231"/>
    <cellStyle name="Normal 91 2 3" xfId="40232"/>
    <cellStyle name="Normal 91 2 3 2" xfId="40233"/>
    <cellStyle name="Normal 91 2 3 2 2" xfId="40234"/>
    <cellStyle name="Normal 91 2 3 3" xfId="40235"/>
    <cellStyle name="Normal 91 2 4" xfId="40236"/>
    <cellStyle name="Normal 91 2 4 2" xfId="40237"/>
    <cellStyle name="Normal 91 2 4 2 2" xfId="40238"/>
    <cellStyle name="Normal 91 2 4 3" xfId="40239"/>
    <cellStyle name="Normal 91 2 5" xfId="40240"/>
    <cellStyle name="Normal 91 3" xfId="40241"/>
    <cellStyle name="Normal 91 3 2" xfId="40242"/>
    <cellStyle name="Normal 91 3 2 2" xfId="40243"/>
    <cellStyle name="Normal 91 3 2 2 2" xfId="40244"/>
    <cellStyle name="Normal 91 3 2 3" xfId="40245"/>
    <cellStyle name="Normal 91 3 2 3 2" xfId="40246"/>
    <cellStyle name="Normal 91 3 2 3 2 2" xfId="40247"/>
    <cellStyle name="Normal 91 3 2 3 3" xfId="40248"/>
    <cellStyle name="Normal 91 3 2 4" xfId="40249"/>
    <cellStyle name="Normal 91 3 3" xfId="40250"/>
    <cellStyle name="Normal 91 3 3 2" xfId="40251"/>
    <cellStyle name="Normal 91 3 3 2 2" xfId="40252"/>
    <cellStyle name="Normal 91 3 3 3" xfId="40253"/>
    <cellStyle name="Normal 91 3 4" xfId="40254"/>
    <cellStyle name="Normal 91 3 4 2" xfId="40255"/>
    <cellStyle name="Normal 91 3 4 2 2" xfId="40256"/>
    <cellStyle name="Normal 91 3 4 3" xfId="40257"/>
    <cellStyle name="Normal 91 3 5" xfId="40258"/>
    <cellStyle name="Normal 91 3 5 2" xfId="40259"/>
    <cellStyle name="Normal 91 3 5 2 2" xfId="40260"/>
    <cellStyle name="Normal 91 3 5 3" xfId="40261"/>
    <cellStyle name="Normal 91 3 6" xfId="40262"/>
    <cellStyle name="Normal 91 4" xfId="40263"/>
    <cellStyle name="Normal 91 4 2" xfId="40264"/>
    <cellStyle name="Normal 91 4 2 2" xfId="40265"/>
    <cellStyle name="Normal 91 4 3" xfId="40266"/>
    <cellStyle name="Normal 91 5" xfId="40267"/>
    <cellStyle name="Normal 91 5 2" xfId="40268"/>
    <cellStyle name="Normal 91 5 2 2" xfId="40269"/>
    <cellStyle name="Normal 91 5 3" xfId="40270"/>
    <cellStyle name="Normal 91 6" xfId="40271"/>
    <cellStyle name="Normal 91 6 2" xfId="40272"/>
    <cellStyle name="Normal 91 6 2 2" xfId="40273"/>
    <cellStyle name="Normal 91 6 3" xfId="40274"/>
    <cellStyle name="Normal 91 7" xfId="40275"/>
    <cellStyle name="Normal 92" xfId="40276"/>
    <cellStyle name="Normal 92 2" xfId="40277"/>
    <cellStyle name="Normal 92 2 2" xfId="40278"/>
    <cellStyle name="Normal 92 2 2 2" xfId="40279"/>
    <cellStyle name="Normal 92 2 3" xfId="40280"/>
    <cellStyle name="Normal 92 2 3 2" xfId="40281"/>
    <cellStyle name="Normal 92 2 3 2 2" xfId="40282"/>
    <cellStyle name="Normal 92 2 3 3" xfId="40283"/>
    <cellStyle name="Normal 92 2 4" xfId="40284"/>
    <cellStyle name="Normal 92 2 4 2" xfId="40285"/>
    <cellStyle name="Normal 92 2 4 2 2" xfId="40286"/>
    <cellStyle name="Normal 92 2 4 3" xfId="40287"/>
    <cellStyle name="Normal 92 2 5" xfId="40288"/>
    <cellStyle name="Normal 92 3" xfId="40289"/>
    <cellStyle name="Normal 92 3 2" xfId="40290"/>
    <cellStyle name="Normal 92 3 2 2" xfId="40291"/>
    <cellStyle name="Normal 92 3 2 2 2" xfId="40292"/>
    <cellStyle name="Normal 92 3 2 3" xfId="40293"/>
    <cellStyle name="Normal 92 3 2 3 2" xfId="40294"/>
    <cellStyle name="Normal 92 3 2 3 2 2" xfId="40295"/>
    <cellStyle name="Normal 92 3 2 3 3" xfId="40296"/>
    <cellStyle name="Normal 92 3 2 4" xfId="40297"/>
    <cellStyle name="Normal 92 3 3" xfId="40298"/>
    <cellStyle name="Normal 92 3 3 2" xfId="40299"/>
    <cellStyle name="Normal 92 3 3 2 2" xfId="40300"/>
    <cellStyle name="Normal 92 3 3 3" xfId="40301"/>
    <cellStyle name="Normal 92 3 4" xfId="40302"/>
    <cellStyle name="Normal 92 3 4 2" xfId="40303"/>
    <cellStyle name="Normal 92 3 4 2 2" xfId="40304"/>
    <cellStyle name="Normal 92 3 4 3" xfId="40305"/>
    <cellStyle name="Normal 92 3 5" xfId="40306"/>
    <cellStyle name="Normal 92 3 5 2" xfId="40307"/>
    <cellStyle name="Normal 92 3 5 2 2" xfId="40308"/>
    <cellStyle name="Normal 92 3 5 3" xfId="40309"/>
    <cellStyle name="Normal 92 3 6" xfId="40310"/>
    <cellStyle name="Normal 92 4" xfId="40311"/>
    <cellStyle name="Normal 92 4 2" xfId="40312"/>
    <cellStyle name="Normal 92 4 2 2" xfId="40313"/>
    <cellStyle name="Normal 92 4 3" xfId="40314"/>
    <cellStyle name="Normal 92 5" xfId="40315"/>
    <cellStyle name="Normal 92 5 2" xfId="40316"/>
    <cellStyle name="Normal 92 5 2 2" xfId="40317"/>
    <cellStyle name="Normal 92 5 3" xfId="40318"/>
    <cellStyle name="Normal 92 6" xfId="40319"/>
    <cellStyle name="Normal 92 6 2" xfId="40320"/>
    <cellStyle name="Normal 92 6 2 2" xfId="40321"/>
    <cellStyle name="Normal 92 6 3" xfId="40322"/>
    <cellStyle name="Normal 92 7" xfId="40323"/>
    <cellStyle name="Normal 93" xfId="40324"/>
    <cellStyle name="Normal 93 2" xfId="40325"/>
    <cellStyle name="Normal 93 2 2" xfId="40326"/>
    <cellStyle name="Normal 93 2 2 2" xfId="40327"/>
    <cellStyle name="Normal 93 2 3" xfId="40328"/>
    <cellStyle name="Normal 93 2 3 2" xfId="40329"/>
    <cellStyle name="Normal 93 2 3 2 2" xfId="40330"/>
    <cellStyle name="Normal 93 2 3 3" xfId="40331"/>
    <cellStyle name="Normal 93 2 4" xfId="40332"/>
    <cellStyle name="Normal 93 2 4 2" xfId="40333"/>
    <cellStyle name="Normal 93 2 4 2 2" xfId="40334"/>
    <cellStyle name="Normal 93 2 4 3" xfId="40335"/>
    <cellStyle name="Normal 93 2 5" xfId="40336"/>
    <cellStyle name="Normal 93 3" xfId="40337"/>
    <cellStyle name="Normal 93 3 2" xfId="40338"/>
    <cellStyle name="Normal 93 3 2 2" xfId="40339"/>
    <cellStyle name="Normal 93 3 2 2 2" xfId="40340"/>
    <cellStyle name="Normal 93 3 2 3" xfId="40341"/>
    <cellStyle name="Normal 93 3 2 3 2" xfId="40342"/>
    <cellStyle name="Normal 93 3 2 3 2 2" xfId="40343"/>
    <cellStyle name="Normal 93 3 2 3 3" xfId="40344"/>
    <cellStyle name="Normal 93 3 2 4" xfId="40345"/>
    <cellStyle name="Normal 93 3 3" xfId="40346"/>
    <cellStyle name="Normal 93 3 3 2" xfId="40347"/>
    <cellStyle name="Normal 93 3 3 2 2" xfId="40348"/>
    <cellStyle name="Normal 93 3 3 3" xfId="40349"/>
    <cellStyle name="Normal 93 3 4" xfId="40350"/>
    <cellStyle name="Normal 93 3 4 2" xfId="40351"/>
    <cellStyle name="Normal 93 3 4 2 2" xfId="40352"/>
    <cellStyle name="Normal 93 3 4 3" xfId="40353"/>
    <cellStyle name="Normal 93 3 5" xfId="40354"/>
    <cellStyle name="Normal 93 3 5 2" xfId="40355"/>
    <cellStyle name="Normal 93 3 5 2 2" xfId="40356"/>
    <cellStyle name="Normal 93 3 5 3" xfId="40357"/>
    <cellStyle name="Normal 93 3 6" xfId="40358"/>
    <cellStyle name="Normal 93 4" xfId="40359"/>
    <cellStyle name="Normal 93 4 2" xfId="40360"/>
    <cellStyle name="Normal 93 4 2 2" xfId="40361"/>
    <cellStyle name="Normal 93 4 3" xfId="40362"/>
    <cellStyle name="Normal 93 5" xfId="40363"/>
    <cellStyle name="Normal 93 5 2" xfId="40364"/>
    <cellStyle name="Normal 93 5 2 2" xfId="40365"/>
    <cellStyle name="Normal 93 5 3" xfId="40366"/>
    <cellStyle name="Normal 93 6" xfId="40367"/>
    <cellStyle name="Normal 93 6 2" xfId="40368"/>
    <cellStyle name="Normal 93 6 2 2" xfId="40369"/>
    <cellStyle name="Normal 93 6 3" xfId="40370"/>
    <cellStyle name="Normal 93 7" xfId="40371"/>
    <cellStyle name="Normal 94" xfId="40372"/>
    <cellStyle name="Normal 94 2" xfId="40373"/>
    <cellStyle name="Normal 94 2 2" xfId="40374"/>
    <cellStyle name="Normal 94 2 2 2" xfId="40375"/>
    <cellStyle name="Normal 94 2 3" xfId="40376"/>
    <cellStyle name="Normal 94 2 3 2" xfId="40377"/>
    <cellStyle name="Normal 94 2 3 2 2" xfId="40378"/>
    <cellStyle name="Normal 94 2 3 3" xfId="40379"/>
    <cellStyle name="Normal 94 2 4" xfId="40380"/>
    <cellStyle name="Normal 94 2 4 2" xfId="40381"/>
    <cellStyle name="Normal 94 2 4 2 2" xfId="40382"/>
    <cellStyle name="Normal 94 2 4 3" xfId="40383"/>
    <cellStyle name="Normal 94 2 5" xfId="40384"/>
    <cellStyle name="Normal 94 3" xfId="40385"/>
    <cellStyle name="Normal 94 3 2" xfId="40386"/>
    <cellStyle name="Normal 94 3 2 2" xfId="40387"/>
    <cellStyle name="Normal 94 3 2 2 2" xfId="40388"/>
    <cellStyle name="Normal 94 3 2 3" xfId="40389"/>
    <cellStyle name="Normal 94 3 2 3 2" xfId="40390"/>
    <cellStyle name="Normal 94 3 2 3 2 2" xfId="40391"/>
    <cellStyle name="Normal 94 3 2 3 3" xfId="40392"/>
    <cellStyle name="Normal 94 3 2 4" xfId="40393"/>
    <cellStyle name="Normal 94 3 3" xfId="40394"/>
    <cellStyle name="Normal 94 3 3 2" xfId="40395"/>
    <cellStyle name="Normal 94 3 3 2 2" xfId="40396"/>
    <cellStyle name="Normal 94 3 3 3" xfId="40397"/>
    <cellStyle name="Normal 94 3 4" xfId="40398"/>
    <cellStyle name="Normal 94 3 4 2" xfId="40399"/>
    <cellStyle name="Normal 94 3 4 2 2" xfId="40400"/>
    <cellStyle name="Normal 94 3 4 3" xfId="40401"/>
    <cellStyle name="Normal 94 3 5" xfId="40402"/>
    <cellStyle name="Normal 94 3 5 2" xfId="40403"/>
    <cellStyle name="Normal 94 3 5 2 2" xfId="40404"/>
    <cellStyle name="Normal 94 3 5 3" xfId="40405"/>
    <cellStyle name="Normal 94 3 6" xfId="40406"/>
    <cellStyle name="Normal 94 4" xfId="40407"/>
    <cellStyle name="Normal 94 4 2" xfId="40408"/>
    <cellStyle name="Normal 94 4 2 2" xfId="40409"/>
    <cellStyle name="Normal 94 4 3" xfId="40410"/>
    <cellStyle name="Normal 94 5" xfId="40411"/>
    <cellStyle name="Normal 94 5 2" xfId="40412"/>
    <cellStyle name="Normal 94 5 2 2" xfId="40413"/>
    <cellStyle name="Normal 94 5 3" xfId="40414"/>
    <cellStyle name="Normal 94 6" xfId="40415"/>
    <cellStyle name="Normal 94 6 2" xfId="40416"/>
    <cellStyle name="Normal 94 6 2 2" xfId="40417"/>
    <cellStyle name="Normal 94 6 3" xfId="40418"/>
    <cellStyle name="Normal 94 7" xfId="40419"/>
    <cellStyle name="Normal 95" xfId="40420"/>
    <cellStyle name="Normal 95 2" xfId="40421"/>
    <cellStyle name="Normal 95 2 2" xfId="40422"/>
    <cellStyle name="Normal 95 2 2 2" xfId="40423"/>
    <cellStyle name="Normal 95 2 3" xfId="40424"/>
    <cellStyle name="Normal 95 2 3 2" xfId="40425"/>
    <cellStyle name="Normal 95 2 3 2 2" xfId="40426"/>
    <cellStyle name="Normal 95 2 3 3" xfId="40427"/>
    <cellStyle name="Normal 95 2 4" xfId="40428"/>
    <cellStyle name="Normal 95 2 4 2" xfId="40429"/>
    <cellStyle name="Normal 95 2 4 2 2" xfId="40430"/>
    <cellStyle name="Normal 95 2 4 3" xfId="40431"/>
    <cellStyle name="Normal 95 2 5" xfId="40432"/>
    <cellStyle name="Normal 95 3" xfId="40433"/>
    <cellStyle name="Normal 95 3 2" xfId="40434"/>
    <cellStyle name="Normal 95 3 2 2" xfId="40435"/>
    <cellStyle name="Normal 95 3 2 2 2" xfId="40436"/>
    <cellStyle name="Normal 95 3 2 3" xfId="40437"/>
    <cellStyle name="Normal 95 3 2 3 2" xfId="40438"/>
    <cellStyle name="Normal 95 3 2 3 2 2" xfId="40439"/>
    <cellStyle name="Normal 95 3 2 3 3" xfId="40440"/>
    <cellStyle name="Normal 95 3 2 4" xfId="40441"/>
    <cellStyle name="Normal 95 3 3" xfId="40442"/>
    <cellStyle name="Normal 95 3 3 2" xfId="40443"/>
    <cellStyle name="Normal 95 3 3 2 2" xfId="40444"/>
    <cellStyle name="Normal 95 3 3 3" xfId="40445"/>
    <cellStyle name="Normal 95 3 4" xfId="40446"/>
    <cellStyle name="Normal 95 3 4 2" xfId="40447"/>
    <cellStyle name="Normal 95 3 4 2 2" xfId="40448"/>
    <cellStyle name="Normal 95 3 4 3" xfId="40449"/>
    <cellStyle name="Normal 95 3 5" xfId="40450"/>
    <cellStyle name="Normal 95 3 5 2" xfId="40451"/>
    <cellStyle name="Normal 95 3 5 2 2" xfId="40452"/>
    <cellStyle name="Normal 95 3 5 3" xfId="40453"/>
    <cellStyle name="Normal 95 3 6" xfId="40454"/>
    <cellStyle name="Normal 95 4" xfId="40455"/>
    <cellStyle name="Normal 95 4 2" xfId="40456"/>
    <cellStyle name="Normal 95 4 2 2" xfId="40457"/>
    <cellStyle name="Normal 95 4 3" xfId="40458"/>
    <cellStyle name="Normal 95 5" xfId="40459"/>
    <cellStyle name="Normal 95 5 2" xfId="40460"/>
    <cellStyle name="Normal 95 5 2 2" xfId="40461"/>
    <cellStyle name="Normal 95 5 3" xfId="40462"/>
    <cellStyle name="Normal 95 6" xfId="40463"/>
    <cellStyle name="Normal 95 6 2" xfId="40464"/>
    <cellStyle name="Normal 95 6 2 2" xfId="40465"/>
    <cellStyle name="Normal 95 6 3" xfId="40466"/>
    <cellStyle name="Normal 95 7" xfId="40467"/>
    <cellStyle name="Normal 96" xfId="40468"/>
    <cellStyle name="Normal 96 2" xfId="40469"/>
    <cellStyle name="Normal 96 2 2" xfId="40470"/>
    <cellStyle name="Normal 96 2 2 2" xfId="40471"/>
    <cellStyle name="Normal 96 2 3" xfId="40472"/>
    <cellStyle name="Normal 96 2 3 2" xfId="40473"/>
    <cellStyle name="Normal 96 2 3 2 2" xfId="40474"/>
    <cellStyle name="Normal 96 2 3 3" xfId="40475"/>
    <cellStyle name="Normal 96 2 4" xfId="40476"/>
    <cellStyle name="Normal 96 2 4 2" xfId="40477"/>
    <cellStyle name="Normal 96 2 4 2 2" xfId="40478"/>
    <cellStyle name="Normal 96 2 4 3" xfId="40479"/>
    <cellStyle name="Normal 96 2 5" xfId="40480"/>
    <cellStyle name="Normal 96 3" xfId="40481"/>
    <cellStyle name="Normal 96 3 2" xfId="40482"/>
    <cellStyle name="Normal 96 3 2 2" xfId="40483"/>
    <cellStyle name="Normal 96 3 2 2 2" xfId="40484"/>
    <cellStyle name="Normal 96 3 2 3" xfId="40485"/>
    <cellStyle name="Normal 96 3 2 3 2" xfId="40486"/>
    <cellStyle name="Normal 96 3 2 3 2 2" xfId="40487"/>
    <cellStyle name="Normal 96 3 2 3 3" xfId="40488"/>
    <cellStyle name="Normal 96 3 2 4" xfId="40489"/>
    <cellStyle name="Normal 96 3 3" xfId="40490"/>
    <cellStyle name="Normal 96 3 3 2" xfId="40491"/>
    <cellStyle name="Normal 96 3 3 2 2" xfId="40492"/>
    <cellStyle name="Normal 96 3 3 3" xfId="40493"/>
    <cellStyle name="Normal 96 3 4" xfId="40494"/>
    <cellStyle name="Normal 96 3 4 2" xfId="40495"/>
    <cellStyle name="Normal 96 3 4 2 2" xfId="40496"/>
    <cellStyle name="Normal 96 3 4 3" xfId="40497"/>
    <cellStyle name="Normal 96 3 5" xfId="40498"/>
    <cellStyle name="Normal 96 3 5 2" xfId="40499"/>
    <cellStyle name="Normal 96 3 5 2 2" xfId="40500"/>
    <cellStyle name="Normal 96 3 5 3" xfId="40501"/>
    <cellStyle name="Normal 96 3 6" xfId="40502"/>
    <cellStyle name="Normal 96 4" xfId="40503"/>
    <cellStyle name="Normal 96 4 2" xfId="40504"/>
    <cellStyle name="Normal 96 4 2 2" xfId="40505"/>
    <cellStyle name="Normal 96 4 3" xfId="40506"/>
    <cellStyle name="Normal 96 5" xfId="40507"/>
    <cellStyle name="Normal 96 5 2" xfId="40508"/>
    <cellStyle name="Normal 96 5 2 2" xfId="40509"/>
    <cellStyle name="Normal 96 5 3" xfId="40510"/>
    <cellStyle name="Normal 96 6" xfId="40511"/>
    <cellStyle name="Normal 96 6 2" xfId="40512"/>
    <cellStyle name="Normal 96 6 2 2" xfId="40513"/>
    <cellStyle name="Normal 96 6 3" xfId="40514"/>
    <cellStyle name="Normal 96 7" xfId="40515"/>
    <cellStyle name="Normal 97" xfId="40516"/>
    <cellStyle name="Normal 97 2" xfId="40517"/>
    <cellStyle name="Normal 97 2 2" xfId="40518"/>
    <cellStyle name="Normal 97 2 2 2" xfId="40519"/>
    <cellStyle name="Normal 97 2 3" xfId="40520"/>
    <cellStyle name="Normal 97 2 3 2" xfId="40521"/>
    <cellStyle name="Normal 97 2 3 2 2" xfId="40522"/>
    <cellStyle name="Normal 97 2 3 3" xfId="40523"/>
    <cellStyle name="Normal 97 2 4" xfId="40524"/>
    <cellStyle name="Normal 97 2 4 2" xfId="40525"/>
    <cellStyle name="Normal 97 2 4 2 2" xfId="40526"/>
    <cellStyle name="Normal 97 2 4 3" xfId="40527"/>
    <cellStyle name="Normal 97 2 5" xfId="40528"/>
    <cellStyle name="Normal 97 3" xfId="40529"/>
    <cellStyle name="Normal 97 3 2" xfId="40530"/>
    <cellStyle name="Normal 97 3 2 2" xfId="40531"/>
    <cellStyle name="Normal 97 3 2 2 2" xfId="40532"/>
    <cellStyle name="Normal 97 3 2 3" xfId="40533"/>
    <cellStyle name="Normal 97 3 2 3 2" xfId="40534"/>
    <cellStyle name="Normal 97 3 2 3 2 2" xfId="40535"/>
    <cellStyle name="Normal 97 3 2 3 3" xfId="40536"/>
    <cellStyle name="Normal 97 3 2 4" xfId="40537"/>
    <cellStyle name="Normal 97 3 3" xfId="40538"/>
    <cellStyle name="Normal 97 3 3 2" xfId="40539"/>
    <cellStyle name="Normal 97 3 3 2 2" xfId="40540"/>
    <cellStyle name="Normal 97 3 3 3" xfId="40541"/>
    <cellStyle name="Normal 97 3 4" xfId="40542"/>
    <cellStyle name="Normal 97 3 4 2" xfId="40543"/>
    <cellStyle name="Normal 97 3 4 2 2" xfId="40544"/>
    <cellStyle name="Normal 97 3 4 3" xfId="40545"/>
    <cellStyle name="Normal 97 3 5" xfId="40546"/>
    <cellStyle name="Normal 97 3 5 2" xfId="40547"/>
    <cellStyle name="Normal 97 3 5 2 2" xfId="40548"/>
    <cellStyle name="Normal 97 3 5 3" xfId="40549"/>
    <cellStyle name="Normal 97 3 6" xfId="40550"/>
    <cellStyle name="Normal 97 4" xfId="40551"/>
    <cellStyle name="Normal 97 4 2" xfId="40552"/>
    <cellStyle name="Normal 97 4 2 2" xfId="40553"/>
    <cellStyle name="Normal 97 4 3" xfId="40554"/>
    <cellStyle name="Normal 97 5" xfId="40555"/>
    <cellStyle name="Normal 97 5 2" xfId="40556"/>
    <cellStyle name="Normal 97 5 2 2" xfId="40557"/>
    <cellStyle name="Normal 97 5 3" xfId="40558"/>
    <cellStyle name="Normal 97 6" xfId="40559"/>
    <cellStyle name="Normal 97 6 2" xfId="40560"/>
    <cellStyle name="Normal 97 6 2 2" xfId="40561"/>
    <cellStyle name="Normal 97 6 3" xfId="40562"/>
    <cellStyle name="Normal 97 7" xfId="40563"/>
    <cellStyle name="Normal 98" xfId="40564"/>
    <cellStyle name="Normal 98 2" xfId="40565"/>
    <cellStyle name="Normal 98 2 2" xfId="40566"/>
    <cellStyle name="Normal 98 2 2 2" xfId="40567"/>
    <cellStyle name="Normal 98 2 3" xfId="40568"/>
    <cellStyle name="Normal 98 2 3 2" xfId="40569"/>
    <cellStyle name="Normal 98 2 3 2 2" xfId="40570"/>
    <cellStyle name="Normal 98 2 3 3" xfId="40571"/>
    <cellStyle name="Normal 98 2 4" xfId="40572"/>
    <cellStyle name="Normal 98 2 4 2" xfId="40573"/>
    <cellStyle name="Normal 98 2 4 2 2" xfId="40574"/>
    <cellStyle name="Normal 98 2 4 3" xfId="40575"/>
    <cellStyle name="Normal 98 2 5" xfId="40576"/>
    <cellStyle name="Normal 98 3" xfId="40577"/>
    <cellStyle name="Normal 98 3 2" xfId="40578"/>
    <cellStyle name="Normal 98 3 2 2" xfId="40579"/>
    <cellStyle name="Normal 98 3 2 2 2" xfId="40580"/>
    <cellStyle name="Normal 98 3 2 3" xfId="40581"/>
    <cellStyle name="Normal 98 3 2 3 2" xfId="40582"/>
    <cellStyle name="Normal 98 3 2 3 2 2" xfId="40583"/>
    <cellStyle name="Normal 98 3 2 3 3" xfId="40584"/>
    <cellStyle name="Normal 98 3 2 4" xfId="40585"/>
    <cellStyle name="Normal 98 3 3" xfId="40586"/>
    <cellStyle name="Normal 98 3 3 2" xfId="40587"/>
    <cellStyle name="Normal 98 3 3 2 2" xfId="40588"/>
    <cellStyle name="Normal 98 3 3 3" xfId="40589"/>
    <cellStyle name="Normal 98 3 4" xfId="40590"/>
    <cellStyle name="Normal 98 3 4 2" xfId="40591"/>
    <cellStyle name="Normal 98 3 4 2 2" xfId="40592"/>
    <cellStyle name="Normal 98 3 4 3" xfId="40593"/>
    <cellStyle name="Normal 98 3 5" xfId="40594"/>
    <cellStyle name="Normal 98 3 5 2" xfId="40595"/>
    <cellStyle name="Normal 98 3 5 2 2" xfId="40596"/>
    <cellStyle name="Normal 98 3 5 3" xfId="40597"/>
    <cellStyle name="Normal 98 3 6" xfId="40598"/>
    <cellStyle name="Normal 98 4" xfId="40599"/>
    <cellStyle name="Normal 98 4 2" xfId="40600"/>
    <cellStyle name="Normal 98 4 2 2" xfId="40601"/>
    <cellStyle name="Normal 98 4 3" xfId="40602"/>
    <cellStyle name="Normal 98 5" xfId="40603"/>
    <cellStyle name="Normal 98 5 2" xfId="40604"/>
    <cellStyle name="Normal 98 5 2 2" xfId="40605"/>
    <cellStyle name="Normal 98 5 3" xfId="40606"/>
    <cellStyle name="Normal 98 6" xfId="40607"/>
    <cellStyle name="Normal 98 6 2" xfId="40608"/>
    <cellStyle name="Normal 98 6 2 2" xfId="40609"/>
    <cellStyle name="Normal 98 6 3" xfId="40610"/>
    <cellStyle name="Normal 98 7" xfId="40611"/>
    <cellStyle name="Normal 99" xfId="40612"/>
    <cellStyle name="Normal 99 2" xfId="40613"/>
    <cellStyle name="Normal 99 2 2" xfId="40614"/>
    <cellStyle name="Normal 99 2 2 2" xfId="40615"/>
    <cellStyle name="Normal 99 2 3" xfId="40616"/>
    <cellStyle name="Normal 99 2 3 2" xfId="40617"/>
    <cellStyle name="Normal 99 2 3 2 2" xfId="40618"/>
    <cellStyle name="Normal 99 2 3 3" xfId="40619"/>
    <cellStyle name="Normal 99 2 4" xfId="40620"/>
    <cellStyle name="Normal 99 2 4 2" xfId="40621"/>
    <cellStyle name="Normal 99 2 4 2 2" xfId="40622"/>
    <cellStyle name="Normal 99 2 4 3" xfId="40623"/>
    <cellStyle name="Normal 99 2 5" xfId="40624"/>
    <cellStyle name="Normal 99 3" xfId="40625"/>
    <cellStyle name="Normal 99 3 2" xfId="40626"/>
    <cellStyle name="Normal 99 3 2 2" xfId="40627"/>
    <cellStyle name="Normal 99 3 2 2 2" xfId="40628"/>
    <cellStyle name="Normal 99 3 2 3" xfId="40629"/>
    <cellStyle name="Normal 99 3 2 3 2" xfId="40630"/>
    <cellStyle name="Normal 99 3 2 3 2 2" xfId="40631"/>
    <cellStyle name="Normal 99 3 2 3 3" xfId="40632"/>
    <cellStyle name="Normal 99 3 2 4" xfId="40633"/>
    <cellStyle name="Normal 99 3 3" xfId="40634"/>
    <cellStyle name="Normal 99 3 3 2" xfId="40635"/>
    <cellStyle name="Normal 99 3 3 2 2" xfId="40636"/>
    <cellStyle name="Normal 99 3 3 3" xfId="40637"/>
    <cellStyle name="Normal 99 3 4" xfId="40638"/>
    <cellStyle name="Normal 99 3 4 2" xfId="40639"/>
    <cellStyle name="Normal 99 3 4 2 2" xfId="40640"/>
    <cellStyle name="Normal 99 3 4 3" xfId="40641"/>
    <cellStyle name="Normal 99 3 5" xfId="40642"/>
    <cellStyle name="Normal 99 3 5 2" xfId="40643"/>
    <cellStyle name="Normal 99 3 5 2 2" xfId="40644"/>
    <cellStyle name="Normal 99 3 5 3" xfId="40645"/>
    <cellStyle name="Normal 99 3 6" xfId="40646"/>
    <cellStyle name="Normal 99 4" xfId="40647"/>
    <cellStyle name="Normal 99 4 2" xfId="40648"/>
    <cellStyle name="Normal 99 4 2 2" xfId="40649"/>
    <cellStyle name="Normal 99 4 3" xfId="40650"/>
    <cellStyle name="Normal 99 5" xfId="40651"/>
    <cellStyle name="Normal 99 5 2" xfId="40652"/>
    <cellStyle name="Normal 99 5 2 2" xfId="40653"/>
    <cellStyle name="Normal 99 5 3" xfId="40654"/>
    <cellStyle name="Normal 99 6" xfId="40655"/>
    <cellStyle name="Normal 99 6 2" xfId="40656"/>
    <cellStyle name="Normal 99 6 2 2" xfId="40657"/>
    <cellStyle name="Normal 99 6 3" xfId="40658"/>
    <cellStyle name="Normal 99 7" xfId="40659"/>
    <cellStyle name="Normal_2008 ISO Transmission Study test v1" xfId="34"/>
    <cellStyle name="Normal_Rate-Design 2" xfId="53893"/>
    <cellStyle name="Normal_Statement AD Period I 2004" xfId="35"/>
    <cellStyle name="Normal2" xfId="40660"/>
    <cellStyle name="Normal2 2" xfId="40661"/>
    <cellStyle name="Normal2 3" xfId="40662"/>
    <cellStyle name="Normal2 3 2" xfId="40663"/>
    <cellStyle name="Normal2 3 2 2" xfId="40664"/>
    <cellStyle name="Normal2 3 3" xfId="40665"/>
    <cellStyle name="Normal2 4" xfId="40666"/>
    <cellStyle name="Normal2 4 2" xfId="40667"/>
    <cellStyle name="Normal2 4 2 2" xfId="40668"/>
    <cellStyle name="Normal2 4 3" xfId="40669"/>
    <cellStyle name="Not In Use" xfId="40670"/>
    <cellStyle name="Not In Use 2" xfId="40671"/>
    <cellStyle name="Not In Use 2 2" xfId="40672"/>
    <cellStyle name="Not In Use 3" xfId="40673"/>
    <cellStyle name="Not In Use 3 2" xfId="40674"/>
    <cellStyle name="Not In Use 3 2 2" xfId="40675"/>
    <cellStyle name="Not In Use 3 3" xfId="40676"/>
    <cellStyle name="Not In Use 4" xfId="40677"/>
    <cellStyle name="Not In Use 4 2" xfId="40678"/>
    <cellStyle name="Not In Use 4 2 2" xfId="40679"/>
    <cellStyle name="Not In Use 4 3" xfId="40680"/>
    <cellStyle name="Not In Use 5" xfId="40681"/>
    <cellStyle name="Note 10" xfId="40682"/>
    <cellStyle name="Note 10 2" xfId="40683"/>
    <cellStyle name="Note 10 3" xfId="40684"/>
    <cellStyle name="Note 11" xfId="40685"/>
    <cellStyle name="Note 11 2" xfId="40686"/>
    <cellStyle name="Note 12" xfId="40687"/>
    <cellStyle name="Note 12 2" xfId="40688"/>
    <cellStyle name="Note 13" xfId="40689"/>
    <cellStyle name="Note 14" xfId="40690"/>
    <cellStyle name="Note 15" xfId="40691"/>
    <cellStyle name="Note 16" xfId="53888"/>
    <cellStyle name="Note 2" xfId="40692"/>
    <cellStyle name="Note 2 10" xfId="40693"/>
    <cellStyle name="Note 2 10 2" xfId="40694"/>
    <cellStyle name="Note 2 10 2 2" xfId="40695"/>
    <cellStyle name="Note 2 10 2 2 2" xfId="40696"/>
    <cellStyle name="Note 2 10 2 2 2 2" xfId="40697"/>
    <cellStyle name="Note 2 10 2 2 2 2 2" xfId="40698"/>
    <cellStyle name="Note 2 10 2 2 2 2 2 2" xfId="40699"/>
    <cellStyle name="Note 2 10 2 2 2 2 3" xfId="40700"/>
    <cellStyle name="Note 2 10 2 2 2 3" xfId="40701"/>
    <cellStyle name="Note 2 10 2 2 2 3 2" xfId="40702"/>
    <cellStyle name="Note 2 10 2 2 2 4" xfId="40703"/>
    <cellStyle name="Note 2 10 2 2 3" xfId="40704"/>
    <cellStyle name="Note 2 10 2 2 3 2" xfId="40705"/>
    <cellStyle name="Note 2 10 2 2 3 2 2" xfId="40706"/>
    <cellStyle name="Note 2 10 2 2 3 3" xfId="40707"/>
    <cellStyle name="Note 2 10 2 2 4" xfId="40708"/>
    <cellStyle name="Note 2 10 2 2 4 2" xfId="40709"/>
    <cellStyle name="Note 2 10 2 2 5" xfId="40710"/>
    <cellStyle name="Note 2 10 2 3" xfId="40711"/>
    <cellStyle name="Note 2 10 2 3 2" xfId="40712"/>
    <cellStyle name="Note 2 10 2 3 2 2" xfId="40713"/>
    <cellStyle name="Note 2 10 2 3 3" xfId="40714"/>
    <cellStyle name="Note 2 10 2 4" xfId="40715"/>
    <cellStyle name="Note 2 10 2 4 2" xfId="40716"/>
    <cellStyle name="Note 2 10 2 4 2 2" xfId="40717"/>
    <cellStyle name="Note 2 10 2 4 2 2 2" xfId="40718"/>
    <cellStyle name="Note 2 10 2 4 2 3" xfId="40719"/>
    <cellStyle name="Note 2 10 2 4 3" xfId="40720"/>
    <cellStyle name="Note 2 10 2 4 3 2" xfId="40721"/>
    <cellStyle name="Note 2 10 2 4 4" xfId="40722"/>
    <cellStyle name="Note 2 10 2 5" xfId="40723"/>
    <cellStyle name="Note 2 10 2 5 2" xfId="40724"/>
    <cellStyle name="Note 2 10 2 5 2 2" xfId="40725"/>
    <cellStyle name="Note 2 10 2 5 3" xfId="40726"/>
    <cellStyle name="Note 2 10 2 6" xfId="40727"/>
    <cellStyle name="Note 2 10 2 6 2" xfId="40728"/>
    <cellStyle name="Note 2 10 2 7" xfId="40729"/>
    <cellStyle name="Note 2 10 3" xfId="40730"/>
    <cellStyle name="Note 2 10 3 2" xfId="40731"/>
    <cellStyle name="Note 2 10 3 2 2" xfId="40732"/>
    <cellStyle name="Note 2 10 3 2 2 2" xfId="40733"/>
    <cellStyle name="Note 2 10 3 2 2 2 2" xfId="40734"/>
    <cellStyle name="Note 2 10 3 2 2 2 2 2" xfId="40735"/>
    <cellStyle name="Note 2 10 3 2 2 2 3" xfId="40736"/>
    <cellStyle name="Note 2 10 3 2 2 3" xfId="40737"/>
    <cellStyle name="Note 2 10 3 2 2 3 2" xfId="40738"/>
    <cellStyle name="Note 2 10 3 2 2 4" xfId="40739"/>
    <cellStyle name="Note 2 10 3 2 3" xfId="40740"/>
    <cellStyle name="Note 2 10 3 2 3 2" xfId="40741"/>
    <cellStyle name="Note 2 10 3 2 3 2 2" xfId="40742"/>
    <cellStyle name="Note 2 10 3 2 3 3" xfId="40743"/>
    <cellStyle name="Note 2 10 3 2 4" xfId="40744"/>
    <cellStyle name="Note 2 10 3 2 4 2" xfId="40745"/>
    <cellStyle name="Note 2 10 3 2 5" xfId="40746"/>
    <cellStyle name="Note 2 10 3 3" xfId="40747"/>
    <cellStyle name="Note 2 10 3 3 2" xfId="40748"/>
    <cellStyle name="Note 2 10 3 3 2 2" xfId="40749"/>
    <cellStyle name="Note 2 10 3 3 2 2 2" xfId="40750"/>
    <cellStyle name="Note 2 10 3 3 2 3" xfId="40751"/>
    <cellStyle name="Note 2 10 3 3 3" xfId="40752"/>
    <cellStyle name="Note 2 10 3 3 3 2" xfId="40753"/>
    <cellStyle name="Note 2 10 3 3 4" xfId="40754"/>
    <cellStyle name="Note 2 10 3 4" xfId="40755"/>
    <cellStyle name="Note 2 10 3 4 2" xfId="40756"/>
    <cellStyle name="Note 2 10 3 4 2 2" xfId="40757"/>
    <cellStyle name="Note 2 10 3 4 3" xfId="40758"/>
    <cellStyle name="Note 2 10 3 5" xfId="40759"/>
    <cellStyle name="Note 2 10 3 5 2" xfId="40760"/>
    <cellStyle name="Note 2 10 3 6" xfId="40761"/>
    <cellStyle name="Note 2 10 4" xfId="40762"/>
    <cellStyle name="Note 2 10 4 2" xfId="40763"/>
    <cellStyle name="Note 2 10 4 2 2" xfId="40764"/>
    <cellStyle name="Note 2 10 4 3" xfId="40765"/>
    <cellStyle name="Note 2 10 5" xfId="40766"/>
    <cellStyle name="Note 2 10 5 2" xfId="40767"/>
    <cellStyle name="Note 2 10 5 2 2" xfId="40768"/>
    <cellStyle name="Note 2 10 5 3" xfId="40769"/>
    <cellStyle name="Note 2 10 6" xfId="40770"/>
    <cellStyle name="Note 2 10 6 2" xfId="40771"/>
    <cellStyle name="Note 2 10 6 2 2" xfId="40772"/>
    <cellStyle name="Note 2 10 6 2 2 2" xfId="40773"/>
    <cellStyle name="Note 2 10 6 2 3" xfId="40774"/>
    <cellStyle name="Note 2 10 6 3" xfId="40775"/>
    <cellStyle name="Note 2 10 6 3 2" xfId="40776"/>
    <cellStyle name="Note 2 10 6 4" xfId="40777"/>
    <cellStyle name="Note 2 10 7" xfId="40778"/>
    <cellStyle name="Note 2 10 7 2" xfId="40779"/>
    <cellStyle name="Note 2 10 7 2 2" xfId="40780"/>
    <cellStyle name="Note 2 10 7 3" xfId="40781"/>
    <cellStyle name="Note 2 10 8" xfId="40782"/>
    <cellStyle name="Note 2 10 8 2" xfId="40783"/>
    <cellStyle name="Note 2 10 9" xfId="40784"/>
    <cellStyle name="Note 2 11" xfId="40785"/>
    <cellStyle name="Note 2 11 2" xfId="40786"/>
    <cellStyle name="Note 2 11 2 2" xfId="40787"/>
    <cellStyle name="Note 2 11 2 2 2" xfId="40788"/>
    <cellStyle name="Note 2 11 2 2 2 2" xfId="40789"/>
    <cellStyle name="Note 2 11 2 2 2 2 2" xfId="40790"/>
    <cellStyle name="Note 2 11 2 2 2 3" xfId="40791"/>
    <cellStyle name="Note 2 11 2 2 3" xfId="40792"/>
    <cellStyle name="Note 2 11 2 2 3 2" xfId="40793"/>
    <cellStyle name="Note 2 11 2 2 4" xfId="40794"/>
    <cellStyle name="Note 2 11 2 3" xfId="40795"/>
    <cellStyle name="Note 2 11 2 3 2" xfId="40796"/>
    <cellStyle name="Note 2 11 2 3 2 2" xfId="40797"/>
    <cellStyle name="Note 2 11 2 3 3" xfId="40798"/>
    <cellStyle name="Note 2 11 2 4" xfId="40799"/>
    <cellStyle name="Note 2 11 2 4 2" xfId="40800"/>
    <cellStyle name="Note 2 11 2 5" xfId="40801"/>
    <cellStyle name="Note 2 11 3" xfId="40802"/>
    <cellStyle name="Note 2 11 3 2" xfId="40803"/>
    <cellStyle name="Note 2 11 3 2 2" xfId="40804"/>
    <cellStyle name="Note 2 11 3 2 2 2" xfId="40805"/>
    <cellStyle name="Note 2 11 3 2 3" xfId="40806"/>
    <cellStyle name="Note 2 11 3 3" xfId="40807"/>
    <cellStyle name="Note 2 11 3 3 2" xfId="40808"/>
    <cellStyle name="Note 2 11 3 4" xfId="40809"/>
    <cellStyle name="Note 2 11 4" xfId="40810"/>
    <cellStyle name="Note 2 11 4 2" xfId="40811"/>
    <cellStyle name="Note 2 11 4 2 2" xfId="40812"/>
    <cellStyle name="Note 2 11 4 3" xfId="40813"/>
    <cellStyle name="Note 2 11 5" xfId="40814"/>
    <cellStyle name="Note 2 11 5 2" xfId="40815"/>
    <cellStyle name="Note 2 11 6" xfId="40816"/>
    <cellStyle name="Note 2 12" xfId="40817"/>
    <cellStyle name="Note 2 12 2" xfId="40818"/>
    <cellStyle name="Note 2 12 2 2" xfId="40819"/>
    <cellStyle name="Note 2 12 3" xfId="40820"/>
    <cellStyle name="Note 2 13" xfId="40821"/>
    <cellStyle name="Note 2 13 2" xfId="40822"/>
    <cellStyle name="Note 2 13 2 2" xfId="40823"/>
    <cellStyle name="Note 2 13 3" xfId="40824"/>
    <cellStyle name="Note 2 14" xfId="40825"/>
    <cellStyle name="Note 2 14 2" xfId="40826"/>
    <cellStyle name="Note 2 14 2 2" xfId="40827"/>
    <cellStyle name="Note 2 14 2 2 2" xfId="40828"/>
    <cellStyle name="Note 2 14 2 2 2 2" xfId="40829"/>
    <cellStyle name="Note 2 14 2 2 3" xfId="40830"/>
    <cellStyle name="Note 2 14 2 3" xfId="40831"/>
    <cellStyle name="Note 2 14 2 3 2" xfId="40832"/>
    <cellStyle name="Note 2 14 2 4" xfId="40833"/>
    <cellStyle name="Note 2 14 3" xfId="40834"/>
    <cellStyle name="Note 2 14 3 2" xfId="40835"/>
    <cellStyle name="Note 2 14 3 2 2" xfId="40836"/>
    <cellStyle name="Note 2 14 3 2 2 2" xfId="40837"/>
    <cellStyle name="Note 2 14 3 2 3" xfId="40838"/>
    <cellStyle name="Note 2 14 3 3" xfId="40839"/>
    <cellStyle name="Note 2 14 3 3 2" xfId="40840"/>
    <cellStyle name="Note 2 14 3 4" xfId="40841"/>
    <cellStyle name="Note 2 14 4" xfId="40842"/>
    <cellStyle name="Note 2 14 4 2" xfId="40843"/>
    <cellStyle name="Note 2 14 4 2 2" xfId="40844"/>
    <cellStyle name="Note 2 14 4 3" xfId="40845"/>
    <cellStyle name="Note 2 14 5" xfId="40846"/>
    <cellStyle name="Note 2 14 5 2" xfId="40847"/>
    <cellStyle name="Note 2 14 6" xfId="40848"/>
    <cellStyle name="Note 2 14 6 2" xfId="40849"/>
    <cellStyle name="Note 2 14 7" xfId="40850"/>
    <cellStyle name="Note 2 15" xfId="40851"/>
    <cellStyle name="Note 2 15 2" xfId="40852"/>
    <cellStyle name="Note 2 15 2 2" xfId="40853"/>
    <cellStyle name="Note 2 15 2 2 2" xfId="40854"/>
    <cellStyle name="Note 2 15 2 3" xfId="40855"/>
    <cellStyle name="Note 2 15 3" xfId="40856"/>
    <cellStyle name="Note 2 15 3 2" xfId="40857"/>
    <cellStyle name="Note 2 15 4" xfId="40858"/>
    <cellStyle name="Note 2 16" xfId="40859"/>
    <cellStyle name="Note 2 16 2" xfId="40860"/>
    <cellStyle name="Note 2 16 2 2" xfId="40861"/>
    <cellStyle name="Note 2 16 3" xfId="40862"/>
    <cellStyle name="Note 2 17" xfId="40863"/>
    <cellStyle name="Note 2 17 2" xfId="40864"/>
    <cellStyle name="Note 2 17 3" xfId="40865"/>
    <cellStyle name="Note 2 18" xfId="40866"/>
    <cellStyle name="Note 2 18 2" xfId="40867"/>
    <cellStyle name="Note 2 19" xfId="40868"/>
    <cellStyle name="Note 2 2" xfId="40869"/>
    <cellStyle name="Note 2 2 2" xfId="40870"/>
    <cellStyle name="Note 2 2 2 2" xfId="40871"/>
    <cellStyle name="Note 2 2 2 2 2" xfId="40872"/>
    <cellStyle name="Note 2 2 2 2 2 2" xfId="40873"/>
    <cellStyle name="Note 2 2 2 2 3" xfId="40874"/>
    <cellStyle name="Note 2 2 2 3" xfId="40875"/>
    <cellStyle name="Note 2 2 2 3 2" xfId="40876"/>
    <cellStyle name="Note 2 2 2 3 2 2" xfId="40877"/>
    <cellStyle name="Note 2 2 2 3 3" xfId="40878"/>
    <cellStyle name="Note 2 2 2 4" xfId="40879"/>
    <cellStyle name="Note 2 2 2 4 2" xfId="40880"/>
    <cellStyle name="Note 2 2 2 4 2 2" xfId="40881"/>
    <cellStyle name="Note 2 2 2 4 3" xfId="40882"/>
    <cellStyle name="Note 2 2 2 5" xfId="40883"/>
    <cellStyle name="Note 2 2 2 5 2" xfId="40884"/>
    <cellStyle name="Note 2 2 2 6" xfId="40885"/>
    <cellStyle name="Note 2 2 3" xfId="40886"/>
    <cellStyle name="Note 2 2 3 2" xfId="40887"/>
    <cellStyle name="Note 2 2 3 2 2" xfId="40888"/>
    <cellStyle name="Note 2 2 3 2 2 2" xfId="40889"/>
    <cellStyle name="Note 2 2 3 2 2 2 2" xfId="40890"/>
    <cellStyle name="Note 2 2 3 2 2 3" xfId="40891"/>
    <cellStyle name="Note 2 2 3 2 3" xfId="40892"/>
    <cellStyle name="Note 2 2 3 2 3 2" xfId="40893"/>
    <cellStyle name="Note 2 2 3 2 3 2 2" xfId="40894"/>
    <cellStyle name="Note 2 2 3 2 3 3" xfId="40895"/>
    <cellStyle name="Note 2 2 3 2 4" xfId="40896"/>
    <cellStyle name="Note 2 2 3 2 4 2" xfId="40897"/>
    <cellStyle name="Note 2 2 3 2 5" xfId="40898"/>
    <cellStyle name="Note 2 2 3 3" xfId="40899"/>
    <cellStyle name="Note 2 2 3 3 2" xfId="40900"/>
    <cellStyle name="Note 2 2 3 3 2 2" xfId="40901"/>
    <cellStyle name="Note 2 2 3 3 2 2 2" xfId="40902"/>
    <cellStyle name="Note 2 2 3 3 2 3" xfId="40903"/>
    <cellStyle name="Note 2 2 3 3 3" xfId="40904"/>
    <cellStyle name="Note 2 2 3 3 3 2" xfId="40905"/>
    <cellStyle name="Note 2 2 3 3 4" xfId="40906"/>
    <cellStyle name="Note 2 2 3 4" xfId="40907"/>
    <cellStyle name="Note 2 2 3 4 2" xfId="40908"/>
    <cellStyle name="Note 2 2 3 4 2 2" xfId="40909"/>
    <cellStyle name="Note 2 2 3 4 3" xfId="40910"/>
    <cellStyle name="Note 2 2 3 5" xfId="40911"/>
    <cellStyle name="Note 2 2 3 5 2" xfId="40912"/>
    <cellStyle name="Note 2 2 3 5 2 2" xfId="40913"/>
    <cellStyle name="Note 2 2 3 5 3" xfId="40914"/>
    <cellStyle name="Note 2 2 3 6" xfId="40915"/>
    <cellStyle name="Note 2 2 3 6 2" xfId="40916"/>
    <cellStyle name="Note 2 2 3 7" xfId="40917"/>
    <cellStyle name="Note 2 2 4" xfId="40918"/>
    <cellStyle name="Note 2 2 4 2" xfId="40919"/>
    <cellStyle name="Note 2 2 4 2 2" xfId="40920"/>
    <cellStyle name="Note 2 2 4 2 2 2" xfId="40921"/>
    <cellStyle name="Note 2 2 4 2 3" xfId="40922"/>
    <cellStyle name="Note 2 2 4 3" xfId="40923"/>
    <cellStyle name="Note 2 2 4 3 2" xfId="40924"/>
    <cellStyle name="Note 2 2 4 4" xfId="40925"/>
    <cellStyle name="Note 2 2 5" xfId="40926"/>
    <cellStyle name="Note 2 2 5 2" xfId="40927"/>
    <cellStyle name="Note 2 2 5 2 2" xfId="40928"/>
    <cellStyle name="Note 2 2 5 3" xfId="40929"/>
    <cellStyle name="Note 2 2 6" xfId="40930"/>
    <cellStyle name="Note 2 2 6 2" xfId="40931"/>
    <cellStyle name="Note 2 2 6 2 2" xfId="40932"/>
    <cellStyle name="Note 2 2 6 3" xfId="40933"/>
    <cellStyle name="Note 2 2 7" xfId="40934"/>
    <cellStyle name="Note 2 2 7 2" xfId="40935"/>
    <cellStyle name="Note 2 2 8" xfId="40936"/>
    <cellStyle name="Note 2 20" xfId="40937"/>
    <cellStyle name="Note 2 3" xfId="40938"/>
    <cellStyle name="Note 2 3 10" xfId="40939"/>
    <cellStyle name="Note 2 3 2" xfId="40940"/>
    <cellStyle name="Note 2 3 2 2" xfId="40941"/>
    <cellStyle name="Note 2 3 2 2 2" xfId="40942"/>
    <cellStyle name="Note 2 3 2 2 2 2" xfId="40943"/>
    <cellStyle name="Note 2 3 2 2 2 2 2" xfId="40944"/>
    <cellStyle name="Note 2 3 2 2 2 2 2 2" xfId="40945"/>
    <cellStyle name="Note 2 3 2 2 2 2 3" xfId="40946"/>
    <cellStyle name="Note 2 3 2 2 2 3" xfId="40947"/>
    <cellStyle name="Note 2 3 2 2 2 3 2" xfId="40948"/>
    <cellStyle name="Note 2 3 2 2 2 4" xfId="40949"/>
    <cellStyle name="Note 2 3 2 2 3" xfId="40950"/>
    <cellStyle name="Note 2 3 2 2 3 2" xfId="40951"/>
    <cellStyle name="Note 2 3 2 2 3 2 2" xfId="40952"/>
    <cellStyle name="Note 2 3 2 2 3 3" xfId="40953"/>
    <cellStyle name="Note 2 3 2 2 4" xfId="40954"/>
    <cellStyle name="Note 2 3 2 2 4 2" xfId="40955"/>
    <cellStyle name="Note 2 3 2 2 5" xfId="40956"/>
    <cellStyle name="Note 2 3 2 3" xfId="40957"/>
    <cellStyle name="Note 2 3 2 3 2" xfId="40958"/>
    <cellStyle name="Note 2 3 2 3 2 2" xfId="40959"/>
    <cellStyle name="Note 2 3 2 3 3" xfId="40960"/>
    <cellStyle name="Note 2 3 2 4" xfId="40961"/>
    <cellStyle name="Note 2 3 2 4 2" xfId="40962"/>
    <cellStyle name="Note 2 3 2 4 2 2" xfId="40963"/>
    <cellStyle name="Note 2 3 2 4 3" xfId="40964"/>
    <cellStyle name="Note 2 3 2 5" xfId="40965"/>
    <cellStyle name="Note 2 3 2 5 2" xfId="40966"/>
    <cellStyle name="Note 2 3 2 5 2 2" xfId="40967"/>
    <cellStyle name="Note 2 3 2 5 2 2 2" xfId="40968"/>
    <cellStyle name="Note 2 3 2 5 2 3" xfId="40969"/>
    <cellStyle name="Note 2 3 2 5 3" xfId="40970"/>
    <cellStyle name="Note 2 3 2 5 3 2" xfId="40971"/>
    <cellStyle name="Note 2 3 2 5 4" xfId="40972"/>
    <cellStyle name="Note 2 3 2 6" xfId="40973"/>
    <cellStyle name="Note 2 3 2 6 2" xfId="40974"/>
    <cellStyle name="Note 2 3 2 6 2 2" xfId="40975"/>
    <cellStyle name="Note 2 3 2 6 3" xfId="40976"/>
    <cellStyle name="Note 2 3 2 7" xfId="40977"/>
    <cellStyle name="Note 2 3 2 7 2" xfId="40978"/>
    <cellStyle name="Note 2 3 2 8" xfId="40979"/>
    <cellStyle name="Note 2 3 3" xfId="40980"/>
    <cellStyle name="Note 2 3 3 2" xfId="40981"/>
    <cellStyle name="Note 2 3 3 2 2" xfId="40982"/>
    <cellStyle name="Note 2 3 3 2 2 2" xfId="40983"/>
    <cellStyle name="Note 2 3 3 2 2 2 2" xfId="40984"/>
    <cellStyle name="Note 2 3 3 2 2 2 2 2" xfId="40985"/>
    <cellStyle name="Note 2 3 3 2 2 2 2 2 2" xfId="40986"/>
    <cellStyle name="Note 2 3 3 2 2 2 2 3" xfId="40987"/>
    <cellStyle name="Note 2 3 3 2 2 2 3" xfId="40988"/>
    <cellStyle name="Note 2 3 3 2 2 2 3 2" xfId="40989"/>
    <cellStyle name="Note 2 3 3 2 2 2 4" xfId="40990"/>
    <cellStyle name="Note 2 3 3 2 2 3" xfId="40991"/>
    <cellStyle name="Note 2 3 3 2 2 3 2" xfId="40992"/>
    <cellStyle name="Note 2 3 3 2 2 3 2 2" xfId="40993"/>
    <cellStyle name="Note 2 3 3 2 2 3 3" xfId="40994"/>
    <cellStyle name="Note 2 3 3 2 2 4" xfId="40995"/>
    <cellStyle name="Note 2 3 3 2 2 4 2" xfId="40996"/>
    <cellStyle name="Note 2 3 3 2 2 5" xfId="40997"/>
    <cellStyle name="Note 2 3 3 2 3" xfId="40998"/>
    <cellStyle name="Note 2 3 3 2 3 2" xfId="40999"/>
    <cellStyle name="Note 2 3 3 2 3 2 2" xfId="41000"/>
    <cellStyle name="Note 2 3 3 2 3 3" xfId="41001"/>
    <cellStyle name="Note 2 3 3 2 4" xfId="41002"/>
    <cellStyle name="Note 2 3 3 2 4 2" xfId="41003"/>
    <cellStyle name="Note 2 3 3 2 4 2 2" xfId="41004"/>
    <cellStyle name="Note 2 3 3 2 4 2 2 2" xfId="41005"/>
    <cellStyle name="Note 2 3 3 2 4 2 3" xfId="41006"/>
    <cellStyle name="Note 2 3 3 2 4 3" xfId="41007"/>
    <cellStyle name="Note 2 3 3 2 4 3 2" xfId="41008"/>
    <cellStyle name="Note 2 3 3 2 4 4" xfId="41009"/>
    <cellStyle name="Note 2 3 3 2 5" xfId="41010"/>
    <cellStyle name="Note 2 3 3 2 5 2" xfId="41011"/>
    <cellStyle name="Note 2 3 3 2 5 2 2" xfId="41012"/>
    <cellStyle name="Note 2 3 3 2 5 3" xfId="41013"/>
    <cellStyle name="Note 2 3 3 2 6" xfId="41014"/>
    <cellStyle name="Note 2 3 3 2 6 2" xfId="41015"/>
    <cellStyle name="Note 2 3 3 2 7" xfId="41016"/>
    <cellStyle name="Note 2 3 3 3" xfId="41017"/>
    <cellStyle name="Note 2 3 3 3 2" xfId="41018"/>
    <cellStyle name="Note 2 3 3 3 2 2" xfId="41019"/>
    <cellStyle name="Note 2 3 3 3 2 2 2" xfId="41020"/>
    <cellStyle name="Note 2 3 3 3 2 2 2 2" xfId="41021"/>
    <cellStyle name="Note 2 3 3 3 2 2 2 2 2" xfId="41022"/>
    <cellStyle name="Note 2 3 3 3 2 2 2 3" xfId="41023"/>
    <cellStyle name="Note 2 3 3 3 2 2 3" xfId="41024"/>
    <cellStyle name="Note 2 3 3 3 2 2 3 2" xfId="41025"/>
    <cellStyle name="Note 2 3 3 3 2 2 4" xfId="41026"/>
    <cellStyle name="Note 2 3 3 3 2 3" xfId="41027"/>
    <cellStyle name="Note 2 3 3 3 2 3 2" xfId="41028"/>
    <cellStyle name="Note 2 3 3 3 2 3 2 2" xfId="41029"/>
    <cellStyle name="Note 2 3 3 3 2 3 3" xfId="41030"/>
    <cellStyle name="Note 2 3 3 3 2 4" xfId="41031"/>
    <cellStyle name="Note 2 3 3 3 2 4 2" xfId="41032"/>
    <cellStyle name="Note 2 3 3 3 2 5" xfId="41033"/>
    <cellStyle name="Note 2 3 3 3 3" xfId="41034"/>
    <cellStyle name="Note 2 3 3 3 3 2" xfId="41035"/>
    <cellStyle name="Note 2 3 3 3 3 2 2" xfId="41036"/>
    <cellStyle name="Note 2 3 3 3 3 2 2 2" xfId="41037"/>
    <cellStyle name="Note 2 3 3 3 3 2 3" xfId="41038"/>
    <cellStyle name="Note 2 3 3 3 3 3" xfId="41039"/>
    <cellStyle name="Note 2 3 3 3 3 3 2" xfId="41040"/>
    <cellStyle name="Note 2 3 3 3 3 4" xfId="41041"/>
    <cellStyle name="Note 2 3 3 3 4" xfId="41042"/>
    <cellStyle name="Note 2 3 3 3 4 2" xfId="41043"/>
    <cellStyle name="Note 2 3 3 3 4 2 2" xfId="41044"/>
    <cellStyle name="Note 2 3 3 3 4 3" xfId="41045"/>
    <cellStyle name="Note 2 3 3 3 5" xfId="41046"/>
    <cellStyle name="Note 2 3 3 3 5 2" xfId="41047"/>
    <cellStyle name="Note 2 3 3 3 6" xfId="41048"/>
    <cellStyle name="Note 2 3 3 4" xfId="41049"/>
    <cellStyle name="Note 2 3 3 4 2" xfId="41050"/>
    <cellStyle name="Note 2 3 3 4 2 2" xfId="41051"/>
    <cellStyle name="Note 2 3 3 4 3" xfId="41052"/>
    <cellStyle name="Note 2 3 3 5" xfId="41053"/>
    <cellStyle name="Note 2 3 3 5 2" xfId="41054"/>
    <cellStyle name="Note 2 3 3 5 2 2" xfId="41055"/>
    <cellStyle name="Note 2 3 3 5 3" xfId="41056"/>
    <cellStyle name="Note 2 3 3 6" xfId="41057"/>
    <cellStyle name="Note 2 3 3 6 2" xfId="41058"/>
    <cellStyle name="Note 2 3 3 6 2 2" xfId="41059"/>
    <cellStyle name="Note 2 3 3 6 2 2 2" xfId="41060"/>
    <cellStyle name="Note 2 3 3 6 2 3" xfId="41061"/>
    <cellStyle name="Note 2 3 3 6 3" xfId="41062"/>
    <cellStyle name="Note 2 3 3 6 3 2" xfId="41063"/>
    <cellStyle name="Note 2 3 3 6 4" xfId="41064"/>
    <cellStyle name="Note 2 3 3 7" xfId="41065"/>
    <cellStyle name="Note 2 3 3 7 2" xfId="41066"/>
    <cellStyle name="Note 2 3 3 7 2 2" xfId="41067"/>
    <cellStyle name="Note 2 3 3 7 3" xfId="41068"/>
    <cellStyle name="Note 2 3 3 8" xfId="41069"/>
    <cellStyle name="Note 2 3 3 8 2" xfId="41070"/>
    <cellStyle name="Note 2 3 3 9" xfId="41071"/>
    <cellStyle name="Note 2 3 4" xfId="41072"/>
    <cellStyle name="Note 2 3 4 2" xfId="41073"/>
    <cellStyle name="Note 2 3 4 2 2" xfId="41074"/>
    <cellStyle name="Note 2 3 4 2 2 2" xfId="41075"/>
    <cellStyle name="Note 2 3 4 2 2 2 2" xfId="41076"/>
    <cellStyle name="Note 2 3 4 2 2 2 2 2" xfId="41077"/>
    <cellStyle name="Note 2 3 4 2 2 2 3" xfId="41078"/>
    <cellStyle name="Note 2 3 4 2 2 3" xfId="41079"/>
    <cellStyle name="Note 2 3 4 2 2 3 2" xfId="41080"/>
    <cellStyle name="Note 2 3 4 2 2 4" xfId="41081"/>
    <cellStyle name="Note 2 3 4 2 3" xfId="41082"/>
    <cellStyle name="Note 2 3 4 2 3 2" xfId="41083"/>
    <cellStyle name="Note 2 3 4 2 3 2 2" xfId="41084"/>
    <cellStyle name="Note 2 3 4 2 3 3" xfId="41085"/>
    <cellStyle name="Note 2 3 4 2 4" xfId="41086"/>
    <cellStyle name="Note 2 3 4 2 4 2" xfId="41087"/>
    <cellStyle name="Note 2 3 4 2 5" xfId="41088"/>
    <cellStyle name="Note 2 3 4 3" xfId="41089"/>
    <cellStyle name="Note 2 3 4 3 2" xfId="41090"/>
    <cellStyle name="Note 2 3 4 3 2 2" xfId="41091"/>
    <cellStyle name="Note 2 3 4 3 2 2 2" xfId="41092"/>
    <cellStyle name="Note 2 3 4 3 2 3" xfId="41093"/>
    <cellStyle name="Note 2 3 4 3 3" xfId="41094"/>
    <cellStyle name="Note 2 3 4 3 3 2" xfId="41095"/>
    <cellStyle name="Note 2 3 4 3 4" xfId="41096"/>
    <cellStyle name="Note 2 3 4 4" xfId="41097"/>
    <cellStyle name="Note 2 3 4 4 2" xfId="41098"/>
    <cellStyle name="Note 2 3 4 4 2 2" xfId="41099"/>
    <cellStyle name="Note 2 3 4 4 3" xfId="41100"/>
    <cellStyle name="Note 2 3 4 5" xfId="41101"/>
    <cellStyle name="Note 2 3 4 5 2" xfId="41102"/>
    <cellStyle name="Note 2 3 4 6" xfId="41103"/>
    <cellStyle name="Note 2 3 5" xfId="41104"/>
    <cellStyle name="Note 2 3 5 2" xfId="41105"/>
    <cellStyle name="Note 2 3 5 2 2" xfId="41106"/>
    <cellStyle name="Note 2 3 5 3" xfId="41107"/>
    <cellStyle name="Note 2 3 6" xfId="41108"/>
    <cellStyle name="Note 2 3 6 2" xfId="41109"/>
    <cellStyle name="Note 2 3 6 2 2" xfId="41110"/>
    <cellStyle name="Note 2 3 6 3" xfId="41111"/>
    <cellStyle name="Note 2 3 7" xfId="41112"/>
    <cellStyle name="Note 2 3 7 2" xfId="41113"/>
    <cellStyle name="Note 2 3 7 2 2" xfId="41114"/>
    <cellStyle name="Note 2 3 7 2 2 2" xfId="41115"/>
    <cellStyle name="Note 2 3 7 2 3" xfId="41116"/>
    <cellStyle name="Note 2 3 7 3" xfId="41117"/>
    <cellStyle name="Note 2 3 7 3 2" xfId="41118"/>
    <cellStyle name="Note 2 3 7 4" xfId="41119"/>
    <cellStyle name="Note 2 3 8" xfId="41120"/>
    <cellStyle name="Note 2 3 8 2" xfId="41121"/>
    <cellStyle name="Note 2 3 8 2 2" xfId="41122"/>
    <cellStyle name="Note 2 3 8 3" xfId="41123"/>
    <cellStyle name="Note 2 3 9" xfId="41124"/>
    <cellStyle name="Note 2 3 9 2" xfId="41125"/>
    <cellStyle name="Note 2 4" xfId="41126"/>
    <cellStyle name="Note 2 4 2" xfId="41127"/>
    <cellStyle name="Note 2 4 2 2" xfId="41128"/>
    <cellStyle name="Note 2 4 2 2 2" xfId="41129"/>
    <cellStyle name="Note 2 4 2 2 2 2" xfId="41130"/>
    <cellStyle name="Note 2 4 2 2 3" xfId="41131"/>
    <cellStyle name="Note 2 4 2 3" xfId="41132"/>
    <cellStyle name="Note 2 4 2 3 2" xfId="41133"/>
    <cellStyle name="Note 2 4 2 3 2 2" xfId="41134"/>
    <cellStyle name="Note 2 4 2 3 3" xfId="41135"/>
    <cellStyle name="Note 2 4 2 4" xfId="41136"/>
    <cellStyle name="Note 2 4 2 4 2" xfId="41137"/>
    <cellStyle name="Note 2 4 2 4 2 2" xfId="41138"/>
    <cellStyle name="Note 2 4 2 4 3" xfId="41139"/>
    <cellStyle name="Note 2 4 2 5" xfId="41140"/>
    <cellStyle name="Note 2 4 2 5 2" xfId="41141"/>
    <cellStyle name="Note 2 4 2 6" xfId="41142"/>
    <cellStyle name="Note 2 4 3" xfId="41143"/>
    <cellStyle name="Note 2 4 3 2" xfId="41144"/>
    <cellStyle name="Note 2 4 3 2 2" xfId="41145"/>
    <cellStyle name="Note 2 4 3 2 2 2" xfId="41146"/>
    <cellStyle name="Note 2 4 3 2 2 2 2" xfId="41147"/>
    <cellStyle name="Note 2 4 3 2 2 3" xfId="41148"/>
    <cellStyle name="Note 2 4 3 2 3" xfId="41149"/>
    <cellStyle name="Note 2 4 3 2 3 2" xfId="41150"/>
    <cellStyle name="Note 2 4 3 2 3 2 2" xfId="41151"/>
    <cellStyle name="Note 2 4 3 2 3 3" xfId="41152"/>
    <cellStyle name="Note 2 4 3 2 4" xfId="41153"/>
    <cellStyle name="Note 2 4 3 2 4 2" xfId="41154"/>
    <cellStyle name="Note 2 4 3 2 5" xfId="41155"/>
    <cellStyle name="Note 2 4 3 3" xfId="41156"/>
    <cellStyle name="Note 2 4 3 3 2" xfId="41157"/>
    <cellStyle name="Note 2 4 3 3 2 2" xfId="41158"/>
    <cellStyle name="Note 2 4 3 3 2 2 2" xfId="41159"/>
    <cellStyle name="Note 2 4 3 3 2 3" xfId="41160"/>
    <cellStyle name="Note 2 4 3 3 3" xfId="41161"/>
    <cellStyle name="Note 2 4 3 3 3 2" xfId="41162"/>
    <cellStyle name="Note 2 4 3 3 4" xfId="41163"/>
    <cellStyle name="Note 2 4 3 4" xfId="41164"/>
    <cellStyle name="Note 2 4 3 4 2" xfId="41165"/>
    <cellStyle name="Note 2 4 3 4 2 2" xfId="41166"/>
    <cellStyle name="Note 2 4 3 4 3" xfId="41167"/>
    <cellStyle name="Note 2 4 3 5" xfId="41168"/>
    <cellStyle name="Note 2 4 3 5 2" xfId="41169"/>
    <cellStyle name="Note 2 4 3 5 2 2" xfId="41170"/>
    <cellStyle name="Note 2 4 3 5 3" xfId="41171"/>
    <cellStyle name="Note 2 4 3 6" xfId="41172"/>
    <cellStyle name="Note 2 4 3 6 2" xfId="41173"/>
    <cellStyle name="Note 2 4 3 7" xfId="41174"/>
    <cellStyle name="Note 2 4 4" xfId="41175"/>
    <cellStyle name="Note 2 4 4 2" xfId="41176"/>
    <cellStyle name="Note 2 4 4 2 2" xfId="41177"/>
    <cellStyle name="Note 2 4 4 2 2 2" xfId="41178"/>
    <cellStyle name="Note 2 4 4 2 3" xfId="41179"/>
    <cellStyle name="Note 2 4 4 3" xfId="41180"/>
    <cellStyle name="Note 2 4 4 3 2" xfId="41181"/>
    <cellStyle name="Note 2 4 4 4" xfId="41182"/>
    <cellStyle name="Note 2 4 5" xfId="41183"/>
    <cellStyle name="Note 2 4 5 2" xfId="41184"/>
    <cellStyle name="Note 2 4 5 2 2" xfId="41185"/>
    <cellStyle name="Note 2 4 5 3" xfId="41186"/>
    <cellStyle name="Note 2 4 6" xfId="41187"/>
    <cellStyle name="Note 2 4 6 2" xfId="41188"/>
    <cellStyle name="Note 2 4 6 2 2" xfId="41189"/>
    <cellStyle name="Note 2 4 6 3" xfId="41190"/>
    <cellStyle name="Note 2 4 7" xfId="41191"/>
    <cellStyle name="Note 2 4 7 2" xfId="41192"/>
    <cellStyle name="Note 2 4 8" xfId="41193"/>
    <cellStyle name="Note 2 5" xfId="41194"/>
    <cellStyle name="Note 2 5 2" xfId="41195"/>
    <cellStyle name="Note 2 5 2 2" xfId="41196"/>
    <cellStyle name="Note 2 5 2 2 2" xfId="41197"/>
    <cellStyle name="Note 2 5 2 2 2 2" xfId="41198"/>
    <cellStyle name="Note 2 5 2 2 2 2 2" xfId="41199"/>
    <cellStyle name="Note 2 5 2 2 2 2 2 2" xfId="41200"/>
    <cellStyle name="Note 2 5 2 2 2 2 3" xfId="41201"/>
    <cellStyle name="Note 2 5 2 2 2 3" xfId="41202"/>
    <cellStyle name="Note 2 5 2 2 2 3 2" xfId="41203"/>
    <cellStyle name="Note 2 5 2 2 2 4" xfId="41204"/>
    <cellStyle name="Note 2 5 2 2 3" xfId="41205"/>
    <cellStyle name="Note 2 5 2 2 3 2" xfId="41206"/>
    <cellStyle name="Note 2 5 2 2 3 2 2" xfId="41207"/>
    <cellStyle name="Note 2 5 2 2 3 3" xfId="41208"/>
    <cellStyle name="Note 2 5 2 2 4" xfId="41209"/>
    <cellStyle name="Note 2 5 2 2 4 2" xfId="41210"/>
    <cellStyle name="Note 2 5 2 2 5" xfId="41211"/>
    <cellStyle name="Note 2 5 2 3" xfId="41212"/>
    <cellStyle name="Note 2 5 2 3 2" xfId="41213"/>
    <cellStyle name="Note 2 5 2 3 2 2" xfId="41214"/>
    <cellStyle name="Note 2 5 2 3 3" xfId="41215"/>
    <cellStyle name="Note 2 5 2 4" xfId="41216"/>
    <cellStyle name="Note 2 5 2 4 2" xfId="41217"/>
    <cellStyle name="Note 2 5 2 4 2 2" xfId="41218"/>
    <cellStyle name="Note 2 5 2 4 3" xfId="41219"/>
    <cellStyle name="Note 2 5 2 5" xfId="41220"/>
    <cellStyle name="Note 2 5 2 5 2" xfId="41221"/>
    <cellStyle name="Note 2 5 2 5 2 2" xfId="41222"/>
    <cellStyle name="Note 2 5 2 5 2 2 2" xfId="41223"/>
    <cellStyle name="Note 2 5 2 5 2 3" xfId="41224"/>
    <cellStyle name="Note 2 5 2 5 3" xfId="41225"/>
    <cellStyle name="Note 2 5 2 5 3 2" xfId="41226"/>
    <cellStyle name="Note 2 5 2 5 4" xfId="41227"/>
    <cellStyle name="Note 2 5 2 6" xfId="41228"/>
    <cellStyle name="Note 2 5 2 6 2" xfId="41229"/>
    <cellStyle name="Note 2 5 2 6 2 2" xfId="41230"/>
    <cellStyle name="Note 2 5 2 6 3" xfId="41231"/>
    <cellStyle name="Note 2 5 2 7" xfId="41232"/>
    <cellStyle name="Note 2 5 2 7 2" xfId="41233"/>
    <cellStyle name="Note 2 5 2 8" xfId="41234"/>
    <cellStyle name="Note 2 5 3" xfId="41235"/>
    <cellStyle name="Note 2 5 3 2" xfId="41236"/>
    <cellStyle name="Note 2 5 3 2 2" xfId="41237"/>
    <cellStyle name="Note 2 5 3 2 2 2" xfId="41238"/>
    <cellStyle name="Note 2 5 3 2 2 2 2" xfId="41239"/>
    <cellStyle name="Note 2 5 3 2 2 2 2 2" xfId="41240"/>
    <cellStyle name="Note 2 5 3 2 2 2 3" xfId="41241"/>
    <cellStyle name="Note 2 5 3 2 2 3" xfId="41242"/>
    <cellStyle name="Note 2 5 3 2 2 3 2" xfId="41243"/>
    <cellStyle name="Note 2 5 3 2 2 4" xfId="41244"/>
    <cellStyle name="Note 2 5 3 2 3" xfId="41245"/>
    <cellStyle name="Note 2 5 3 2 3 2" xfId="41246"/>
    <cellStyle name="Note 2 5 3 2 3 2 2" xfId="41247"/>
    <cellStyle name="Note 2 5 3 2 3 3" xfId="41248"/>
    <cellStyle name="Note 2 5 3 2 4" xfId="41249"/>
    <cellStyle name="Note 2 5 3 2 4 2" xfId="41250"/>
    <cellStyle name="Note 2 5 3 2 5" xfId="41251"/>
    <cellStyle name="Note 2 5 3 3" xfId="41252"/>
    <cellStyle name="Note 2 5 3 3 2" xfId="41253"/>
    <cellStyle name="Note 2 5 3 3 2 2" xfId="41254"/>
    <cellStyle name="Note 2 5 3 3 2 2 2" xfId="41255"/>
    <cellStyle name="Note 2 5 3 3 2 3" xfId="41256"/>
    <cellStyle name="Note 2 5 3 3 3" xfId="41257"/>
    <cellStyle name="Note 2 5 3 3 3 2" xfId="41258"/>
    <cellStyle name="Note 2 5 3 3 4" xfId="41259"/>
    <cellStyle name="Note 2 5 3 4" xfId="41260"/>
    <cellStyle name="Note 2 5 3 4 2" xfId="41261"/>
    <cellStyle name="Note 2 5 3 4 2 2" xfId="41262"/>
    <cellStyle name="Note 2 5 3 4 3" xfId="41263"/>
    <cellStyle name="Note 2 5 3 5" xfId="41264"/>
    <cellStyle name="Note 2 5 3 5 2" xfId="41265"/>
    <cellStyle name="Note 2 5 3 6" xfId="41266"/>
    <cellStyle name="Note 2 5 4" xfId="41267"/>
    <cellStyle name="Note 2 5 4 2" xfId="41268"/>
    <cellStyle name="Note 2 5 4 2 2" xfId="41269"/>
    <cellStyle name="Note 2 5 4 3" xfId="41270"/>
    <cellStyle name="Note 2 5 5" xfId="41271"/>
    <cellStyle name="Note 2 5 5 2" xfId="41272"/>
    <cellStyle name="Note 2 5 5 2 2" xfId="41273"/>
    <cellStyle name="Note 2 5 5 3" xfId="41274"/>
    <cellStyle name="Note 2 5 6" xfId="41275"/>
    <cellStyle name="Note 2 5 6 2" xfId="41276"/>
    <cellStyle name="Note 2 5 6 2 2" xfId="41277"/>
    <cellStyle name="Note 2 5 6 2 2 2" xfId="41278"/>
    <cellStyle name="Note 2 5 6 2 3" xfId="41279"/>
    <cellStyle name="Note 2 5 6 3" xfId="41280"/>
    <cellStyle name="Note 2 5 6 3 2" xfId="41281"/>
    <cellStyle name="Note 2 5 6 4" xfId="41282"/>
    <cellStyle name="Note 2 5 7" xfId="41283"/>
    <cellStyle name="Note 2 5 7 2" xfId="41284"/>
    <cellStyle name="Note 2 5 7 2 2" xfId="41285"/>
    <cellStyle name="Note 2 5 7 3" xfId="41286"/>
    <cellStyle name="Note 2 5 8" xfId="41287"/>
    <cellStyle name="Note 2 5 8 2" xfId="41288"/>
    <cellStyle name="Note 2 5 9" xfId="41289"/>
    <cellStyle name="Note 2 6" xfId="41290"/>
    <cellStyle name="Note 2 6 2" xfId="41291"/>
    <cellStyle name="Note 2 6 2 2" xfId="41292"/>
    <cellStyle name="Note 2 6 2 2 2" xfId="41293"/>
    <cellStyle name="Note 2 6 2 3" xfId="41294"/>
    <cellStyle name="Note 2 6 2 3 2" xfId="41295"/>
    <cellStyle name="Note 2 6 2 3 2 2" xfId="41296"/>
    <cellStyle name="Note 2 6 2 3 3" xfId="41297"/>
    <cellStyle name="Note 2 6 2 4" xfId="41298"/>
    <cellStyle name="Note 2 6 2 4 2" xfId="41299"/>
    <cellStyle name="Note 2 6 2 4 2 2" xfId="41300"/>
    <cellStyle name="Note 2 6 2 4 3" xfId="41301"/>
    <cellStyle name="Note 2 6 2 5" xfId="41302"/>
    <cellStyle name="Note 2 6 3" xfId="41303"/>
    <cellStyle name="Note 2 6 3 2" xfId="41304"/>
    <cellStyle name="Note 2 6 3 2 2" xfId="41305"/>
    <cellStyle name="Note 2 6 3 2 2 2" xfId="41306"/>
    <cellStyle name="Note 2 6 3 2 3" xfId="41307"/>
    <cellStyle name="Note 2 6 3 2 3 2" xfId="41308"/>
    <cellStyle name="Note 2 6 3 2 3 2 2" xfId="41309"/>
    <cellStyle name="Note 2 6 3 2 3 3" xfId="41310"/>
    <cellStyle name="Note 2 6 3 2 4" xfId="41311"/>
    <cellStyle name="Note 2 6 3 3" xfId="41312"/>
    <cellStyle name="Note 2 6 3 3 2" xfId="41313"/>
    <cellStyle name="Note 2 6 3 3 2 2" xfId="41314"/>
    <cellStyle name="Note 2 6 3 3 3" xfId="41315"/>
    <cellStyle name="Note 2 6 3 4" xfId="41316"/>
    <cellStyle name="Note 2 6 3 4 2" xfId="41317"/>
    <cellStyle name="Note 2 6 3 4 2 2" xfId="41318"/>
    <cellStyle name="Note 2 6 3 4 3" xfId="41319"/>
    <cellStyle name="Note 2 6 3 5" xfId="41320"/>
    <cellStyle name="Note 2 6 3 5 2" xfId="41321"/>
    <cellStyle name="Note 2 6 3 5 2 2" xfId="41322"/>
    <cellStyle name="Note 2 6 3 5 3" xfId="41323"/>
    <cellStyle name="Note 2 6 3 6" xfId="41324"/>
    <cellStyle name="Note 2 6 4" xfId="41325"/>
    <cellStyle name="Note 2 6 4 2" xfId="41326"/>
    <cellStyle name="Note 2 6 4 2 2" xfId="41327"/>
    <cellStyle name="Note 2 6 4 3" xfId="41328"/>
    <cellStyle name="Note 2 6 5" xfId="41329"/>
    <cellStyle name="Note 2 6 5 2" xfId="41330"/>
    <cellStyle name="Note 2 6 5 2 2" xfId="41331"/>
    <cellStyle name="Note 2 6 5 3" xfId="41332"/>
    <cellStyle name="Note 2 6 6" xfId="41333"/>
    <cellStyle name="Note 2 6 6 2" xfId="41334"/>
    <cellStyle name="Note 2 6 6 2 2" xfId="41335"/>
    <cellStyle name="Note 2 6 6 3" xfId="41336"/>
    <cellStyle name="Note 2 6 7" xfId="41337"/>
    <cellStyle name="Note 2 7" xfId="41338"/>
    <cellStyle name="Note 2 7 10" xfId="41339"/>
    <cellStyle name="Note 2 7 2" xfId="41340"/>
    <cellStyle name="Note 2 7 2 2" xfId="41341"/>
    <cellStyle name="Note 2 7 2 2 2" xfId="41342"/>
    <cellStyle name="Note 2 7 2 2 2 2" xfId="41343"/>
    <cellStyle name="Note 2 7 2 2 2 2 2" xfId="41344"/>
    <cellStyle name="Note 2 7 2 2 2 2 2 2" xfId="41345"/>
    <cellStyle name="Note 2 7 2 2 2 2 3" xfId="41346"/>
    <cellStyle name="Note 2 7 2 2 2 3" xfId="41347"/>
    <cellStyle name="Note 2 7 2 2 2 3 2" xfId="41348"/>
    <cellStyle name="Note 2 7 2 2 2 4" xfId="41349"/>
    <cellStyle name="Note 2 7 2 2 3" xfId="41350"/>
    <cellStyle name="Note 2 7 2 2 3 2" xfId="41351"/>
    <cellStyle name="Note 2 7 2 2 3 2 2" xfId="41352"/>
    <cellStyle name="Note 2 7 2 2 3 3" xfId="41353"/>
    <cellStyle name="Note 2 7 2 2 4" xfId="41354"/>
    <cellStyle name="Note 2 7 2 2 4 2" xfId="41355"/>
    <cellStyle name="Note 2 7 2 2 5" xfId="41356"/>
    <cellStyle name="Note 2 7 2 3" xfId="41357"/>
    <cellStyle name="Note 2 7 2 3 2" xfId="41358"/>
    <cellStyle name="Note 2 7 2 3 2 2" xfId="41359"/>
    <cellStyle name="Note 2 7 2 3 3" xfId="41360"/>
    <cellStyle name="Note 2 7 2 4" xfId="41361"/>
    <cellStyle name="Note 2 7 2 4 2" xfId="41362"/>
    <cellStyle name="Note 2 7 2 4 2 2" xfId="41363"/>
    <cellStyle name="Note 2 7 2 4 3" xfId="41364"/>
    <cellStyle name="Note 2 7 2 5" xfId="41365"/>
    <cellStyle name="Note 2 7 2 5 2" xfId="41366"/>
    <cellStyle name="Note 2 7 2 5 2 2" xfId="41367"/>
    <cellStyle name="Note 2 7 2 5 2 2 2" xfId="41368"/>
    <cellStyle name="Note 2 7 2 5 2 3" xfId="41369"/>
    <cellStyle name="Note 2 7 2 5 3" xfId="41370"/>
    <cellStyle name="Note 2 7 2 5 3 2" xfId="41371"/>
    <cellStyle name="Note 2 7 2 5 4" xfId="41372"/>
    <cellStyle name="Note 2 7 2 6" xfId="41373"/>
    <cellStyle name="Note 2 7 2 6 2" xfId="41374"/>
    <cellStyle name="Note 2 7 2 6 2 2" xfId="41375"/>
    <cellStyle name="Note 2 7 2 6 3" xfId="41376"/>
    <cellStyle name="Note 2 7 2 7" xfId="41377"/>
    <cellStyle name="Note 2 7 2 7 2" xfId="41378"/>
    <cellStyle name="Note 2 7 2 8" xfId="41379"/>
    <cellStyle name="Note 2 7 3" xfId="41380"/>
    <cellStyle name="Note 2 7 3 2" xfId="41381"/>
    <cellStyle name="Note 2 7 3 2 2" xfId="41382"/>
    <cellStyle name="Note 2 7 3 2 2 2" xfId="41383"/>
    <cellStyle name="Note 2 7 3 2 2 2 2" xfId="41384"/>
    <cellStyle name="Note 2 7 3 2 2 2 2 2" xfId="41385"/>
    <cellStyle name="Note 2 7 3 2 2 2 2 2 2" xfId="41386"/>
    <cellStyle name="Note 2 7 3 2 2 2 2 3" xfId="41387"/>
    <cellStyle name="Note 2 7 3 2 2 2 3" xfId="41388"/>
    <cellStyle name="Note 2 7 3 2 2 2 3 2" xfId="41389"/>
    <cellStyle name="Note 2 7 3 2 2 2 4" xfId="41390"/>
    <cellStyle name="Note 2 7 3 2 2 3" xfId="41391"/>
    <cellStyle name="Note 2 7 3 2 2 3 2" xfId="41392"/>
    <cellStyle name="Note 2 7 3 2 2 3 2 2" xfId="41393"/>
    <cellStyle name="Note 2 7 3 2 2 3 3" xfId="41394"/>
    <cellStyle name="Note 2 7 3 2 2 4" xfId="41395"/>
    <cellStyle name="Note 2 7 3 2 2 4 2" xfId="41396"/>
    <cellStyle name="Note 2 7 3 2 2 5" xfId="41397"/>
    <cellStyle name="Note 2 7 3 2 3" xfId="41398"/>
    <cellStyle name="Note 2 7 3 2 3 2" xfId="41399"/>
    <cellStyle name="Note 2 7 3 2 3 2 2" xfId="41400"/>
    <cellStyle name="Note 2 7 3 2 3 3" xfId="41401"/>
    <cellStyle name="Note 2 7 3 2 4" xfId="41402"/>
    <cellStyle name="Note 2 7 3 2 4 2" xfId="41403"/>
    <cellStyle name="Note 2 7 3 2 4 2 2" xfId="41404"/>
    <cellStyle name="Note 2 7 3 2 4 2 2 2" xfId="41405"/>
    <cellStyle name="Note 2 7 3 2 4 2 3" xfId="41406"/>
    <cellStyle name="Note 2 7 3 2 4 3" xfId="41407"/>
    <cellStyle name="Note 2 7 3 2 4 3 2" xfId="41408"/>
    <cellStyle name="Note 2 7 3 2 4 4" xfId="41409"/>
    <cellStyle name="Note 2 7 3 2 5" xfId="41410"/>
    <cellStyle name="Note 2 7 3 2 5 2" xfId="41411"/>
    <cellStyle name="Note 2 7 3 2 5 2 2" xfId="41412"/>
    <cellStyle name="Note 2 7 3 2 5 3" xfId="41413"/>
    <cellStyle name="Note 2 7 3 2 6" xfId="41414"/>
    <cellStyle name="Note 2 7 3 2 6 2" xfId="41415"/>
    <cellStyle name="Note 2 7 3 2 7" xfId="41416"/>
    <cellStyle name="Note 2 7 3 3" xfId="41417"/>
    <cellStyle name="Note 2 7 3 3 2" xfId="41418"/>
    <cellStyle name="Note 2 7 3 3 2 2" xfId="41419"/>
    <cellStyle name="Note 2 7 3 3 2 2 2" xfId="41420"/>
    <cellStyle name="Note 2 7 3 3 2 2 2 2" xfId="41421"/>
    <cellStyle name="Note 2 7 3 3 2 2 2 2 2" xfId="41422"/>
    <cellStyle name="Note 2 7 3 3 2 2 2 3" xfId="41423"/>
    <cellStyle name="Note 2 7 3 3 2 2 3" xfId="41424"/>
    <cellStyle name="Note 2 7 3 3 2 2 3 2" xfId="41425"/>
    <cellStyle name="Note 2 7 3 3 2 2 4" xfId="41426"/>
    <cellStyle name="Note 2 7 3 3 2 3" xfId="41427"/>
    <cellStyle name="Note 2 7 3 3 2 3 2" xfId="41428"/>
    <cellStyle name="Note 2 7 3 3 2 3 2 2" xfId="41429"/>
    <cellStyle name="Note 2 7 3 3 2 3 3" xfId="41430"/>
    <cellStyle name="Note 2 7 3 3 2 4" xfId="41431"/>
    <cellStyle name="Note 2 7 3 3 2 4 2" xfId="41432"/>
    <cellStyle name="Note 2 7 3 3 2 5" xfId="41433"/>
    <cellStyle name="Note 2 7 3 3 3" xfId="41434"/>
    <cellStyle name="Note 2 7 3 3 3 2" xfId="41435"/>
    <cellStyle name="Note 2 7 3 3 3 2 2" xfId="41436"/>
    <cellStyle name="Note 2 7 3 3 3 2 2 2" xfId="41437"/>
    <cellStyle name="Note 2 7 3 3 3 2 3" xfId="41438"/>
    <cellStyle name="Note 2 7 3 3 3 3" xfId="41439"/>
    <cellStyle name="Note 2 7 3 3 3 3 2" xfId="41440"/>
    <cellStyle name="Note 2 7 3 3 3 4" xfId="41441"/>
    <cellStyle name="Note 2 7 3 3 4" xfId="41442"/>
    <cellStyle name="Note 2 7 3 3 4 2" xfId="41443"/>
    <cellStyle name="Note 2 7 3 3 4 2 2" xfId="41444"/>
    <cellStyle name="Note 2 7 3 3 4 3" xfId="41445"/>
    <cellStyle name="Note 2 7 3 3 5" xfId="41446"/>
    <cellStyle name="Note 2 7 3 3 5 2" xfId="41447"/>
    <cellStyle name="Note 2 7 3 3 6" xfId="41448"/>
    <cellStyle name="Note 2 7 3 4" xfId="41449"/>
    <cellStyle name="Note 2 7 3 4 2" xfId="41450"/>
    <cellStyle name="Note 2 7 3 4 2 2" xfId="41451"/>
    <cellStyle name="Note 2 7 3 4 3" xfId="41452"/>
    <cellStyle name="Note 2 7 3 5" xfId="41453"/>
    <cellStyle name="Note 2 7 3 5 2" xfId="41454"/>
    <cellStyle name="Note 2 7 3 5 2 2" xfId="41455"/>
    <cellStyle name="Note 2 7 3 5 3" xfId="41456"/>
    <cellStyle name="Note 2 7 3 6" xfId="41457"/>
    <cellStyle name="Note 2 7 3 6 2" xfId="41458"/>
    <cellStyle name="Note 2 7 3 6 2 2" xfId="41459"/>
    <cellStyle name="Note 2 7 3 6 2 2 2" xfId="41460"/>
    <cellStyle name="Note 2 7 3 6 2 3" xfId="41461"/>
    <cellStyle name="Note 2 7 3 6 3" xfId="41462"/>
    <cellStyle name="Note 2 7 3 6 3 2" xfId="41463"/>
    <cellStyle name="Note 2 7 3 6 4" xfId="41464"/>
    <cellStyle name="Note 2 7 3 7" xfId="41465"/>
    <cellStyle name="Note 2 7 3 7 2" xfId="41466"/>
    <cellStyle name="Note 2 7 3 7 2 2" xfId="41467"/>
    <cellStyle name="Note 2 7 3 7 3" xfId="41468"/>
    <cellStyle name="Note 2 7 3 8" xfId="41469"/>
    <cellStyle name="Note 2 7 3 8 2" xfId="41470"/>
    <cellStyle name="Note 2 7 3 9" xfId="41471"/>
    <cellStyle name="Note 2 7 4" xfId="41472"/>
    <cellStyle name="Note 2 7 4 2" xfId="41473"/>
    <cellStyle name="Note 2 7 4 2 2" xfId="41474"/>
    <cellStyle name="Note 2 7 4 2 2 2" xfId="41475"/>
    <cellStyle name="Note 2 7 4 2 2 2 2" xfId="41476"/>
    <cellStyle name="Note 2 7 4 2 2 2 2 2" xfId="41477"/>
    <cellStyle name="Note 2 7 4 2 2 2 3" xfId="41478"/>
    <cellStyle name="Note 2 7 4 2 2 3" xfId="41479"/>
    <cellStyle name="Note 2 7 4 2 2 3 2" xfId="41480"/>
    <cellStyle name="Note 2 7 4 2 2 4" xfId="41481"/>
    <cellStyle name="Note 2 7 4 2 3" xfId="41482"/>
    <cellStyle name="Note 2 7 4 2 3 2" xfId="41483"/>
    <cellStyle name="Note 2 7 4 2 3 2 2" xfId="41484"/>
    <cellStyle name="Note 2 7 4 2 3 3" xfId="41485"/>
    <cellStyle name="Note 2 7 4 2 4" xfId="41486"/>
    <cellStyle name="Note 2 7 4 2 4 2" xfId="41487"/>
    <cellStyle name="Note 2 7 4 2 5" xfId="41488"/>
    <cellStyle name="Note 2 7 4 3" xfId="41489"/>
    <cellStyle name="Note 2 7 4 3 2" xfId="41490"/>
    <cellStyle name="Note 2 7 4 3 2 2" xfId="41491"/>
    <cellStyle name="Note 2 7 4 3 2 2 2" xfId="41492"/>
    <cellStyle name="Note 2 7 4 3 2 3" xfId="41493"/>
    <cellStyle name="Note 2 7 4 3 3" xfId="41494"/>
    <cellStyle name="Note 2 7 4 3 3 2" xfId="41495"/>
    <cellStyle name="Note 2 7 4 3 4" xfId="41496"/>
    <cellStyle name="Note 2 7 4 4" xfId="41497"/>
    <cellStyle name="Note 2 7 4 4 2" xfId="41498"/>
    <cellStyle name="Note 2 7 4 4 2 2" xfId="41499"/>
    <cellStyle name="Note 2 7 4 4 3" xfId="41500"/>
    <cellStyle name="Note 2 7 4 5" xfId="41501"/>
    <cellStyle name="Note 2 7 4 5 2" xfId="41502"/>
    <cellStyle name="Note 2 7 4 6" xfId="41503"/>
    <cellStyle name="Note 2 7 5" xfId="41504"/>
    <cellStyle name="Note 2 7 5 2" xfId="41505"/>
    <cellStyle name="Note 2 7 5 2 2" xfId="41506"/>
    <cellStyle name="Note 2 7 5 3" xfId="41507"/>
    <cellStyle name="Note 2 7 6" xfId="41508"/>
    <cellStyle name="Note 2 7 6 2" xfId="41509"/>
    <cellStyle name="Note 2 7 6 2 2" xfId="41510"/>
    <cellStyle name="Note 2 7 6 3" xfId="41511"/>
    <cellStyle name="Note 2 7 7" xfId="41512"/>
    <cellStyle name="Note 2 7 7 2" xfId="41513"/>
    <cellStyle name="Note 2 7 7 2 2" xfId="41514"/>
    <cellStyle name="Note 2 7 7 2 2 2" xfId="41515"/>
    <cellStyle name="Note 2 7 7 2 3" xfId="41516"/>
    <cellStyle name="Note 2 7 7 3" xfId="41517"/>
    <cellStyle name="Note 2 7 7 3 2" xfId="41518"/>
    <cellStyle name="Note 2 7 7 4" xfId="41519"/>
    <cellStyle name="Note 2 7 8" xfId="41520"/>
    <cellStyle name="Note 2 7 8 2" xfId="41521"/>
    <cellStyle name="Note 2 7 8 2 2" xfId="41522"/>
    <cellStyle name="Note 2 7 8 3" xfId="41523"/>
    <cellStyle name="Note 2 7 9" xfId="41524"/>
    <cellStyle name="Note 2 7 9 2" xfId="41525"/>
    <cellStyle name="Note 2 8" xfId="41526"/>
    <cellStyle name="Note 2 8 10" xfId="41527"/>
    <cellStyle name="Note 2 8 2" xfId="41528"/>
    <cellStyle name="Note 2 8 2 2" xfId="41529"/>
    <cellStyle name="Note 2 8 2 2 2" xfId="41530"/>
    <cellStyle name="Note 2 8 2 2 2 2" xfId="41531"/>
    <cellStyle name="Note 2 8 2 2 2 2 2" xfId="41532"/>
    <cellStyle name="Note 2 8 2 2 2 2 2 2" xfId="41533"/>
    <cellStyle name="Note 2 8 2 2 2 2 3" xfId="41534"/>
    <cellStyle name="Note 2 8 2 2 2 3" xfId="41535"/>
    <cellStyle name="Note 2 8 2 2 2 3 2" xfId="41536"/>
    <cellStyle name="Note 2 8 2 2 2 4" xfId="41537"/>
    <cellStyle name="Note 2 8 2 2 3" xfId="41538"/>
    <cellStyle name="Note 2 8 2 2 3 2" xfId="41539"/>
    <cellStyle name="Note 2 8 2 2 3 2 2" xfId="41540"/>
    <cellStyle name="Note 2 8 2 2 3 3" xfId="41541"/>
    <cellStyle name="Note 2 8 2 2 4" xfId="41542"/>
    <cellStyle name="Note 2 8 2 2 4 2" xfId="41543"/>
    <cellStyle name="Note 2 8 2 2 5" xfId="41544"/>
    <cellStyle name="Note 2 8 2 3" xfId="41545"/>
    <cellStyle name="Note 2 8 2 3 2" xfId="41546"/>
    <cellStyle name="Note 2 8 2 3 2 2" xfId="41547"/>
    <cellStyle name="Note 2 8 2 3 3" xfId="41548"/>
    <cellStyle name="Note 2 8 2 4" xfId="41549"/>
    <cellStyle name="Note 2 8 2 4 2" xfId="41550"/>
    <cellStyle name="Note 2 8 2 4 2 2" xfId="41551"/>
    <cellStyle name="Note 2 8 2 4 3" xfId="41552"/>
    <cellStyle name="Note 2 8 2 5" xfId="41553"/>
    <cellStyle name="Note 2 8 2 5 2" xfId="41554"/>
    <cellStyle name="Note 2 8 2 5 2 2" xfId="41555"/>
    <cellStyle name="Note 2 8 2 5 2 2 2" xfId="41556"/>
    <cellStyle name="Note 2 8 2 5 2 3" xfId="41557"/>
    <cellStyle name="Note 2 8 2 5 3" xfId="41558"/>
    <cellStyle name="Note 2 8 2 5 3 2" xfId="41559"/>
    <cellStyle name="Note 2 8 2 5 4" xfId="41560"/>
    <cellStyle name="Note 2 8 2 6" xfId="41561"/>
    <cellStyle name="Note 2 8 2 6 2" xfId="41562"/>
    <cellStyle name="Note 2 8 2 6 2 2" xfId="41563"/>
    <cellStyle name="Note 2 8 2 6 3" xfId="41564"/>
    <cellStyle name="Note 2 8 2 7" xfId="41565"/>
    <cellStyle name="Note 2 8 2 7 2" xfId="41566"/>
    <cellStyle name="Note 2 8 2 8" xfId="41567"/>
    <cellStyle name="Note 2 8 3" xfId="41568"/>
    <cellStyle name="Note 2 8 3 2" xfId="41569"/>
    <cellStyle name="Note 2 8 3 2 2" xfId="41570"/>
    <cellStyle name="Note 2 8 3 2 2 2" xfId="41571"/>
    <cellStyle name="Note 2 8 3 2 2 2 2" xfId="41572"/>
    <cellStyle name="Note 2 8 3 2 2 2 2 2" xfId="41573"/>
    <cellStyle name="Note 2 8 3 2 2 2 3" xfId="41574"/>
    <cellStyle name="Note 2 8 3 2 2 3" xfId="41575"/>
    <cellStyle name="Note 2 8 3 2 2 3 2" xfId="41576"/>
    <cellStyle name="Note 2 8 3 2 2 4" xfId="41577"/>
    <cellStyle name="Note 2 8 3 2 3" xfId="41578"/>
    <cellStyle name="Note 2 8 3 2 3 2" xfId="41579"/>
    <cellStyle name="Note 2 8 3 2 3 2 2" xfId="41580"/>
    <cellStyle name="Note 2 8 3 2 3 3" xfId="41581"/>
    <cellStyle name="Note 2 8 3 2 4" xfId="41582"/>
    <cellStyle name="Note 2 8 3 2 4 2" xfId="41583"/>
    <cellStyle name="Note 2 8 3 2 5" xfId="41584"/>
    <cellStyle name="Note 2 8 3 3" xfId="41585"/>
    <cellStyle name="Note 2 8 3 3 2" xfId="41586"/>
    <cellStyle name="Note 2 8 3 3 2 2" xfId="41587"/>
    <cellStyle name="Note 2 8 3 3 3" xfId="41588"/>
    <cellStyle name="Note 2 8 3 4" xfId="41589"/>
    <cellStyle name="Note 2 8 3 4 2" xfId="41590"/>
    <cellStyle name="Note 2 8 3 4 2 2" xfId="41591"/>
    <cellStyle name="Note 2 8 3 4 2 2 2" xfId="41592"/>
    <cellStyle name="Note 2 8 3 4 2 3" xfId="41593"/>
    <cellStyle name="Note 2 8 3 4 3" xfId="41594"/>
    <cellStyle name="Note 2 8 3 4 3 2" xfId="41595"/>
    <cellStyle name="Note 2 8 3 4 4" xfId="41596"/>
    <cellStyle name="Note 2 8 3 5" xfId="41597"/>
    <cellStyle name="Note 2 8 3 5 2" xfId="41598"/>
    <cellStyle name="Note 2 8 3 5 2 2" xfId="41599"/>
    <cellStyle name="Note 2 8 3 5 3" xfId="41600"/>
    <cellStyle name="Note 2 8 3 6" xfId="41601"/>
    <cellStyle name="Note 2 8 3 6 2" xfId="41602"/>
    <cellStyle name="Note 2 8 3 7" xfId="41603"/>
    <cellStyle name="Note 2 8 4" xfId="41604"/>
    <cellStyle name="Note 2 8 4 2" xfId="41605"/>
    <cellStyle name="Note 2 8 4 2 2" xfId="41606"/>
    <cellStyle name="Note 2 8 4 2 2 2" xfId="41607"/>
    <cellStyle name="Note 2 8 4 2 2 2 2" xfId="41608"/>
    <cellStyle name="Note 2 8 4 2 2 2 2 2" xfId="41609"/>
    <cellStyle name="Note 2 8 4 2 2 2 3" xfId="41610"/>
    <cellStyle name="Note 2 8 4 2 2 3" xfId="41611"/>
    <cellStyle name="Note 2 8 4 2 2 3 2" xfId="41612"/>
    <cellStyle name="Note 2 8 4 2 2 4" xfId="41613"/>
    <cellStyle name="Note 2 8 4 2 3" xfId="41614"/>
    <cellStyle name="Note 2 8 4 2 3 2" xfId="41615"/>
    <cellStyle name="Note 2 8 4 2 3 2 2" xfId="41616"/>
    <cellStyle name="Note 2 8 4 2 3 3" xfId="41617"/>
    <cellStyle name="Note 2 8 4 2 4" xfId="41618"/>
    <cellStyle name="Note 2 8 4 2 4 2" xfId="41619"/>
    <cellStyle name="Note 2 8 4 2 5" xfId="41620"/>
    <cellStyle name="Note 2 8 4 3" xfId="41621"/>
    <cellStyle name="Note 2 8 4 3 2" xfId="41622"/>
    <cellStyle name="Note 2 8 4 3 2 2" xfId="41623"/>
    <cellStyle name="Note 2 8 4 3 2 2 2" xfId="41624"/>
    <cellStyle name="Note 2 8 4 3 2 3" xfId="41625"/>
    <cellStyle name="Note 2 8 4 3 3" xfId="41626"/>
    <cellStyle name="Note 2 8 4 3 3 2" xfId="41627"/>
    <cellStyle name="Note 2 8 4 3 4" xfId="41628"/>
    <cellStyle name="Note 2 8 4 4" xfId="41629"/>
    <cellStyle name="Note 2 8 4 4 2" xfId="41630"/>
    <cellStyle name="Note 2 8 4 4 2 2" xfId="41631"/>
    <cellStyle name="Note 2 8 4 4 3" xfId="41632"/>
    <cellStyle name="Note 2 8 4 5" xfId="41633"/>
    <cellStyle name="Note 2 8 4 5 2" xfId="41634"/>
    <cellStyle name="Note 2 8 4 6" xfId="41635"/>
    <cellStyle name="Note 2 8 5" xfId="41636"/>
    <cellStyle name="Note 2 8 5 2" xfId="41637"/>
    <cellStyle name="Note 2 8 5 2 2" xfId="41638"/>
    <cellStyle name="Note 2 8 5 3" xfId="41639"/>
    <cellStyle name="Note 2 8 6" xfId="41640"/>
    <cellStyle name="Note 2 8 6 2" xfId="41641"/>
    <cellStyle name="Note 2 8 6 2 2" xfId="41642"/>
    <cellStyle name="Note 2 8 6 3" xfId="41643"/>
    <cellStyle name="Note 2 8 7" xfId="41644"/>
    <cellStyle name="Note 2 8 7 2" xfId="41645"/>
    <cellStyle name="Note 2 8 7 2 2" xfId="41646"/>
    <cellStyle name="Note 2 8 7 2 2 2" xfId="41647"/>
    <cellStyle name="Note 2 8 7 2 3" xfId="41648"/>
    <cellStyle name="Note 2 8 7 3" xfId="41649"/>
    <cellStyle name="Note 2 8 7 3 2" xfId="41650"/>
    <cellStyle name="Note 2 8 7 4" xfId="41651"/>
    <cellStyle name="Note 2 8 8" xfId="41652"/>
    <cellStyle name="Note 2 8 8 2" xfId="41653"/>
    <cellStyle name="Note 2 8 8 2 2" xfId="41654"/>
    <cellStyle name="Note 2 8 8 3" xfId="41655"/>
    <cellStyle name="Note 2 8 9" xfId="41656"/>
    <cellStyle name="Note 2 8 9 2" xfId="41657"/>
    <cellStyle name="Note 2 9" xfId="41658"/>
    <cellStyle name="Note 2 9 2" xfId="41659"/>
    <cellStyle name="Note 2 9 2 2" xfId="41660"/>
    <cellStyle name="Note 2 9 2 2 2" xfId="41661"/>
    <cellStyle name="Note 2 9 2 2 2 2" xfId="41662"/>
    <cellStyle name="Note 2 9 2 2 2 2 2" xfId="41663"/>
    <cellStyle name="Note 2 9 2 2 2 3" xfId="41664"/>
    <cellStyle name="Note 2 9 2 2 3" xfId="41665"/>
    <cellStyle name="Note 2 9 2 2 3 2" xfId="41666"/>
    <cellStyle name="Note 2 9 2 2 4" xfId="41667"/>
    <cellStyle name="Note 2 9 2 3" xfId="41668"/>
    <cellStyle name="Note 2 9 2 3 2" xfId="41669"/>
    <cellStyle name="Note 2 9 2 3 2 2" xfId="41670"/>
    <cellStyle name="Note 2 9 2 3 3" xfId="41671"/>
    <cellStyle name="Note 2 9 2 4" xfId="41672"/>
    <cellStyle name="Note 2 9 2 4 2" xfId="41673"/>
    <cellStyle name="Note 2 9 2 5" xfId="41674"/>
    <cellStyle name="Note 2 9 3" xfId="41675"/>
    <cellStyle name="Note 2 9 3 2" xfId="41676"/>
    <cellStyle name="Note 2 9 3 2 2" xfId="41677"/>
    <cellStyle name="Note 2 9 3 3" xfId="41678"/>
    <cellStyle name="Note 2 9 4" xfId="41679"/>
    <cellStyle name="Note 2 9 4 2" xfId="41680"/>
    <cellStyle name="Note 2 9 4 2 2" xfId="41681"/>
    <cellStyle name="Note 2 9 4 3" xfId="41682"/>
    <cellStyle name="Note 2 9 5" xfId="41683"/>
    <cellStyle name="Note 2 9 5 2" xfId="41684"/>
    <cellStyle name="Note 2 9 5 2 2" xfId="41685"/>
    <cellStyle name="Note 2 9 5 2 2 2" xfId="41686"/>
    <cellStyle name="Note 2 9 5 2 3" xfId="41687"/>
    <cellStyle name="Note 2 9 5 3" xfId="41688"/>
    <cellStyle name="Note 2 9 5 3 2" xfId="41689"/>
    <cellStyle name="Note 2 9 5 4" xfId="41690"/>
    <cellStyle name="Note 2 9 6" xfId="41691"/>
    <cellStyle name="Note 2 9 6 2" xfId="41692"/>
    <cellStyle name="Note 2 9 6 2 2" xfId="41693"/>
    <cellStyle name="Note 2 9 6 3" xfId="41694"/>
    <cellStyle name="Note 2 9 7" xfId="41695"/>
    <cellStyle name="Note 2 9 7 2" xfId="41696"/>
    <cellStyle name="Note 2 9 8" xfId="41697"/>
    <cellStyle name="Note 3" xfId="41698"/>
    <cellStyle name="Note 3 10" xfId="41699"/>
    <cellStyle name="Note 3 10 2" xfId="41700"/>
    <cellStyle name="Note 3 10 2 2" xfId="41701"/>
    <cellStyle name="Note 3 10 3" xfId="41702"/>
    <cellStyle name="Note 3 11" xfId="41703"/>
    <cellStyle name="Note 3 11 2" xfId="41704"/>
    <cellStyle name="Note 3 12" xfId="41705"/>
    <cellStyle name="Note 3 13" xfId="41706"/>
    <cellStyle name="Note 3 2" xfId="41707"/>
    <cellStyle name="Note 3 2 2" xfId="41708"/>
    <cellStyle name="Note 3 2 2 2" xfId="41709"/>
    <cellStyle name="Note 3 2 2 2 2" xfId="41710"/>
    <cellStyle name="Note 3 2 2 2 2 2" xfId="41711"/>
    <cellStyle name="Note 3 2 2 2 3" xfId="41712"/>
    <cellStyle name="Note 3 2 2 3" xfId="41713"/>
    <cellStyle name="Note 3 2 2 3 2" xfId="41714"/>
    <cellStyle name="Note 3 2 2 3 2 2" xfId="41715"/>
    <cellStyle name="Note 3 2 2 3 3" xfId="41716"/>
    <cellStyle name="Note 3 2 2 4" xfId="41717"/>
    <cellStyle name="Note 3 2 2 4 2" xfId="41718"/>
    <cellStyle name="Note 3 2 2 4 2 2" xfId="41719"/>
    <cellStyle name="Note 3 2 2 4 3" xfId="41720"/>
    <cellStyle name="Note 3 2 2 5" xfId="41721"/>
    <cellStyle name="Note 3 2 2 5 2" xfId="41722"/>
    <cellStyle name="Note 3 2 2 6" xfId="41723"/>
    <cellStyle name="Note 3 2 3" xfId="41724"/>
    <cellStyle name="Note 3 2 3 2" xfId="41725"/>
    <cellStyle name="Note 3 2 3 2 2" xfId="41726"/>
    <cellStyle name="Note 3 2 3 2 2 2" xfId="41727"/>
    <cellStyle name="Note 3 2 3 2 2 2 2" xfId="41728"/>
    <cellStyle name="Note 3 2 3 2 2 3" xfId="41729"/>
    <cellStyle name="Note 3 2 3 2 3" xfId="41730"/>
    <cellStyle name="Note 3 2 3 2 3 2" xfId="41731"/>
    <cellStyle name="Note 3 2 3 2 3 2 2" xfId="41732"/>
    <cellStyle name="Note 3 2 3 2 3 3" xfId="41733"/>
    <cellStyle name="Note 3 2 3 2 4" xfId="41734"/>
    <cellStyle name="Note 3 2 3 2 4 2" xfId="41735"/>
    <cellStyle name="Note 3 2 3 2 5" xfId="41736"/>
    <cellStyle name="Note 3 2 3 3" xfId="41737"/>
    <cellStyle name="Note 3 2 3 3 2" xfId="41738"/>
    <cellStyle name="Note 3 2 3 3 2 2" xfId="41739"/>
    <cellStyle name="Note 3 2 3 3 2 2 2" xfId="41740"/>
    <cellStyle name="Note 3 2 3 3 2 3" xfId="41741"/>
    <cellStyle name="Note 3 2 3 3 3" xfId="41742"/>
    <cellStyle name="Note 3 2 3 3 3 2" xfId="41743"/>
    <cellStyle name="Note 3 2 3 3 4" xfId="41744"/>
    <cellStyle name="Note 3 2 3 4" xfId="41745"/>
    <cellStyle name="Note 3 2 3 4 2" xfId="41746"/>
    <cellStyle name="Note 3 2 3 4 2 2" xfId="41747"/>
    <cellStyle name="Note 3 2 3 4 3" xfId="41748"/>
    <cellStyle name="Note 3 2 3 5" xfId="41749"/>
    <cellStyle name="Note 3 2 3 5 2" xfId="41750"/>
    <cellStyle name="Note 3 2 3 5 2 2" xfId="41751"/>
    <cellStyle name="Note 3 2 3 5 3" xfId="41752"/>
    <cellStyle name="Note 3 2 3 6" xfId="41753"/>
    <cellStyle name="Note 3 2 3 6 2" xfId="41754"/>
    <cellStyle name="Note 3 2 3 7" xfId="41755"/>
    <cellStyle name="Note 3 2 4" xfId="41756"/>
    <cellStyle name="Note 3 2 4 2" xfId="41757"/>
    <cellStyle name="Note 3 2 4 2 2" xfId="41758"/>
    <cellStyle name="Note 3 2 4 2 2 2" xfId="41759"/>
    <cellStyle name="Note 3 2 4 2 3" xfId="41760"/>
    <cellStyle name="Note 3 2 4 3" xfId="41761"/>
    <cellStyle name="Note 3 2 4 3 2" xfId="41762"/>
    <cellStyle name="Note 3 2 4 4" xfId="41763"/>
    <cellStyle name="Note 3 2 5" xfId="41764"/>
    <cellStyle name="Note 3 2 5 2" xfId="41765"/>
    <cellStyle name="Note 3 2 5 2 2" xfId="41766"/>
    <cellStyle name="Note 3 2 5 3" xfId="41767"/>
    <cellStyle name="Note 3 2 6" xfId="41768"/>
    <cellStyle name="Note 3 2 6 2" xfId="41769"/>
    <cellStyle name="Note 3 2 6 2 2" xfId="41770"/>
    <cellStyle name="Note 3 2 6 3" xfId="41771"/>
    <cellStyle name="Note 3 2 7" xfId="41772"/>
    <cellStyle name="Note 3 2 7 2" xfId="41773"/>
    <cellStyle name="Note 3 2 8" xfId="41774"/>
    <cellStyle name="Note 3 3" xfId="41775"/>
    <cellStyle name="Note 3 3 2" xfId="41776"/>
    <cellStyle name="Note 3 3 2 2" xfId="41777"/>
    <cellStyle name="Note 3 3 2 2 2" xfId="41778"/>
    <cellStyle name="Note 3 3 2 3" xfId="41779"/>
    <cellStyle name="Note 3 3 2 3 2" xfId="41780"/>
    <cellStyle name="Note 3 3 2 3 2 2" xfId="41781"/>
    <cellStyle name="Note 3 3 2 3 3" xfId="41782"/>
    <cellStyle name="Note 3 3 2 4" xfId="41783"/>
    <cellStyle name="Note 3 3 2 4 2" xfId="41784"/>
    <cellStyle name="Note 3 3 2 4 2 2" xfId="41785"/>
    <cellStyle name="Note 3 3 2 4 3" xfId="41786"/>
    <cellStyle name="Note 3 3 2 5" xfId="41787"/>
    <cellStyle name="Note 3 3 3" xfId="41788"/>
    <cellStyle name="Note 3 3 3 2" xfId="41789"/>
    <cellStyle name="Note 3 3 3 2 2" xfId="41790"/>
    <cellStyle name="Note 3 3 3 2 2 2" xfId="41791"/>
    <cellStyle name="Note 3 3 3 2 3" xfId="41792"/>
    <cellStyle name="Note 3 3 3 2 3 2" xfId="41793"/>
    <cellStyle name="Note 3 3 3 2 3 2 2" xfId="41794"/>
    <cellStyle name="Note 3 3 3 2 3 3" xfId="41795"/>
    <cellStyle name="Note 3 3 3 2 4" xfId="41796"/>
    <cellStyle name="Note 3 3 3 3" xfId="41797"/>
    <cellStyle name="Note 3 3 3 3 2" xfId="41798"/>
    <cellStyle name="Note 3 3 3 3 2 2" xfId="41799"/>
    <cellStyle name="Note 3 3 3 3 3" xfId="41800"/>
    <cellStyle name="Note 3 3 3 4" xfId="41801"/>
    <cellStyle name="Note 3 3 3 4 2" xfId="41802"/>
    <cellStyle name="Note 3 3 3 4 2 2" xfId="41803"/>
    <cellStyle name="Note 3 3 3 4 3" xfId="41804"/>
    <cellStyle name="Note 3 3 3 5" xfId="41805"/>
    <cellStyle name="Note 3 3 3 5 2" xfId="41806"/>
    <cellStyle name="Note 3 3 3 5 2 2" xfId="41807"/>
    <cellStyle name="Note 3 3 3 5 3" xfId="41808"/>
    <cellStyle name="Note 3 3 3 6" xfId="41809"/>
    <cellStyle name="Note 3 3 4" xfId="41810"/>
    <cellStyle name="Note 3 3 4 2" xfId="41811"/>
    <cellStyle name="Note 3 3 4 2 2" xfId="41812"/>
    <cellStyle name="Note 3 3 4 3" xfId="41813"/>
    <cellStyle name="Note 3 3 5" xfId="41814"/>
    <cellStyle name="Note 3 3 5 2" xfId="41815"/>
    <cellStyle name="Note 3 3 5 2 2" xfId="41816"/>
    <cellStyle name="Note 3 3 5 3" xfId="41817"/>
    <cellStyle name="Note 3 3 6" xfId="41818"/>
    <cellStyle name="Note 3 3 6 2" xfId="41819"/>
    <cellStyle name="Note 3 3 6 2 2" xfId="41820"/>
    <cellStyle name="Note 3 3 6 3" xfId="41821"/>
    <cellStyle name="Note 3 3 7" xfId="41822"/>
    <cellStyle name="Note 3 4" xfId="41823"/>
    <cellStyle name="Note 3 4 2" xfId="41824"/>
    <cellStyle name="Note 3 4 2 2" xfId="41825"/>
    <cellStyle name="Note 3 4 2 2 2" xfId="41826"/>
    <cellStyle name="Note 3 4 2 2 2 2" xfId="41827"/>
    <cellStyle name="Note 3 4 2 2 2 2 2" xfId="41828"/>
    <cellStyle name="Note 3 4 2 2 2 3" xfId="41829"/>
    <cellStyle name="Note 3 4 2 2 3" xfId="41830"/>
    <cellStyle name="Note 3 4 2 2 3 2" xfId="41831"/>
    <cellStyle name="Note 3 4 2 2 4" xfId="41832"/>
    <cellStyle name="Note 3 4 2 3" xfId="41833"/>
    <cellStyle name="Note 3 4 2 3 2" xfId="41834"/>
    <cellStyle name="Note 3 4 2 3 2 2" xfId="41835"/>
    <cellStyle name="Note 3 4 2 3 3" xfId="41836"/>
    <cellStyle name="Note 3 4 2 4" xfId="41837"/>
    <cellStyle name="Note 3 4 2 4 2" xfId="41838"/>
    <cellStyle name="Note 3 4 2 5" xfId="41839"/>
    <cellStyle name="Note 3 4 3" xfId="41840"/>
    <cellStyle name="Note 3 4 3 2" xfId="41841"/>
    <cellStyle name="Note 3 4 3 2 2" xfId="41842"/>
    <cellStyle name="Note 3 4 3 3" xfId="41843"/>
    <cellStyle name="Note 3 4 4" xfId="41844"/>
    <cellStyle name="Note 3 4 4 2" xfId="41845"/>
    <cellStyle name="Note 3 4 4 2 2" xfId="41846"/>
    <cellStyle name="Note 3 4 4 3" xfId="41847"/>
    <cellStyle name="Note 3 4 5" xfId="41848"/>
    <cellStyle name="Note 3 4 5 2" xfId="41849"/>
    <cellStyle name="Note 3 4 5 2 2" xfId="41850"/>
    <cellStyle name="Note 3 4 5 2 2 2" xfId="41851"/>
    <cellStyle name="Note 3 4 5 2 3" xfId="41852"/>
    <cellStyle name="Note 3 4 5 3" xfId="41853"/>
    <cellStyle name="Note 3 4 5 3 2" xfId="41854"/>
    <cellStyle name="Note 3 4 5 4" xfId="41855"/>
    <cellStyle name="Note 3 4 6" xfId="41856"/>
    <cellStyle name="Note 3 4 6 2" xfId="41857"/>
    <cellStyle name="Note 3 4 6 2 2" xfId="41858"/>
    <cellStyle name="Note 3 4 6 3" xfId="41859"/>
    <cellStyle name="Note 3 4 7" xfId="41860"/>
    <cellStyle name="Note 3 4 7 2" xfId="41861"/>
    <cellStyle name="Note 3 4 8" xfId="41862"/>
    <cellStyle name="Note 3 5" xfId="41863"/>
    <cellStyle name="Note 3 5 2" xfId="41864"/>
    <cellStyle name="Note 3 5 2 2" xfId="41865"/>
    <cellStyle name="Note 3 5 2 2 2" xfId="41866"/>
    <cellStyle name="Note 3 5 2 3" xfId="41867"/>
    <cellStyle name="Note 3 5 3" xfId="41868"/>
    <cellStyle name="Note 3 5 3 2" xfId="41869"/>
    <cellStyle name="Note 3 5 3 2 2" xfId="41870"/>
    <cellStyle name="Note 3 5 3 3" xfId="41871"/>
    <cellStyle name="Note 3 5 4" xfId="41872"/>
    <cellStyle name="Note 3 5 4 2" xfId="41873"/>
    <cellStyle name="Note 3 5 4 2 2" xfId="41874"/>
    <cellStyle name="Note 3 5 4 3" xfId="41875"/>
    <cellStyle name="Note 3 5 5" xfId="41876"/>
    <cellStyle name="Note 3 5 5 2" xfId="41877"/>
    <cellStyle name="Note 3 5 6" xfId="41878"/>
    <cellStyle name="Note 3 6" xfId="41879"/>
    <cellStyle name="Note 3 6 2" xfId="41880"/>
    <cellStyle name="Note 3 6 2 2" xfId="41881"/>
    <cellStyle name="Note 3 6 2 2 2" xfId="41882"/>
    <cellStyle name="Note 3 6 2 2 2 2" xfId="41883"/>
    <cellStyle name="Note 3 6 2 2 3" xfId="41884"/>
    <cellStyle name="Note 3 6 2 3" xfId="41885"/>
    <cellStyle name="Note 3 6 2 3 2" xfId="41886"/>
    <cellStyle name="Note 3 6 2 3 2 2" xfId="41887"/>
    <cellStyle name="Note 3 6 2 3 3" xfId="41888"/>
    <cellStyle name="Note 3 6 2 4" xfId="41889"/>
    <cellStyle name="Note 3 6 2 4 2" xfId="41890"/>
    <cellStyle name="Note 3 6 2 5" xfId="41891"/>
    <cellStyle name="Note 3 6 3" xfId="41892"/>
    <cellStyle name="Note 3 6 3 2" xfId="41893"/>
    <cellStyle name="Note 3 6 3 2 2" xfId="41894"/>
    <cellStyle name="Note 3 6 3 2 2 2" xfId="41895"/>
    <cellStyle name="Note 3 6 3 2 3" xfId="41896"/>
    <cellStyle name="Note 3 6 3 3" xfId="41897"/>
    <cellStyle name="Note 3 6 3 3 2" xfId="41898"/>
    <cellStyle name="Note 3 6 3 4" xfId="41899"/>
    <cellStyle name="Note 3 6 4" xfId="41900"/>
    <cellStyle name="Note 3 6 4 2" xfId="41901"/>
    <cellStyle name="Note 3 6 4 2 2" xfId="41902"/>
    <cellStyle name="Note 3 6 4 3" xfId="41903"/>
    <cellStyle name="Note 3 6 5" xfId="41904"/>
    <cellStyle name="Note 3 6 5 2" xfId="41905"/>
    <cellStyle name="Note 3 6 5 2 2" xfId="41906"/>
    <cellStyle name="Note 3 6 5 3" xfId="41907"/>
    <cellStyle name="Note 3 6 6" xfId="41908"/>
    <cellStyle name="Note 3 6 6 2" xfId="41909"/>
    <cellStyle name="Note 3 6 7" xfId="41910"/>
    <cellStyle name="Note 3 7" xfId="41911"/>
    <cellStyle name="Note 3 7 2" xfId="41912"/>
    <cellStyle name="Note 3 7 2 2" xfId="41913"/>
    <cellStyle name="Note 3 7 2 2 2" xfId="41914"/>
    <cellStyle name="Note 3 7 2 2 2 2" xfId="41915"/>
    <cellStyle name="Note 3 7 2 2 2 2 2" xfId="41916"/>
    <cellStyle name="Note 3 7 2 2 2 2 2 2" xfId="41917"/>
    <cellStyle name="Note 3 7 2 2 2 2 3" xfId="41918"/>
    <cellStyle name="Note 3 7 2 2 2 3" xfId="41919"/>
    <cellStyle name="Note 3 7 2 2 2 3 2" xfId="41920"/>
    <cellStyle name="Note 3 7 2 2 2 4" xfId="41921"/>
    <cellStyle name="Note 3 7 2 2 3" xfId="41922"/>
    <cellStyle name="Note 3 7 2 2 3 2" xfId="41923"/>
    <cellStyle name="Note 3 7 2 2 3 2 2" xfId="41924"/>
    <cellStyle name="Note 3 7 2 2 3 3" xfId="41925"/>
    <cellStyle name="Note 3 7 2 2 4" xfId="41926"/>
    <cellStyle name="Note 3 7 2 2 4 2" xfId="41927"/>
    <cellStyle name="Note 3 7 2 2 5" xfId="41928"/>
    <cellStyle name="Note 3 7 2 3" xfId="41929"/>
    <cellStyle name="Note 3 7 2 3 2" xfId="41930"/>
    <cellStyle name="Note 3 7 2 3 2 2" xfId="41931"/>
    <cellStyle name="Note 3 7 2 3 3" xfId="41932"/>
    <cellStyle name="Note 3 7 2 4" xfId="41933"/>
    <cellStyle name="Note 3 7 2 4 2" xfId="41934"/>
    <cellStyle name="Note 3 7 2 4 2 2" xfId="41935"/>
    <cellStyle name="Note 3 7 2 4 2 2 2" xfId="41936"/>
    <cellStyle name="Note 3 7 2 4 2 3" xfId="41937"/>
    <cellStyle name="Note 3 7 2 4 3" xfId="41938"/>
    <cellStyle name="Note 3 7 2 4 3 2" xfId="41939"/>
    <cellStyle name="Note 3 7 2 4 4" xfId="41940"/>
    <cellStyle name="Note 3 7 2 5" xfId="41941"/>
    <cellStyle name="Note 3 7 2 5 2" xfId="41942"/>
    <cellStyle name="Note 3 7 2 5 2 2" xfId="41943"/>
    <cellStyle name="Note 3 7 2 5 3" xfId="41944"/>
    <cellStyle name="Note 3 7 2 6" xfId="41945"/>
    <cellStyle name="Note 3 7 2 6 2" xfId="41946"/>
    <cellStyle name="Note 3 7 2 7" xfId="41947"/>
    <cellStyle name="Note 3 7 3" xfId="41948"/>
    <cellStyle name="Note 3 7 3 2" xfId="41949"/>
    <cellStyle name="Note 3 7 3 2 2" xfId="41950"/>
    <cellStyle name="Note 3 7 3 2 2 2" xfId="41951"/>
    <cellStyle name="Note 3 7 3 2 2 2 2" xfId="41952"/>
    <cellStyle name="Note 3 7 3 2 2 2 2 2" xfId="41953"/>
    <cellStyle name="Note 3 7 3 2 2 2 3" xfId="41954"/>
    <cellStyle name="Note 3 7 3 2 2 3" xfId="41955"/>
    <cellStyle name="Note 3 7 3 2 2 3 2" xfId="41956"/>
    <cellStyle name="Note 3 7 3 2 2 4" xfId="41957"/>
    <cellStyle name="Note 3 7 3 2 3" xfId="41958"/>
    <cellStyle name="Note 3 7 3 2 3 2" xfId="41959"/>
    <cellStyle name="Note 3 7 3 2 3 2 2" xfId="41960"/>
    <cellStyle name="Note 3 7 3 2 3 3" xfId="41961"/>
    <cellStyle name="Note 3 7 3 2 4" xfId="41962"/>
    <cellStyle name="Note 3 7 3 2 4 2" xfId="41963"/>
    <cellStyle name="Note 3 7 3 2 5" xfId="41964"/>
    <cellStyle name="Note 3 7 3 3" xfId="41965"/>
    <cellStyle name="Note 3 7 3 3 2" xfId="41966"/>
    <cellStyle name="Note 3 7 3 3 2 2" xfId="41967"/>
    <cellStyle name="Note 3 7 3 3 2 2 2" xfId="41968"/>
    <cellStyle name="Note 3 7 3 3 2 3" xfId="41969"/>
    <cellStyle name="Note 3 7 3 3 3" xfId="41970"/>
    <cellStyle name="Note 3 7 3 3 3 2" xfId="41971"/>
    <cellStyle name="Note 3 7 3 3 4" xfId="41972"/>
    <cellStyle name="Note 3 7 3 4" xfId="41973"/>
    <cellStyle name="Note 3 7 3 4 2" xfId="41974"/>
    <cellStyle name="Note 3 7 3 4 2 2" xfId="41975"/>
    <cellStyle name="Note 3 7 3 4 3" xfId="41976"/>
    <cellStyle name="Note 3 7 3 5" xfId="41977"/>
    <cellStyle name="Note 3 7 3 5 2" xfId="41978"/>
    <cellStyle name="Note 3 7 3 6" xfId="41979"/>
    <cellStyle name="Note 3 7 4" xfId="41980"/>
    <cellStyle name="Note 3 7 4 2" xfId="41981"/>
    <cellStyle name="Note 3 7 4 2 2" xfId="41982"/>
    <cellStyle name="Note 3 7 4 3" xfId="41983"/>
    <cellStyle name="Note 3 7 5" xfId="41984"/>
    <cellStyle name="Note 3 7 5 2" xfId="41985"/>
    <cellStyle name="Note 3 7 5 2 2" xfId="41986"/>
    <cellStyle name="Note 3 7 5 2 2 2" xfId="41987"/>
    <cellStyle name="Note 3 7 5 2 3" xfId="41988"/>
    <cellStyle name="Note 3 7 5 3" xfId="41989"/>
    <cellStyle name="Note 3 7 5 3 2" xfId="41990"/>
    <cellStyle name="Note 3 7 5 4" xfId="41991"/>
    <cellStyle name="Note 3 7 6" xfId="41992"/>
    <cellStyle name="Note 3 7 6 2" xfId="41993"/>
    <cellStyle name="Note 3 7 6 2 2" xfId="41994"/>
    <cellStyle name="Note 3 7 6 3" xfId="41995"/>
    <cellStyle name="Note 3 7 7" xfId="41996"/>
    <cellStyle name="Note 3 7 7 2" xfId="41997"/>
    <cellStyle name="Note 3 7 8" xfId="41998"/>
    <cellStyle name="Note 3 8" xfId="41999"/>
    <cellStyle name="Note 3 8 2" xfId="42000"/>
    <cellStyle name="Note 3 8 2 2" xfId="42001"/>
    <cellStyle name="Note 3 8 2 2 2" xfId="42002"/>
    <cellStyle name="Note 3 8 2 3" xfId="42003"/>
    <cellStyle name="Note 3 8 3" xfId="42004"/>
    <cellStyle name="Note 3 8 3 2" xfId="42005"/>
    <cellStyle name="Note 3 8 4" xfId="42006"/>
    <cellStyle name="Note 3 9" xfId="42007"/>
    <cellStyle name="Note 3 9 2" xfId="42008"/>
    <cellStyle name="Note 3 9 2 2" xfId="42009"/>
    <cellStyle name="Note 3 9 3" xfId="42010"/>
    <cellStyle name="Note 4" xfId="42011"/>
    <cellStyle name="Note 4 10" xfId="42012"/>
    <cellStyle name="Note 4 2" xfId="42013"/>
    <cellStyle name="Note 4 2 2" xfId="42014"/>
    <cellStyle name="Note 4 2 2 2" xfId="42015"/>
    <cellStyle name="Note 4 2 2 2 2" xfId="42016"/>
    <cellStyle name="Note 4 2 2 2 2 2" xfId="42017"/>
    <cellStyle name="Note 4 2 2 2 3" xfId="42018"/>
    <cellStyle name="Note 4 2 2 3" xfId="42019"/>
    <cellStyle name="Note 4 2 2 3 2" xfId="42020"/>
    <cellStyle name="Note 4 2 2 3 2 2" xfId="42021"/>
    <cellStyle name="Note 4 2 2 3 3" xfId="42022"/>
    <cellStyle name="Note 4 2 2 4" xfId="42023"/>
    <cellStyle name="Note 4 2 2 4 2" xfId="42024"/>
    <cellStyle name="Note 4 2 2 4 2 2" xfId="42025"/>
    <cellStyle name="Note 4 2 2 4 3" xfId="42026"/>
    <cellStyle name="Note 4 2 2 5" xfId="42027"/>
    <cellStyle name="Note 4 2 2 5 2" xfId="42028"/>
    <cellStyle name="Note 4 2 2 6" xfId="42029"/>
    <cellStyle name="Note 4 2 3" xfId="42030"/>
    <cellStyle name="Note 4 2 3 2" xfId="42031"/>
    <cellStyle name="Note 4 2 3 2 2" xfId="42032"/>
    <cellStyle name="Note 4 2 3 2 2 2" xfId="42033"/>
    <cellStyle name="Note 4 2 3 2 2 2 2" xfId="42034"/>
    <cellStyle name="Note 4 2 3 2 2 3" xfId="42035"/>
    <cellStyle name="Note 4 2 3 2 3" xfId="42036"/>
    <cellStyle name="Note 4 2 3 2 3 2" xfId="42037"/>
    <cellStyle name="Note 4 2 3 2 3 2 2" xfId="42038"/>
    <cellStyle name="Note 4 2 3 2 3 3" xfId="42039"/>
    <cellStyle name="Note 4 2 3 2 4" xfId="42040"/>
    <cellStyle name="Note 4 2 3 2 4 2" xfId="42041"/>
    <cellStyle name="Note 4 2 3 2 5" xfId="42042"/>
    <cellStyle name="Note 4 2 3 3" xfId="42043"/>
    <cellStyle name="Note 4 2 3 3 2" xfId="42044"/>
    <cellStyle name="Note 4 2 3 3 2 2" xfId="42045"/>
    <cellStyle name="Note 4 2 3 3 2 2 2" xfId="42046"/>
    <cellStyle name="Note 4 2 3 3 2 3" xfId="42047"/>
    <cellStyle name="Note 4 2 3 3 3" xfId="42048"/>
    <cellStyle name="Note 4 2 3 3 3 2" xfId="42049"/>
    <cellStyle name="Note 4 2 3 3 4" xfId="42050"/>
    <cellStyle name="Note 4 2 3 4" xfId="42051"/>
    <cellStyle name="Note 4 2 3 4 2" xfId="42052"/>
    <cellStyle name="Note 4 2 3 4 2 2" xfId="42053"/>
    <cellStyle name="Note 4 2 3 4 3" xfId="42054"/>
    <cellStyle name="Note 4 2 3 5" xfId="42055"/>
    <cellStyle name="Note 4 2 3 5 2" xfId="42056"/>
    <cellStyle name="Note 4 2 3 5 2 2" xfId="42057"/>
    <cellStyle name="Note 4 2 3 5 3" xfId="42058"/>
    <cellStyle name="Note 4 2 3 6" xfId="42059"/>
    <cellStyle name="Note 4 2 3 6 2" xfId="42060"/>
    <cellStyle name="Note 4 2 3 7" xfId="42061"/>
    <cellStyle name="Note 4 2 4" xfId="42062"/>
    <cellStyle name="Note 4 2 4 2" xfId="42063"/>
    <cellStyle name="Note 4 2 4 2 2" xfId="42064"/>
    <cellStyle name="Note 4 2 4 2 2 2" xfId="42065"/>
    <cellStyle name="Note 4 2 4 2 3" xfId="42066"/>
    <cellStyle name="Note 4 2 4 3" xfId="42067"/>
    <cellStyle name="Note 4 2 4 3 2" xfId="42068"/>
    <cellStyle name="Note 4 2 4 4" xfId="42069"/>
    <cellStyle name="Note 4 2 5" xfId="42070"/>
    <cellStyle name="Note 4 2 5 2" xfId="42071"/>
    <cellStyle name="Note 4 2 5 2 2" xfId="42072"/>
    <cellStyle name="Note 4 2 5 3" xfId="42073"/>
    <cellStyle name="Note 4 2 6" xfId="42074"/>
    <cellStyle name="Note 4 2 6 2" xfId="42075"/>
    <cellStyle name="Note 4 2 6 2 2" xfId="42076"/>
    <cellStyle name="Note 4 2 6 3" xfId="42077"/>
    <cellStyle name="Note 4 2 7" xfId="42078"/>
    <cellStyle name="Note 4 2 7 2" xfId="42079"/>
    <cellStyle name="Note 4 2 8" xfId="42080"/>
    <cellStyle name="Note 4 3" xfId="42081"/>
    <cellStyle name="Note 4 3 2" xfId="42082"/>
    <cellStyle name="Note 4 3 2 2" xfId="42083"/>
    <cellStyle name="Note 4 3 2 2 2" xfId="42084"/>
    <cellStyle name="Note 4 3 2 3" xfId="42085"/>
    <cellStyle name="Note 4 3 2 3 2" xfId="42086"/>
    <cellStyle name="Note 4 3 2 3 2 2" xfId="42087"/>
    <cellStyle name="Note 4 3 2 3 3" xfId="42088"/>
    <cellStyle name="Note 4 3 2 4" xfId="42089"/>
    <cellStyle name="Note 4 3 2 4 2" xfId="42090"/>
    <cellStyle name="Note 4 3 2 4 2 2" xfId="42091"/>
    <cellStyle name="Note 4 3 2 4 3" xfId="42092"/>
    <cellStyle name="Note 4 3 2 5" xfId="42093"/>
    <cellStyle name="Note 4 3 3" xfId="42094"/>
    <cellStyle name="Note 4 3 3 2" xfId="42095"/>
    <cellStyle name="Note 4 3 3 2 2" xfId="42096"/>
    <cellStyle name="Note 4 3 3 2 2 2" xfId="42097"/>
    <cellStyle name="Note 4 3 3 2 3" xfId="42098"/>
    <cellStyle name="Note 4 3 3 2 3 2" xfId="42099"/>
    <cellStyle name="Note 4 3 3 2 3 2 2" xfId="42100"/>
    <cellStyle name="Note 4 3 3 2 3 3" xfId="42101"/>
    <cellStyle name="Note 4 3 3 2 4" xfId="42102"/>
    <cellStyle name="Note 4 3 3 3" xfId="42103"/>
    <cellStyle name="Note 4 3 3 3 2" xfId="42104"/>
    <cellStyle name="Note 4 3 3 3 2 2" xfId="42105"/>
    <cellStyle name="Note 4 3 3 3 3" xfId="42106"/>
    <cellStyle name="Note 4 3 3 4" xfId="42107"/>
    <cellStyle name="Note 4 3 3 4 2" xfId="42108"/>
    <cellStyle name="Note 4 3 3 4 2 2" xfId="42109"/>
    <cellStyle name="Note 4 3 3 4 3" xfId="42110"/>
    <cellStyle name="Note 4 3 3 5" xfId="42111"/>
    <cellStyle name="Note 4 3 3 5 2" xfId="42112"/>
    <cellStyle name="Note 4 3 3 5 2 2" xfId="42113"/>
    <cellStyle name="Note 4 3 3 5 3" xfId="42114"/>
    <cellStyle name="Note 4 3 3 6" xfId="42115"/>
    <cellStyle name="Note 4 3 4" xfId="42116"/>
    <cellStyle name="Note 4 3 4 2" xfId="42117"/>
    <cellStyle name="Note 4 3 4 2 2" xfId="42118"/>
    <cellStyle name="Note 4 3 4 3" xfId="42119"/>
    <cellStyle name="Note 4 3 5" xfId="42120"/>
    <cellStyle name="Note 4 3 5 2" xfId="42121"/>
    <cellStyle name="Note 4 3 5 2 2" xfId="42122"/>
    <cellStyle name="Note 4 3 5 3" xfId="42123"/>
    <cellStyle name="Note 4 3 6" xfId="42124"/>
    <cellStyle name="Note 4 3 6 2" xfId="42125"/>
    <cellStyle name="Note 4 3 6 2 2" xfId="42126"/>
    <cellStyle name="Note 4 3 6 3" xfId="42127"/>
    <cellStyle name="Note 4 3 7" xfId="42128"/>
    <cellStyle name="Note 4 4" xfId="42129"/>
    <cellStyle name="Note 4 4 2" xfId="42130"/>
    <cellStyle name="Note 4 4 2 2" xfId="42131"/>
    <cellStyle name="Note 4 4 2 2 2" xfId="42132"/>
    <cellStyle name="Note 4 4 2 3" xfId="42133"/>
    <cellStyle name="Note 4 4 3" xfId="42134"/>
    <cellStyle name="Note 4 4 3 2" xfId="42135"/>
    <cellStyle name="Note 4 4 3 2 2" xfId="42136"/>
    <cellStyle name="Note 4 4 3 3" xfId="42137"/>
    <cellStyle name="Note 4 4 4" xfId="42138"/>
    <cellStyle name="Note 4 4 4 2" xfId="42139"/>
    <cellStyle name="Note 4 4 4 2 2" xfId="42140"/>
    <cellStyle name="Note 4 4 4 3" xfId="42141"/>
    <cellStyle name="Note 4 4 5" xfId="42142"/>
    <cellStyle name="Note 4 4 5 2" xfId="42143"/>
    <cellStyle name="Note 4 4 6" xfId="42144"/>
    <cellStyle name="Note 4 5" xfId="42145"/>
    <cellStyle name="Note 4 5 2" xfId="42146"/>
    <cellStyle name="Note 4 5 2 2" xfId="42147"/>
    <cellStyle name="Note 4 5 2 2 2" xfId="42148"/>
    <cellStyle name="Note 4 5 2 2 2 2" xfId="42149"/>
    <cellStyle name="Note 4 5 2 2 3" xfId="42150"/>
    <cellStyle name="Note 4 5 2 3" xfId="42151"/>
    <cellStyle name="Note 4 5 2 3 2" xfId="42152"/>
    <cellStyle name="Note 4 5 2 3 2 2" xfId="42153"/>
    <cellStyle name="Note 4 5 2 3 3" xfId="42154"/>
    <cellStyle name="Note 4 5 2 4" xfId="42155"/>
    <cellStyle name="Note 4 5 2 4 2" xfId="42156"/>
    <cellStyle name="Note 4 5 2 5" xfId="42157"/>
    <cellStyle name="Note 4 5 3" xfId="42158"/>
    <cellStyle name="Note 4 5 3 2" xfId="42159"/>
    <cellStyle name="Note 4 5 3 2 2" xfId="42160"/>
    <cellStyle name="Note 4 5 3 2 2 2" xfId="42161"/>
    <cellStyle name="Note 4 5 3 2 3" xfId="42162"/>
    <cellStyle name="Note 4 5 3 3" xfId="42163"/>
    <cellStyle name="Note 4 5 3 3 2" xfId="42164"/>
    <cellStyle name="Note 4 5 3 4" xfId="42165"/>
    <cellStyle name="Note 4 5 4" xfId="42166"/>
    <cellStyle name="Note 4 5 4 2" xfId="42167"/>
    <cellStyle name="Note 4 5 4 2 2" xfId="42168"/>
    <cellStyle name="Note 4 5 4 3" xfId="42169"/>
    <cellStyle name="Note 4 5 5" xfId="42170"/>
    <cellStyle name="Note 4 5 5 2" xfId="42171"/>
    <cellStyle name="Note 4 5 5 2 2" xfId="42172"/>
    <cellStyle name="Note 4 5 5 3" xfId="42173"/>
    <cellStyle name="Note 4 5 6" xfId="42174"/>
    <cellStyle name="Note 4 5 6 2" xfId="42175"/>
    <cellStyle name="Note 4 5 7" xfId="42176"/>
    <cellStyle name="Note 4 6" xfId="42177"/>
    <cellStyle name="Note 4 6 2" xfId="42178"/>
    <cellStyle name="Note 4 6 2 2" xfId="42179"/>
    <cellStyle name="Note 4 6 2 2 2" xfId="42180"/>
    <cellStyle name="Note 4 6 2 3" xfId="42181"/>
    <cellStyle name="Note 4 6 3" xfId="42182"/>
    <cellStyle name="Note 4 6 3 2" xfId="42183"/>
    <cellStyle name="Note 4 6 4" xfId="42184"/>
    <cellStyle name="Note 4 7" xfId="42185"/>
    <cellStyle name="Note 4 7 2" xfId="42186"/>
    <cellStyle name="Note 4 7 2 2" xfId="42187"/>
    <cellStyle name="Note 4 7 3" xfId="42188"/>
    <cellStyle name="Note 4 8" xfId="42189"/>
    <cellStyle name="Note 4 8 2" xfId="42190"/>
    <cellStyle name="Note 4 8 2 2" xfId="42191"/>
    <cellStyle name="Note 4 8 3" xfId="42192"/>
    <cellStyle name="Note 4 9" xfId="42193"/>
    <cellStyle name="Note 4 9 2" xfId="42194"/>
    <cellStyle name="Note 5" xfId="42195"/>
    <cellStyle name="Note 5 10" xfId="42196"/>
    <cellStyle name="Note 5 2" xfId="42197"/>
    <cellStyle name="Note 5 2 2" xfId="42198"/>
    <cellStyle name="Note 5 2 2 2" xfId="42199"/>
    <cellStyle name="Note 5 2 2 2 2" xfId="42200"/>
    <cellStyle name="Note 5 2 2 2 2 2" xfId="42201"/>
    <cellStyle name="Note 5 2 2 2 2 2 2" xfId="42202"/>
    <cellStyle name="Note 5 2 2 2 2 3" xfId="42203"/>
    <cellStyle name="Note 5 2 2 2 3" xfId="42204"/>
    <cellStyle name="Note 5 2 2 2 3 2" xfId="42205"/>
    <cellStyle name="Note 5 2 2 2 4" xfId="42206"/>
    <cellStyle name="Note 5 2 2 3" xfId="42207"/>
    <cellStyle name="Note 5 2 2 3 2" xfId="42208"/>
    <cellStyle name="Note 5 2 2 3 2 2" xfId="42209"/>
    <cellStyle name="Note 5 2 2 3 3" xfId="42210"/>
    <cellStyle name="Note 5 2 2 4" xfId="42211"/>
    <cellStyle name="Note 5 2 2 4 2" xfId="42212"/>
    <cellStyle name="Note 5 2 2 5" xfId="42213"/>
    <cellStyle name="Note 5 2 3" xfId="42214"/>
    <cellStyle name="Note 5 2 3 2" xfId="42215"/>
    <cellStyle name="Note 5 2 3 2 2" xfId="42216"/>
    <cellStyle name="Note 5 2 3 3" xfId="42217"/>
    <cellStyle name="Note 5 2 4" xfId="42218"/>
    <cellStyle name="Note 5 2 4 2" xfId="42219"/>
    <cellStyle name="Note 5 2 4 2 2" xfId="42220"/>
    <cellStyle name="Note 5 2 4 3" xfId="42221"/>
    <cellStyle name="Note 5 2 5" xfId="42222"/>
    <cellStyle name="Note 5 2 5 2" xfId="42223"/>
    <cellStyle name="Note 5 2 5 2 2" xfId="42224"/>
    <cellStyle name="Note 5 2 5 2 2 2" xfId="42225"/>
    <cellStyle name="Note 5 2 5 2 3" xfId="42226"/>
    <cellStyle name="Note 5 2 5 3" xfId="42227"/>
    <cellStyle name="Note 5 2 5 3 2" xfId="42228"/>
    <cellStyle name="Note 5 2 5 4" xfId="42229"/>
    <cellStyle name="Note 5 2 6" xfId="42230"/>
    <cellStyle name="Note 5 2 6 2" xfId="42231"/>
    <cellStyle name="Note 5 2 6 2 2" xfId="42232"/>
    <cellStyle name="Note 5 2 6 3" xfId="42233"/>
    <cellStyle name="Note 5 2 7" xfId="42234"/>
    <cellStyle name="Note 5 2 7 2" xfId="42235"/>
    <cellStyle name="Note 5 2 8" xfId="42236"/>
    <cellStyle name="Note 5 3" xfId="42237"/>
    <cellStyle name="Note 5 3 2" xfId="42238"/>
    <cellStyle name="Note 5 3 2 2" xfId="42239"/>
    <cellStyle name="Note 5 3 2 2 2" xfId="42240"/>
    <cellStyle name="Note 5 3 2 2 2 2" xfId="42241"/>
    <cellStyle name="Note 5 3 2 2 2 2 2" xfId="42242"/>
    <cellStyle name="Note 5 3 2 2 2 2 2 2" xfId="42243"/>
    <cellStyle name="Note 5 3 2 2 2 2 3" xfId="42244"/>
    <cellStyle name="Note 5 3 2 2 2 3" xfId="42245"/>
    <cellStyle name="Note 5 3 2 2 2 3 2" xfId="42246"/>
    <cellStyle name="Note 5 3 2 2 2 4" xfId="42247"/>
    <cellStyle name="Note 5 3 2 2 3" xfId="42248"/>
    <cellStyle name="Note 5 3 2 2 3 2" xfId="42249"/>
    <cellStyle name="Note 5 3 2 2 3 2 2" xfId="42250"/>
    <cellStyle name="Note 5 3 2 2 3 3" xfId="42251"/>
    <cellStyle name="Note 5 3 2 2 4" xfId="42252"/>
    <cellStyle name="Note 5 3 2 2 4 2" xfId="42253"/>
    <cellStyle name="Note 5 3 2 2 5" xfId="42254"/>
    <cellStyle name="Note 5 3 2 3" xfId="42255"/>
    <cellStyle name="Note 5 3 2 3 2" xfId="42256"/>
    <cellStyle name="Note 5 3 2 3 2 2" xfId="42257"/>
    <cellStyle name="Note 5 3 2 3 3" xfId="42258"/>
    <cellStyle name="Note 5 3 2 4" xfId="42259"/>
    <cellStyle name="Note 5 3 2 4 2" xfId="42260"/>
    <cellStyle name="Note 5 3 2 4 2 2" xfId="42261"/>
    <cellStyle name="Note 5 3 2 4 2 2 2" xfId="42262"/>
    <cellStyle name="Note 5 3 2 4 2 3" xfId="42263"/>
    <cellStyle name="Note 5 3 2 4 3" xfId="42264"/>
    <cellStyle name="Note 5 3 2 4 3 2" xfId="42265"/>
    <cellStyle name="Note 5 3 2 4 4" xfId="42266"/>
    <cellStyle name="Note 5 3 2 5" xfId="42267"/>
    <cellStyle name="Note 5 3 2 5 2" xfId="42268"/>
    <cellStyle name="Note 5 3 2 5 2 2" xfId="42269"/>
    <cellStyle name="Note 5 3 2 5 3" xfId="42270"/>
    <cellStyle name="Note 5 3 2 6" xfId="42271"/>
    <cellStyle name="Note 5 3 2 6 2" xfId="42272"/>
    <cellStyle name="Note 5 3 2 7" xfId="42273"/>
    <cellStyle name="Note 5 3 3" xfId="42274"/>
    <cellStyle name="Note 5 3 3 2" xfId="42275"/>
    <cellStyle name="Note 5 3 3 2 2" xfId="42276"/>
    <cellStyle name="Note 5 3 3 2 2 2" xfId="42277"/>
    <cellStyle name="Note 5 3 3 2 2 2 2" xfId="42278"/>
    <cellStyle name="Note 5 3 3 2 2 2 2 2" xfId="42279"/>
    <cellStyle name="Note 5 3 3 2 2 2 3" xfId="42280"/>
    <cellStyle name="Note 5 3 3 2 2 3" xfId="42281"/>
    <cellStyle name="Note 5 3 3 2 2 3 2" xfId="42282"/>
    <cellStyle name="Note 5 3 3 2 2 4" xfId="42283"/>
    <cellStyle name="Note 5 3 3 2 3" xfId="42284"/>
    <cellStyle name="Note 5 3 3 2 3 2" xfId="42285"/>
    <cellStyle name="Note 5 3 3 2 3 2 2" xfId="42286"/>
    <cellStyle name="Note 5 3 3 2 3 3" xfId="42287"/>
    <cellStyle name="Note 5 3 3 2 4" xfId="42288"/>
    <cellStyle name="Note 5 3 3 2 4 2" xfId="42289"/>
    <cellStyle name="Note 5 3 3 2 5" xfId="42290"/>
    <cellStyle name="Note 5 3 3 3" xfId="42291"/>
    <cellStyle name="Note 5 3 3 3 2" xfId="42292"/>
    <cellStyle name="Note 5 3 3 3 2 2" xfId="42293"/>
    <cellStyle name="Note 5 3 3 3 2 2 2" xfId="42294"/>
    <cellStyle name="Note 5 3 3 3 2 3" xfId="42295"/>
    <cellStyle name="Note 5 3 3 3 3" xfId="42296"/>
    <cellStyle name="Note 5 3 3 3 3 2" xfId="42297"/>
    <cellStyle name="Note 5 3 3 3 4" xfId="42298"/>
    <cellStyle name="Note 5 3 3 4" xfId="42299"/>
    <cellStyle name="Note 5 3 3 4 2" xfId="42300"/>
    <cellStyle name="Note 5 3 3 4 2 2" xfId="42301"/>
    <cellStyle name="Note 5 3 3 4 3" xfId="42302"/>
    <cellStyle name="Note 5 3 3 5" xfId="42303"/>
    <cellStyle name="Note 5 3 3 5 2" xfId="42304"/>
    <cellStyle name="Note 5 3 3 6" xfId="42305"/>
    <cellStyle name="Note 5 3 4" xfId="42306"/>
    <cellStyle name="Note 5 3 4 2" xfId="42307"/>
    <cellStyle name="Note 5 3 4 2 2" xfId="42308"/>
    <cellStyle name="Note 5 3 4 3" xfId="42309"/>
    <cellStyle name="Note 5 3 5" xfId="42310"/>
    <cellStyle name="Note 5 3 5 2" xfId="42311"/>
    <cellStyle name="Note 5 3 5 2 2" xfId="42312"/>
    <cellStyle name="Note 5 3 5 3" xfId="42313"/>
    <cellStyle name="Note 5 3 6" xfId="42314"/>
    <cellStyle name="Note 5 3 6 2" xfId="42315"/>
    <cellStyle name="Note 5 3 6 2 2" xfId="42316"/>
    <cellStyle name="Note 5 3 6 2 2 2" xfId="42317"/>
    <cellStyle name="Note 5 3 6 2 3" xfId="42318"/>
    <cellStyle name="Note 5 3 6 3" xfId="42319"/>
    <cellStyle name="Note 5 3 6 3 2" xfId="42320"/>
    <cellStyle name="Note 5 3 6 4" xfId="42321"/>
    <cellStyle name="Note 5 3 7" xfId="42322"/>
    <cellStyle name="Note 5 3 7 2" xfId="42323"/>
    <cellStyle name="Note 5 3 7 2 2" xfId="42324"/>
    <cellStyle name="Note 5 3 7 3" xfId="42325"/>
    <cellStyle name="Note 5 3 8" xfId="42326"/>
    <cellStyle name="Note 5 3 8 2" xfId="42327"/>
    <cellStyle name="Note 5 3 9" xfId="42328"/>
    <cellStyle name="Note 5 4" xfId="42329"/>
    <cellStyle name="Note 5 4 2" xfId="42330"/>
    <cellStyle name="Note 5 4 2 2" xfId="42331"/>
    <cellStyle name="Note 5 4 2 2 2" xfId="42332"/>
    <cellStyle name="Note 5 4 2 2 2 2" xfId="42333"/>
    <cellStyle name="Note 5 4 2 2 2 2 2" xfId="42334"/>
    <cellStyle name="Note 5 4 2 2 2 3" xfId="42335"/>
    <cellStyle name="Note 5 4 2 2 3" xfId="42336"/>
    <cellStyle name="Note 5 4 2 2 3 2" xfId="42337"/>
    <cellStyle name="Note 5 4 2 2 4" xfId="42338"/>
    <cellStyle name="Note 5 4 2 3" xfId="42339"/>
    <cellStyle name="Note 5 4 2 3 2" xfId="42340"/>
    <cellStyle name="Note 5 4 2 3 2 2" xfId="42341"/>
    <cellStyle name="Note 5 4 2 3 3" xfId="42342"/>
    <cellStyle name="Note 5 4 2 4" xfId="42343"/>
    <cellStyle name="Note 5 4 2 4 2" xfId="42344"/>
    <cellStyle name="Note 5 4 2 5" xfId="42345"/>
    <cellStyle name="Note 5 4 3" xfId="42346"/>
    <cellStyle name="Note 5 4 3 2" xfId="42347"/>
    <cellStyle name="Note 5 4 3 2 2" xfId="42348"/>
    <cellStyle name="Note 5 4 3 2 2 2" xfId="42349"/>
    <cellStyle name="Note 5 4 3 2 3" xfId="42350"/>
    <cellStyle name="Note 5 4 3 3" xfId="42351"/>
    <cellStyle name="Note 5 4 3 3 2" xfId="42352"/>
    <cellStyle name="Note 5 4 3 4" xfId="42353"/>
    <cellStyle name="Note 5 4 4" xfId="42354"/>
    <cellStyle name="Note 5 4 4 2" xfId="42355"/>
    <cellStyle name="Note 5 4 4 2 2" xfId="42356"/>
    <cellStyle name="Note 5 4 4 3" xfId="42357"/>
    <cellStyle name="Note 5 4 5" xfId="42358"/>
    <cellStyle name="Note 5 4 5 2" xfId="42359"/>
    <cellStyle name="Note 5 4 6" xfId="42360"/>
    <cellStyle name="Note 5 5" xfId="42361"/>
    <cellStyle name="Note 5 5 2" xfId="42362"/>
    <cellStyle name="Note 5 5 2 2" xfId="42363"/>
    <cellStyle name="Note 5 5 3" xfId="42364"/>
    <cellStyle name="Note 5 6" xfId="42365"/>
    <cellStyle name="Note 5 6 2" xfId="42366"/>
    <cellStyle name="Note 5 6 2 2" xfId="42367"/>
    <cellStyle name="Note 5 6 3" xfId="42368"/>
    <cellStyle name="Note 5 7" xfId="42369"/>
    <cellStyle name="Note 5 7 2" xfId="42370"/>
    <cellStyle name="Note 5 7 2 2" xfId="42371"/>
    <cellStyle name="Note 5 7 2 2 2" xfId="42372"/>
    <cellStyle name="Note 5 7 2 3" xfId="42373"/>
    <cellStyle name="Note 5 7 3" xfId="42374"/>
    <cellStyle name="Note 5 7 3 2" xfId="42375"/>
    <cellStyle name="Note 5 7 4" xfId="42376"/>
    <cellStyle name="Note 5 8" xfId="42377"/>
    <cellStyle name="Note 5 8 2" xfId="42378"/>
    <cellStyle name="Note 5 8 2 2" xfId="42379"/>
    <cellStyle name="Note 5 8 3" xfId="42380"/>
    <cellStyle name="Note 5 9" xfId="42381"/>
    <cellStyle name="Note 5 9 2" xfId="42382"/>
    <cellStyle name="Note 6" xfId="42383"/>
    <cellStyle name="Note 6 2" xfId="42384"/>
    <cellStyle name="Note 6 2 2" xfId="42385"/>
    <cellStyle name="Note 6 2 2 2" xfId="42386"/>
    <cellStyle name="Note 6 2 2 2 2" xfId="42387"/>
    <cellStyle name="Note 6 2 2 2 2 2" xfId="42388"/>
    <cellStyle name="Note 6 2 2 2 2 2 2" xfId="42389"/>
    <cellStyle name="Note 6 2 2 2 2 3" xfId="42390"/>
    <cellStyle name="Note 6 2 2 2 3" xfId="42391"/>
    <cellStyle name="Note 6 2 2 2 3 2" xfId="42392"/>
    <cellStyle name="Note 6 2 2 2 4" xfId="42393"/>
    <cellStyle name="Note 6 2 2 3" xfId="42394"/>
    <cellStyle name="Note 6 2 2 3 2" xfId="42395"/>
    <cellStyle name="Note 6 2 2 3 2 2" xfId="42396"/>
    <cellStyle name="Note 6 2 2 3 3" xfId="42397"/>
    <cellStyle name="Note 6 2 2 4" xfId="42398"/>
    <cellStyle name="Note 6 2 2 4 2" xfId="42399"/>
    <cellStyle name="Note 6 2 2 5" xfId="42400"/>
    <cellStyle name="Note 6 2 3" xfId="42401"/>
    <cellStyle name="Note 6 2 3 2" xfId="42402"/>
    <cellStyle name="Note 6 2 3 2 2" xfId="42403"/>
    <cellStyle name="Note 6 2 3 3" xfId="42404"/>
    <cellStyle name="Note 6 2 4" xfId="42405"/>
    <cellStyle name="Note 6 2 4 2" xfId="42406"/>
    <cellStyle name="Note 6 2 4 2 2" xfId="42407"/>
    <cellStyle name="Note 6 2 4 3" xfId="42408"/>
    <cellStyle name="Note 6 2 5" xfId="42409"/>
    <cellStyle name="Note 6 2 5 2" xfId="42410"/>
    <cellStyle name="Note 6 2 5 2 2" xfId="42411"/>
    <cellStyle name="Note 6 2 5 2 2 2" xfId="42412"/>
    <cellStyle name="Note 6 2 5 2 3" xfId="42413"/>
    <cellStyle name="Note 6 2 5 3" xfId="42414"/>
    <cellStyle name="Note 6 2 5 3 2" xfId="42415"/>
    <cellStyle name="Note 6 2 5 4" xfId="42416"/>
    <cellStyle name="Note 6 2 6" xfId="42417"/>
    <cellStyle name="Note 6 2 6 2" xfId="42418"/>
    <cellStyle name="Note 6 2 6 2 2" xfId="42419"/>
    <cellStyle name="Note 6 2 6 3" xfId="42420"/>
    <cellStyle name="Note 6 2 7" xfId="42421"/>
    <cellStyle name="Note 6 2 7 2" xfId="42422"/>
    <cellStyle name="Note 6 2 8" xfId="42423"/>
    <cellStyle name="Note 6 3" xfId="42424"/>
    <cellStyle name="Note 6 3 2" xfId="42425"/>
    <cellStyle name="Note 6 3 2 2" xfId="42426"/>
    <cellStyle name="Note 6 3 2 2 2" xfId="42427"/>
    <cellStyle name="Note 6 3 2 2 2 2" xfId="42428"/>
    <cellStyle name="Note 6 3 2 2 2 2 2" xfId="42429"/>
    <cellStyle name="Note 6 3 2 2 2 3" xfId="42430"/>
    <cellStyle name="Note 6 3 2 2 3" xfId="42431"/>
    <cellStyle name="Note 6 3 2 2 3 2" xfId="42432"/>
    <cellStyle name="Note 6 3 2 2 4" xfId="42433"/>
    <cellStyle name="Note 6 3 2 3" xfId="42434"/>
    <cellStyle name="Note 6 3 2 3 2" xfId="42435"/>
    <cellStyle name="Note 6 3 2 3 2 2" xfId="42436"/>
    <cellStyle name="Note 6 3 2 3 3" xfId="42437"/>
    <cellStyle name="Note 6 3 2 4" xfId="42438"/>
    <cellStyle name="Note 6 3 2 4 2" xfId="42439"/>
    <cellStyle name="Note 6 3 2 5" xfId="42440"/>
    <cellStyle name="Note 6 3 3" xfId="42441"/>
    <cellStyle name="Note 6 3 3 2" xfId="42442"/>
    <cellStyle name="Note 6 3 3 2 2" xfId="42443"/>
    <cellStyle name="Note 6 3 3 2 2 2" xfId="42444"/>
    <cellStyle name="Note 6 3 3 2 3" xfId="42445"/>
    <cellStyle name="Note 6 3 3 3" xfId="42446"/>
    <cellStyle name="Note 6 3 3 3 2" xfId="42447"/>
    <cellStyle name="Note 6 3 3 4" xfId="42448"/>
    <cellStyle name="Note 6 3 4" xfId="42449"/>
    <cellStyle name="Note 6 3 4 2" xfId="42450"/>
    <cellStyle name="Note 6 3 4 2 2" xfId="42451"/>
    <cellStyle name="Note 6 3 4 3" xfId="42452"/>
    <cellStyle name="Note 6 3 5" xfId="42453"/>
    <cellStyle name="Note 6 3 5 2" xfId="42454"/>
    <cellStyle name="Note 6 3 6" xfId="42455"/>
    <cellStyle name="Note 6 4" xfId="42456"/>
    <cellStyle name="Note 6 4 2" xfId="42457"/>
    <cellStyle name="Note 6 4 2 2" xfId="42458"/>
    <cellStyle name="Note 6 4 3" xfId="42459"/>
    <cellStyle name="Note 6 5" xfId="42460"/>
    <cellStyle name="Note 6 5 2" xfId="42461"/>
    <cellStyle name="Note 6 5 2 2" xfId="42462"/>
    <cellStyle name="Note 6 5 3" xfId="42463"/>
    <cellStyle name="Note 6 6" xfId="42464"/>
    <cellStyle name="Note 6 6 2" xfId="42465"/>
    <cellStyle name="Note 6 6 2 2" xfId="42466"/>
    <cellStyle name="Note 6 6 2 2 2" xfId="42467"/>
    <cellStyle name="Note 6 6 2 3" xfId="42468"/>
    <cellStyle name="Note 6 6 3" xfId="42469"/>
    <cellStyle name="Note 6 6 3 2" xfId="42470"/>
    <cellStyle name="Note 6 6 4" xfId="42471"/>
    <cellStyle name="Note 6 7" xfId="42472"/>
    <cellStyle name="Note 6 7 2" xfId="42473"/>
    <cellStyle name="Note 6 7 2 2" xfId="42474"/>
    <cellStyle name="Note 6 7 3" xfId="42475"/>
    <cellStyle name="Note 6 8" xfId="42476"/>
    <cellStyle name="Note 6 8 2" xfId="42477"/>
    <cellStyle name="Note 6 9" xfId="42478"/>
    <cellStyle name="Note 7" xfId="42479"/>
    <cellStyle name="Note 7 2" xfId="42480"/>
    <cellStyle name="Note 7 2 2" xfId="42481"/>
    <cellStyle name="Note 7 2 2 2" xfId="42482"/>
    <cellStyle name="Note 7 2 2 2 2" xfId="42483"/>
    <cellStyle name="Note 7 2 2 2 2 2" xfId="42484"/>
    <cellStyle name="Note 7 2 2 2 3" xfId="42485"/>
    <cellStyle name="Note 7 2 2 3" xfId="42486"/>
    <cellStyle name="Note 7 2 2 3 2" xfId="42487"/>
    <cellStyle name="Note 7 2 2 4" xfId="42488"/>
    <cellStyle name="Note 7 2 3" xfId="42489"/>
    <cellStyle name="Note 7 2 3 2" xfId="42490"/>
    <cellStyle name="Note 7 2 3 2 2" xfId="42491"/>
    <cellStyle name="Note 7 2 3 3" xfId="42492"/>
    <cellStyle name="Note 7 2 4" xfId="42493"/>
    <cellStyle name="Note 7 2 4 2" xfId="42494"/>
    <cellStyle name="Note 7 2 5" xfId="42495"/>
    <cellStyle name="Note 7 3" xfId="42496"/>
    <cellStyle name="Note 7 3 2" xfId="42497"/>
    <cellStyle name="Note 7 3 2 2" xfId="42498"/>
    <cellStyle name="Note 7 3 3" xfId="42499"/>
    <cellStyle name="Note 7 4" xfId="42500"/>
    <cellStyle name="Note 7 4 2" xfId="42501"/>
    <cellStyle name="Note 7 4 2 2" xfId="42502"/>
    <cellStyle name="Note 7 4 2 2 2" xfId="42503"/>
    <cellStyle name="Note 7 4 2 3" xfId="42504"/>
    <cellStyle name="Note 7 4 3" xfId="42505"/>
    <cellStyle name="Note 7 4 3 2" xfId="42506"/>
    <cellStyle name="Note 7 4 4" xfId="42507"/>
    <cellStyle name="Note 7 5" xfId="42508"/>
    <cellStyle name="Note 7 5 2" xfId="42509"/>
    <cellStyle name="Note 7 5 2 2" xfId="42510"/>
    <cellStyle name="Note 7 5 3" xfId="42511"/>
    <cellStyle name="Note 7 6" xfId="42512"/>
    <cellStyle name="Note 7 6 2" xfId="42513"/>
    <cellStyle name="Note 7 7" xfId="42514"/>
    <cellStyle name="Note 8" xfId="42515"/>
    <cellStyle name="Note 8 2" xfId="42516"/>
    <cellStyle name="Note 8 2 2" xfId="42517"/>
    <cellStyle name="Note 8 2 2 2" xfId="42518"/>
    <cellStyle name="Note 8 2 2 2 2" xfId="42519"/>
    <cellStyle name="Note 8 2 2 2 2 2" xfId="42520"/>
    <cellStyle name="Note 8 2 2 2 2 2 2" xfId="42521"/>
    <cellStyle name="Note 8 2 2 2 2 3" xfId="42522"/>
    <cellStyle name="Note 8 2 2 2 3" xfId="42523"/>
    <cellStyle name="Note 8 2 2 2 3 2" xfId="42524"/>
    <cellStyle name="Note 8 2 2 2 4" xfId="42525"/>
    <cellStyle name="Note 8 2 2 3" xfId="42526"/>
    <cellStyle name="Note 8 2 2 3 2" xfId="42527"/>
    <cellStyle name="Note 8 2 2 3 2 2" xfId="42528"/>
    <cellStyle name="Note 8 2 2 3 3" xfId="42529"/>
    <cellStyle name="Note 8 2 2 4" xfId="42530"/>
    <cellStyle name="Note 8 2 2 4 2" xfId="42531"/>
    <cellStyle name="Note 8 2 2 5" xfId="42532"/>
    <cellStyle name="Note 8 2 3" xfId="42533"/>
    <cellStyle name="Note 8 2 3 2" xfId="42534"/>
    <cellStyle name="Note 8 2 3 2 2" xfId="42535"/>
    <cellStyle name="Note 8 2 3 2 2 2" xfId="42536"/>
    <cellStyle name="Note 8 2 3 2 3" xfId="42537"/>
    <cellStyle name="Note 8 2 3 3" xfId="42538"/>
    <cellStyle name="Note 8 2 3 3 2" xfId="42539"/>
    <cellStyle name="Note 8 2 3 4" xfId="42540"/>
    <cellStyle name="Note 8 2 4" xfId="42541"/>
    <cellStyle name="Note 8 2 4 2" xfId="42542"/>
    <cellStyle name="Note 8 2 4 2 2" xfId="42543"/>
    <cellStyle name="Note 8 2 4 3" xfId="42544"/>
    <cellStyle name="Note 8 2 5" xfId="42545"/>
    <cellStyle name="Note 8 2 5 2" xfId="42546"/>
    <cellStyle name="Note 8 2 6" xfId="42547"/>
    <cellStyle name="Note 8 3" xfId="42548"/>
    <cellStyle name="Note 8 3 2" xfId="42549"/>
    <cellStyle name="Note 8 3 2 2" xfId="42550"/>
    <cellStyle name="Note 8 3 2 2 2" xfId="42551"/>
    <cellStyle name="Note 8 3 2 2 2 2" xfId="42552"/>
    <cellStyle name="Note 8 3 2 2 2 2 2" xfId="42553"/>
    <cellStyle name="Note 8 3 2 2 2 2 2 2" xfId="42554"/>
    <cellStyle name="Note 8 3 2 2 2 2 3" xfId="42555"/>
    <cellStyle name="Note 8 3 2 2 2 3" xfId="42556"/>
    <cellStyle name="Note 8 3 2 2 2 3 2" xfId="42557"/>
    <cellStyle name="Note 8 3 2 2 2 4" xfId="42558"/>
    <cellStyle name="Note 8 3 2 2 3" xfId="42559"/>
    <cellStyle name="Note 8 3 2 2 3 2" xfId="42560"/>
    <cellStyle name="Note 8 3 2 2 3 2 2" xfId="42561"/>
    <cellStyle name="Note 8 3 2 2 3 3" xfId="42562"/>
    <cellStyle name="Note 8 3 2 2 4" xfId="42563"/>
    <cellStyle name="Note 8 3 2 2 4 2" xfId="42564"/>
    <cellStyle name="Note 8 3 2 2 5" xfId="42565"/>
    <cellStyle name="Note 8 3 2 3" xfId="42566"/>
    <cellStyle name="Note 8 3 2 3 2" xfId="42567"/>
    <cellStyle name="Note 8 3 2 3 2 2" xfId="42568"/>
    <cellStyle name="Note 8 3 2 3 2 2 2" xfId="42569"/>
    <cellStyle name="Note 8 3 2 3 2 3" xfId="42570"/>
    <cellStyle name="Note 8 3 2 3 3" xfId="42571"/>
    <cellStyle name="Note 8 3 2 3 3 2" xfId="42572"/>
    <cellStyle name="Note 8 3 2 3 4" xfId="42573"/>
    <cellStyle name="Note 8 3 2 4" xfId="42574"/>
    <cellStyle name="Note 8 3 2 4 2" xfId="42575"/>
    <cellStyle name="Note 8 3 2 4 2 2" xfId="42576"/>
    <cellStyle name="Note 8 3 2 4 3" xfId="42577"/>
    <cellStyle name="Note 8 3 2 5" xfId="42578"/>
    <cellStyle name="Note 8 3 2 5 2" xfId="42579"/>
    <cellStyle name="Note 8 3 2 6" xfId="42580"/>
    <cellStyle name="Note 8 3 3" xfId="42581"/>
    <cellStyle name="Note 8 3 3 2" xfId="42582"/>
    <cellStyle name="Note 8 3 3 2 2" xfId="42583"/>
    <cellStyle name="Note 8 3 3 2 2 2" xfId="42584"/>
    <cellStyle name="Note 8 3 3 2 2 2 2" xfId="42585"/>
    <cellStyle name="Note 8 3 3 2 2 3" xfId="42586"/>
    <cellStyle name="Note 8 3 3 2 3" xfId="42587"/>
    <cellStyle name="Note 8 3 3 2 3 2" xfId="42588"/>
    <cellStyle name="Note 8 3 3 2 4" xfId="42589"/>
    <cellStyle name="Note 8 3 3 3" xfId="42590"/>
    <cellStyle name="Note 8 3 3 3 2" xfId="42591"/>
    <cellStyle name="Note 8 3 3 3 2 2" xfId="42592"/>
    <cellStyle name="Note 8 3 3 3 3" xfId="42593"/>
    <cellStyle name="Note 8 3 3 4" xfId="42594"/>
    <cellStyle name="Note 8 3 3 4 2" xfId="42595"/>
    <cellStyle name="Note 8 3 3 5" xfId="42596"/>
    <cellStyle name="Note 8 3 4" xfId="42597"/>
    <cellStyle name="Note 8 3 4 2" xfId="42598"/>
    <cellStyle name="Note 8 3 4 2 2" xfId="42599"/>
    <cellStyle name="Note 8 3 4 2 2 2" xfId="42600"/>
    <cellStyle name="Note 8 3 4 2 3" xfId="42601"/>
    <cellStyle name="Note 8 3 4 3" xfId="42602"/>
    <cellStyle name="Note 8 3 4 3 2" xfId="42603"/>
    <cellStyle name="Note 8 3 4 4" xfId="42604"/>
    <cellStyle name="Note 8 3 5" xfId="42605"/>
    <cellStyle name="Note 8 3 5 2" xfId="42606"/>
    <cellStyle name="Note 8 3 5 2 2" xfId="42607"/>
    <cellStyle name="Note 8 3 5 3" xfId="42608"/>
    <cellStyle name="Note 8 3 6" xfId="42609"/>
    <cellStyle name="Note 8 3 6 2" xfId="42610"/>
    <cellStyle name="Note 8 3 7" xfId="42611"/>
    <cellStyle name="Note 8 4" xfId="42612"/>
    <cellStyle name="Note 8 4 2" xfId="42613"/>
    <cellStyle name="Note 8 4 2 2" xfId="42614"/>
    <cellStyle name="Note 8 4 3" xfId="42615"/>
    <cellStyle name="Note 8 5" xfId="42616"/>
    <cellStyle name="Note 8 5 2" xfId="42617"/>
    <cellStyle name="Note 8 5 2 2" xfId="42618"/>
    <cellStyle name="Note 8 5 2 2 2" xfId="42619"/>
    <cellStyle name="Note 8 5 2 2 2 2" xfId="42620"/>
    <cellStyle name="Note 8 5 2 2 3" xfId="42621"/>
    <cellStyle name="Note 8 5 2 3" xfId="42622"/>
    <cellStyle name="Note 8 5 2 3 2" xfId="42623"/>
    <cellStyle name="Note 8 5 2 4" xfId="42624"/>
    <cellStyle name="Note 8 5 3" xfId="42625"/>
    <cellStyle name="Note 8 5 3 2" xfId="42626"/>
    <cellStyle name="Note 8 5 3 2 2" xfId="42627"/>
    <cellStyle name="Note 8 5 3 3" xfId="42628"/>
    <cellStyle name="Note 8 5 4" xfId="42629"/>
    <cellStyle name="Note 8 5 4 2" xfId="42630"/>
    <cellStyle name="Note 8 5 5" xfId="42631"/>
    <cellStyle name="Note 8 6" xfId="42632"/>
    <cellStyle name="Note 8 6 2" xfId="42633"/>
    <cellStyle name="Note 8 6 2 2" xfId="42634"/>
    <cellStyle name="Note 8 6 2 2 2" xfId="42635"/>
    <cellStyle name="Note 8 6 2 3" xfId="42636"/>
    <cellStyle name="Note 8 6 3" xfId="42637"/>
    <cellStyle name="Note 8 6 3 2" xfId="42638"/>
    <cellStyle name="Note 8 6 4" xfId="42639"/>
    <cellStyle name="Note 8 7" xfId="42640"/>
    <cellStyle name="Note 8 7 2" xfId="42641"/>
    <cellStyle name="Note 8 7 2 2" xfId="42642"/>
    <cellStyle name="Note 8 7 3" xfId="42643"/>
    <cellStyle name="Note 8 8" xfId="42644"/>
    <cellStyle name="Note 8 8 2" xfId="42645"/>
    <cellStyle name="Note 8 9" xfId="42646"/>
    <cellStyle name="Note 9" xfId="42647"/>
    <cellStyle name="Note 9 2" xfId="42648"/>
    <cellStyle name="Note 9 2 2" xfId="42649"/>
    <cellStyle name="Note 9 2 2 2" xfId="42650"/>
    <cellStyle name="Note 9 2 2 2 2" xfId="42651"/>
    <cellStyle name="Note 9 2 2 3" xfId="42652"/>
    <cellStyle name="Note 9 2 3" xfId="42653"/>
    <cellStyle name="Note 9 2 3 2" xfId="42654"/>
    <cellStyle name="Note 9 2 4" xfId="42655"/>
    <cellStyle name="Note 9 3" xfId="42656"/>
    <cellStyle name="Note 9 3 2" xfId="42657"/>
    <cellStyle name="Note 9 3 2 2" xfId="42658"/>
    <cellStyle name="Note 9 3 3" xfId="42659"/>
    <cellStyle name="Note 9 4" xfId="42660"/>
    <cellStyle name="Note 9 4 2" xfId="42661"/>
    <cellStyle name="Note 9 5" xfId="42662"/>
    <cellStyle name="onezero" xfId="42663"/>
    <cellStyle name="onezero 2" xfId="42664"/>
    <cellStyle name="onezero 3" xfId="42665"/>
    <cellStyle name="onezero 3 2" xfId="42666"/>
    <cellStyle name="onezero 3 2 2" xfId="42667"/>
    <cellStyle name="onezero 3 3" xfId="42668"/>
    <cellStyle name="onezero 4" xfId="42669"/>
    <cellStyle name="onezero 4 2" xfId="42670"/>
    <cellStyle name="onezero 4 2 2" xfId="42671"/>
    <cellStyle name="onezero 4 3" xfId="42672"/>
    <cellStyle name="Output 10" xfId="42673"/>
    <cellStyle name="Output 2" xfId="42674"/>
    <cellStyle name="Output 2 10" xfId="42675"/>
    <cellStyle name="Output 2 10 2" xfId="42676"/>
    <cellStyle name="Output 2 10 2 2" xfId="42677"/>
    <cellStyle name="Output 2 10 3" xfId="42678"/>
    <cellStyle name="Output 2 11" xfId="42679"/>
    <cellStyle name="Output 2 11 2" xfId="42680"/>
    <cellStyle name="Output 2 11 2 2" xfId="42681"/>
    <cellStyle name="Output 2 11 3" xfId="42682"/>
    <cellStyle name="Output 2 12" xfId="42683"/>
    <cellStyle name="Output 2 12 2" xfId="42684"/>
    <cellStyle name="Output 2 12 2 2" xfId="42685"/>
    <cellStyle name="Output 2 12 2 2 2" xfId="42686"/>
    <cellStyle name="Output 2 12 2 3" xfId="42687"/>
    <cellStyle name="Output 2 12 3" xfId="42688"/>
    <cellStyle name="Output 2 12 3 2" xfId="42689"/>
    <cellStyle name="Output 2 12 4" xfId="42690"/>
    <cellStyle name="Output 2 12 4 2" xfId="42691"/>
    <cellStyle name="Output 2 12 5" xfId="42692"/>
    <cellStyle name="Output 2 13" xfId="42693"/>
    <cellStyle name="Output 2 13 2" xfId="42694"/>
    <cellStyle name="Output 2 13 3" xfId="42695"/>
    <cellStyle name="Output 2 14" xfId="42696"/>
    <cellStyle name="Output 2 14 2" xfId="42697"/>
    <cellStyle name="Output 2 15" xfId="42698"/>
    <cellStyle name="Output 2 16" xfId="42699"/>
    <cellStyle name="Output 2 2" xfId="42700"/>
    <cellStyle name="Output 2 2 2" xfId="42701"/>
    <cellStyle name="Output 2 2 2 2" xfId="42702"/>
    <cellStyle name="Output 2 2 2 2 2" xfId="42703"/>
    <cellStyle name="Output 2 2 2 3" xfId="42704"/>
    <cellStyle name="Output 2 2 2 3 2" xfId="42705"/>
    <cellStyle name="Output 2 2 2 3 2 2" xfId="42706"/>
    <cellStyle name="Output 2 2 2 3 3" xfId="42707"/>
    <cellStyle name="Output 2 2 2 4" xfId="42708"/>
    <cellStyle name="Output 2 2 2 4 2" xfId="42709"/>
    <cellStyle name="Output 2 2 2 4 2 2" xfId="42710"/>
    <cellStyle name="Output 2 2 2 4 3" xfId="42711"/>
    <cellStyle name="Output 2 2 2 5" xfId="42712"/>
    <cellStyle name="Output 2 2 3" xfId="42713"/>
    <cellStyle name="Output 2 2 3 2" xfId="42714"/>
    <cellStyle name="Output 2 2 3 2 2" xfId="42715"/>
    <cellStyle name="Output 2 2 3 2 2 2" xfId="42716"/>
    <cellStyle name="Output 2 2 3 2 3" xfId="42717"/>
    <cellStyle name="Output 2 2 3 2 3 2" xfId="42718"/>
    <cellStyle name="Output 2 2 3 2 3 2 2" xfId="42719"/>
    <cellStyle name="Output 2 2 3 2 3 3" xfId="42720"/>
    <cellStyle name="Output 2 2 3 2 4" xfId="42721"/>
    <cellStyle name="Output 2 2 3 3" xfId="42722"/>
    <cellStyle name="Output 2 2 3 3 2" xfId="42723"/>
    <cellStyle name="Output 2 2 3 3 2 2" xfId="42724"/>
    <cellStyle name="Output 2 2 3 3 3" xfId="42725"/>
    <cellStyle name="Output 2 2 3 4" xfId="42726"/>
    <cellStyle name="Output 2 2 3 4 2" xfId="42727"/>
    <cellStyle name="Output 2 2 3 4 2 2" xfId="42728"/>
    <cellStyle name="Output 2 2 3 4 3" xfId="42729"/>
    <cellStyle name="Output 2 2 3 5" xfId="42730"/>
    <cellStyle name="Output 2 2 3 5 2" xfId="42731"/>
    <cellStyle name="Output 2 2 3 5 2 2" xfId="42732"/>
    <cellStyle name="Output 2 2 3 5 3" xfId="42733"/>
    <cellStyle name="Output 2 2 3 6" xfId="42734"/>
    <cellStyle name="Output 2 2 4" xfId="42735"/>
    <cellStyle name="Output 2 2 4 2" xfId="42736"/>
    <cellStyle name="Output 2 2 4 2 2" xfId="42737"/>
    <cellStyle name="Output 2 2 4 3" xfId="42738"/>
    <cellStyle name="Output 2 2 5" xfId="42739"/>
    <cellStyle name="Output 2 2 5 2" xfId="42740"/>
    <cellStyle name="Output 2 2 5 2 2" xfId="42741"/>
    <cellStyle name="Output 2 2 5 3" xfId="42742"/>
    <cellStyle name="Output 2 2 6" xfId="42743"/>
    <cellStyle name="Output 2 2 6 2" xfId="42744"/>
    <cellStyle name="Output 2 2 6 2 2" xfId="42745"/>
    <cellStyle name="Output 2 2 6 3" xfId="42746"/>
    <cellStyle name="Output 2 2 7" xfId="42747"/>
    <cellStyle name="Output 2 3" xfId="42748"/>
    <cellStyle name="Output 2 3 2" xfId="42749"/>
    <cellStyle name="Output 2 3 2 2" xfId="42750"/>
    <cellStyle name="Output 2 3 2 2 2" xfId="42751"/>
    <cellStyle name="Output 2 3 2 2 2 2" xfId="42752"/>
    <cellStyle name="Output 2 3 2 2 3" xfId="42753"/>
    <cellStyle name="Output 2 3 2 3" xfId="42754"/>
    <cellStyle name="Output 2 3 2 3 2" xfId="42755"/>
    <cellStyle name="Output 2 3 2 3 2 2" xfId="42756"/>
    <cellStyle name="Output 2 3 2 3 3" xfId="42757"/>
    <cellStyle name="Output 2 3 2 4" xfId="42758"/>
    <cellStyle name="Output 2 3 2 4 2" xfId="42759"/>
    <cellStyle name="Output 2 3 2 4 2 2" xfId="42760"/>
    <cellStyle name="Output 2 3 2 4 3" xfId="42761"/>
    <cellStyle name="Output 2 3 2 5" xfId="42762"/>
    <cellStyle name="Output 2 3 2 5 2" xfId="42763"/>
    <cellStyle name="Output 2 3 2 6" xfId="42764"/>
    <cellStyle name="Output 2 3 3" xfId="42765"/>
    <cellStyle name="Output 2 3 3 2" xfId="42766"/>
    <cellStyle name="Output 2 3 3 2 2" xfId="42767"/>
    <cellStyle name="Output 2 3 3 2 2 2" xfId="42768"/>
    <cellStyle name="Output 2 3 3 2 2 2 2" xfId="42769"/>
    <cellStyle name="Output 2 3 3 2 2 3" xfId="42770"/>
    <cellStyle name="Output 2 3 3 2 3" xfId="42771"/>
    <cellStyle name="Output 2 3 3 2 3 2" xfId="42772"/>
    <cellStyle name="Output 2 3 3 2 3 2 2" xfId="42773"/>
    <cellStyle name="Output 2 3 3 2 3 3" xfId="42774"/>
    <cellStyle name="Output 2 3 3 2 4" xfId="42775"/>
    <cellStyle name="Output 2 3 3 2 4 2" xfId="42776"/>
    <cellStyle name="Output 2 3 3 2 5" xfId="42777"/>
    <cellStyle name="Output 2 3 3 3" xfId="42778"/>
    <cellStyle name="Output 2 3 3 3 2" xfId="42779"/>
    <cellStyle name="Output 2 3 3 3 2 2" xfId="42780"/>
    <cellStyle name="Output 2 3 3 3 2 2 2" xfId="42781"/>
    <cellStyle name="Output 2 3 3 3 2 3" xfId="42782"/>
    <cellStyle name="Output 2 3 3 3 3" xfId="42783"/>
    <cellStyle name="Output 2 3 3 3 3 2" xfId="42784"/>
    <cellStyle name="Output 2 3 3 3 4" xfId="42785"/>
    <cellStyle name="Output 2 3 3 4" xfId="42786"/>
    <cellStyle name="Output 2 3 3 4 2" xfId="42787"/>
    <cellStyle name="Output 2 3 3 4 2 2" xfId="42788"/>
    <cellStyle name="Output 2 3 3 4 3" xfId="42789"/>
    <cellStyle name="Output 2 3 3 5" xfId="42790"/>
    <cellStyle name="Output 2 3 3 5 2" xfId="42791"/>
    <cellStyle name="Output 2 3 3 5 2 2" xfId="42792"/>
    <cellStyle name="Output 2 3 3 5 3" xfId="42793"/>
    <cellStyle name="Output 2 3 3 6" xfId="42794"/>
    <cellStyle name="Output 2 3 3 6 2" xfId="42795"/>
    <cellStyle name="Output 2 3 3 7" xfId="42796"/>
    <cellStyle name="Output 2 3 4" xfId="42797"/>
    <cellStyle name="Output 2 3 4 2" xfId="42798"/>
    <cellStyle name="Output 2 3 4 2 2" xfId="42799"/>
    <cellStyle name="Output 2 3 4 2 2 2" xfId="42800"/>
    <cellStyle name="Output 2 3 4 2 3" xfId="42801"/>
    <cellStyle name="Output 2 3 4 3" xfId="42802"/>
    <cellStyle name="Output 2 3 4 3 2" xfId="42803"/>
    <cellStyle name="Output 2 3 4 4" xfId="42804"/>
    <cellStyle name="Output 2 3 5" xfId="42805"/>
    <cellStyle name="Output 2 3 5 2" xfId="42806"/>
    <cellStyle name="Output 2 3 5 2 2" xfId="42807"/>
    <cellStyle name="Output 2 3 5 3" xfId="42808"/>
    <cellStyle name="Output 2 3 6" xfId="42809"/>
    <cellStyle name="Output 2 3 6 2" xfId="42810"/>
    <cellStyle name="Output 2 3 6 2 2" xfId="42811"/>
    <cellStyle name="Output 2 3 6 3" xfId="42812"/>
    <cellStyle name="Output 2 3 7" xfId="42813"/>
    <cellStyle name="Output 2 3 7 2" xfId="42814"/>
    <cellStyle name="Output 2 3 8" xfId="42815"/>
    <cellStyle name="Output 2 4" xfId="42816"/>
    <cellStyle name="Output 2 4 2" xfId="42817"/>
    <cellStyle name="Output 2 4 2 2" xfId="42818"/>
    <cellStyle name="Output 2 4 2 2 2" xfId="42819"/>
    <cellStyle name="Output 2 4 2 2 2 2" xfId="42820"/>
    <cellStyle name="Output 2 4 2 2 3" xfId="42821"/>
    <cellStyle name="Output 2 4 2 3" xfId="42822"/>
    <cellStyle name="Output 2 4 2 3 2" xfId="42823"/>
    <cellStyle name="Output 2 4 2 3 2 2" xfId="42824"/>
    <cellStyle name="Output 2 4 2 3 3" xfId="42825"/>
    <cellStyle name="Output 2 4 2 4" xfId="42826"/>
    <cellStyle name="Output 2 4 2 4 2" xfId="42827"/>
    <cellStyle name="Output 2 4 2 4 2 2" xfId="42828"/>
    <cellStyle name="Output 2 4 2 4 3" xfId="42829"/>
    <cellStyle name="Output 2 4 2 5" xfId="42830"/>
    <cellStyle name="Output 2 4 2 5 2" xfId="42831"/>
    <cellStyle name="Output 2 4 2 6" xfId="42832"/>
    <cellStyle name="Output 2 4 3" xfId="42833"/>
    <cellStyle name="Output 2 4 3 2" xfId="42834"/>
    <cellStyle name="Output 2 4 3 2 2" xfId="42835"/>
    <cellStyle name="Output 2 4 3 2 2 2" xfId="42836"/>
    <cellStyle name="Output 2 4 3 2 3" xfId="42837"/>
    <cellStyle name="Output 2 4 3 3" xfId="42838"/>
    <cellStyle name="Output 2 4 3 3 2" xfId="42839"/>
    <cellStyle name="Output 2 4 3 4" xfId="42840"/>
    <cellStyle name="Output 2 4 4" xfId="42841"/>
    <cellStyle name="Output 2 4 4 2" xfId="42842"/>
    <cellStyle name="Output 2 4 4 2 2" xfId="42843"/>
    <cellStyle name="Output 2 4 4 3" xfId="42844"/>
    <cellStyle name="Output 2 4 5" xfId="42845"/>
    <cellStyle name="Output 2 4 5 2" xfId="42846"/>
    <cellStyle name="Output 2 4 5 2 2" xfId="42847"/>
    <cellStyle name="Output 2 4 5 3" xfId="42848"/>
    <cellStyle name="Output 2 4 6" xfId="42849"/>
    <cellStyle name="Output 2 4 6 2" xfId="42850"/>
    <cellStyle name="Output 2 4 7" xfId="42851"/>
    <cellStyle name="Output 2 5" xfId="42852"/>
    <cellStyle name="Output 2 5 2" xfId="42853"/>
    <cellStyle name="Output 2 5 2 2" xfId="42854"/>
    <cellStyle name="Output 2 5 2 2 2" xfId="42855"/>
    <cellStyle name="Output 2 5 2 2 2 2" xfId="42856"/>
    <cellStyle name="Output 2 5 2 2 3" xfId="42857"/>
    <cellStyle name="Output 2 5 2 3" xfId="42858"/>
    <cellStyle name="Output 2 5 2 3 2" xfId="42859"/>
    <cellStyle name="Output 2 5 2 3 2 2" xfId="42860"/>
    <cellStyle name="Output 2 5 2 3 3" xfId="42861"/>
    <cellStyle name="Output 2 5 2 4" xfId="42862"/>
    <cellStyle name="Output 2 5 2 4 2" xfId="42863"/>
    <cellStyle name="Output 2 5 2 4 2 2" xfId="42864"/>
    <cellStyle name="Output 2 5 2 4 3" xfId="42865"/>
    <cellStyle name="Output 2 5 2 5" xfId="42866"/>
    <cellStyle name="Output 2 5 2 5 2" xfId="42867"/>
    <cellStyle name="Output 2 5 2 6" xfId="42868"/>
    <cellStyle name="Output 2 5 3" xfId="42869"/>
    <cellStyle name="Output 2 5 3 2" xfId="42870"/>
    <cellStyle name="Output 2 5 3 2 2" xfId="42871"/>
    <cellStyle name="Output 2 5 3 2 2 2" xfId="42872"/>
    <cellStyle name="Output 2 5 3 2 2 2 2" xfId="42873"/>
    <cellStyle name="Output 2 5 3 2 2 3" xfId="42874"/>
    <cellStyle name="Output 2 5 3 2 3" xfId="42875"/>
    <cellStyle name="Output 2 5 3 2 3 2" xfId="42876"/>
    <cellStyle name="Output 2 5 3 2 3 2 2" xfId="42877"/>
    <cellStyle name="Output 2 5 3 2 3 3" xfId="42878"/>
    <cellStyle name="Output 2 5 3 2 4" xfId="42879"/>
    <cellStyle name="Output 2 5 3 2 4 2" xfId="42880"/>
    <cellStyle name="Output 2 5 3 2 5" xfId="42881"/>
    <cellStyle name="Output 2 5 3 3" xfId="42882"/>
    <cellStyle name="Output 2 5 3 3 2" xfId="42883"/>
    <cellStyle name="Output 2 5 3 3 2 2" xfId="42884"/>
    <cellStyle name="Output 2 5 3 3 2 2 2" xfId="42885"/>
    <cellStyle name="Output 2 5 3 3 2 3" xfId="42886"/>
    <cellStyle name="Output 2 5 3 3 3" xfId="42887"/>
    <cellStyle name="Output 2 5 3 3 3 2" xfId="42888"/>
    <cellStyle name="Output 2 5 3 3 4" xfId="42889"/>
    <cellStyle name="Output 2 5 3 4" xfId="42890"/>
    <cellStyle name="Output 2 5 3 4 2" xfId="42891"/>
    <cellStyle name="Output 2 5 3 4 2 2" xfId="42892"/>
    <cellStyle name="Output 2 5 3 4 3" xfId="42893"/>
    <cellStyle name="Output 2 5 3 5" xfId="42894"/>
    <cellStyle name="Output 2 5 3 5 2" xfId="42895"/>
    <cellStyle name="Output 2 5 3 5 2 2" xfId="42896"/>
    <cellStyle name="Output 2 5 3 5 3" xfId="42897"/>
    <cellStyle name="Output 2 5 3 6" xfId="42898"/>
    <cellStyle name="Output 2 5 3 6 2" xfId="42899"/>
    <cellStyle name="Output 2 5 3 7" xfId="42900"/>
    <cellStyle name="Output 2 5 4" xfId="42901"/>
    <cellStyle name="Output 2 5 4 2" xfId="42902"/>
    <cellStyle name="Output 2 5 4 2 2" xfId="42903"/>
    <cellStyle name="Output 2 5 4 2 2 2" xfId="42904"/>
    <cellStyle name="Output 2 5 4 2 3" xfId="42905"/>
    <cellStyle name="Output 2 5 4 3" xfId="42906"/>
    <cellStyle name="Output 2 5 4 3 2" xfId="42907"/>
    <cellStyle name="Output 2 5 4 4" xfId="42908"/>
    <cellStyle name="Output 2 5 5" xfId="42909"/>
    <cellStyle name="Output 2 5 5 2" xfId="42910"/>
    <cellStyle name="Output 2 5 5 2 2" xfId="42911"/>
    <cellStyle name="Output 2 5 5 3" xfId="42912"/>
    <cellStyle name="Output 2 5 6" xfId="42913"/>
    <cellStyle name="Output 2 5 6 2" xfId="42914"/>
    <cellStyle name="Output 2 5 6 2 2" xfId="42915"/>
    <cellStyle name="Output 2 5 6 3" xfId="42916"/>
    <cellStyle name="Output 2 5 7" xfId="42917"/>
    <cellStyle name="Output 2 5 7 2" xfId="42918"/>
    <cellStyle name="Output 2 5 8" xfId="42919"/>
    <cellStyle name="Output 2 6" xfId="42920"/>
    <cellStyle name="Output 2 6 2" xfId="42921"/>
    <cellStyle name="Output 2 6 2 2" xfId="42922"/>
    <cellStyle name="Output 2 6 2 2 2" xfId="42923"/>
    <cellStyle name="Output 2 6 2 2 2 2" xfId="42924"/>
    <cellStyle name="Output 2 6 2 2 3" xfId="42925"/>
    <cellStyle name="Output 2 6 2 3" xfId="42926"/>
    <cellStyle name="Output 2 6 2 3 2" xfId="42927"/>
    <cellStyle name="Output 2 6 2 3 2 2" xfId="42928"/>
    <cellStyle name="Output 2 6 2 3 3" xfId="42929"/>
    <cellStyle name="Output 2 6 2 4" xfId="42930"/>
    <cellStyle name="Output 2 6 2 4 2" xfId="42931"/>
    <cellStyle name="Output 2 6 2 4 2 2" xfId="42932"/>
    <cellStyle name="Output 2 6 2 4 3" xfId="42933"/>
    <cellStyle name="Output 2 6 2 5" xfId="42934"/>
    <cellStyle name="Output 2 6 2 5 2" xfId="42935"/>
    <cellStyle name="Output 2 6 2 6" xfId="42936"/>
    <cellStyle name="Output 2 6 3" xfId="42937"/>
    <cellStyle name="Output 2 6 3 2" xfId="42938"/>
    <cellStyle name="Output 2 6 3 2 2" xfId="42939"/>
    <cellStyle name="Output 2 6 3 2 2 2" xfId="42940"/>
    <cellStyle name="Output 2 6 3 2 3" xfId="42941"/>
    <cellStyle name="Output 2 6 3 3" xfId="42942"/>
    <cellStyle name="Output 2 6 3 3 2" xfId="42943"/>
    <cellStyle name="Output 2 6 3 3 2 2" xfId="42944"/>
    <cellStyle name="Output 2 6 3 3 3" xfId="42945"/>
    <cellStyle name="Output 2 6 3 4" xfId="42946"/>
    <cellStyle name="Output 2 6 3 4 2" xfId="42947"/>
    <cellStyle name="Output 2 6 3 5" xfId="42948"/>
    <cellStyle name="Output 2 6 4" xfId="42949"/>
    <cellStyle name="Output 2 6 4 2" xfId="42950"/>
    <cellStyle name="Output 2 6 4 2 2" xfId="42951"/>
    <cellStyle name="Output 2 6 4 2 2 2" xfId="42952"/>
    <cellStyle name="Output 2 6 4 2 3" xfId="42953"/>
    <cellStyle name="Output 2 6 4 3" xfId="42954"/>
    <cellStyle name="Output 2 6 4 3 2" xfId="42955"/>
    <cellStyle name="Output 2 6 4 4" xfId="42956"/>
    <cellStyle name="Output 2 6 5" xfId="42957"/>
    <cellStyle name="Output 2 6 5 2" xfId="42958"/>
    <cellStyle name="Output 2 6 5 2 2" xfId="42959"/>
    <cellStyle name="Output 2 6 5 3" xfId="42960"/>
    <cellStyle name="Output 2 6 6" xfId="42961"/>
    <cellStyle name="Output 2 6 6 2" xfId="42962"/>
    <cellStyle name="Output 2 6 6 2 2" xfId="42963"/>
    <cellStyle name="Output 2 6 6 3" xfId="42964"/>
    <cellStyle name="Output 2 6 7" xfId="42965"/>
    <cellStyle name="Output 2 6 7 2" xfId="42966"/>
    <cellStyle name="Output 2 6 8" xfId="42967"/>
    <cellStyle name="Output 2 7" xfId="42968"/>
    <cellStyle name="Output 2 7 2" xfId="42969"/>
    <cellStyle name="Output 2 7 2 2" xfId="42970"/>
    <cellStyle name="Output 2 7 2 2 2" xfId="42971"/>
    <cellStyle name="Output 2 7 2 3" xfId="42972"/>
    <cellStyle name="Output 2 7 3" xfId="42973"/>
    <cellStyle name="Output 2 7 3 2" xfId="42974"/>
    <cellStyle name="Output 2 7 3 2 2" xfId="42975"/>
    <cellStyle name="Output 2 7 3 3" xfId="42976"/>
    <cellStyle name="Output 2 7 4" xfId="42977"/>
    <cellStyle name="Output 2 7 4 2" xfId="42978"/>
    <cellStyle name="Output 2 7 4 2 2" xfId="42979"/>
    <cellStyle name="Output 2 7 4 3" xfId="42980"/>
    <cellStyle name="Output 2 7 5" xfId="42981"/>
    <cellStyle name="Output 2 7 5 2" xfId="42982"/>
    <cellStyle name="Output 2 7 6" xfId="42983"/>
    <cellStyle name="Output 2 8" xfId="42984"/>
    <cellStyle name="Output 2 8 2" xfId="42985"/>
    <cellStyle name="Output 2 8 2 2" xfId="42986"/>
    <cellStyle name="Output 2 8 2 2 2" xfId="42987"/>
    <cellStyle name="Output 2 8 2 2 2 2" xfId="42988"/>
    <cellStyle name="Output 2 8 2 2 3" xfId="42989"/>
    <cellStyle name="Output 2 8 2 3" xfId="42990"/>
    <cellStyle name="Output 2 8 2 3 2" xfId="42991"/>
    <cellStyle name="Output 2 8 2 3 2 2" xfId="42992"/>
    <cellStyle name="Output 2 8 2 3 3" xfId="42993"/>
    <cellStyle name="Output 2 8 2 4" xfId="42994"/>
    <cellStyle name="Output 2 8 2 4 2" xfId="42995"/>
    <cellStyle name="Output 2 8 2 5" xfId="42996"/>
    <cellStyle name="Output 2 8 3" xfId="42997"/>
    <cellStyle name="Output 2 8 3 2" xfId="42998"/>
    <cellStyle name="Output 2 8 3 2 2" xfId="42999"/>
    <cellStyle name="Output 2 8 3 2 2 2" xfId="43000"/>
    <cellStyle name="Output 2 8 3 2 3" xfId="43001"/>
    <cellStyle name="Output 2 8 3 3" xfId="43002"/>
    <cellStyle name="Output 2 8 3 3 2" xfId="43003"/>
    <cellStyle name="Output 2 8 3 4" xfId="43004"/>
    <cellStyle name="Output 2 8 4" xfId="43005"/>
    <cellStyle name="Output 2 8 4 2" xfId="43006"/>
    <cellStyle name="Output 2 8 4 2 2" xfId="43007"/>
    <cellStyle name="Output 2 8 4 3" xfId="43008"/>
    <cellStyle name="Output 2 8 5" xfId="43009"/>
    <cellStyle name="Output 2 8 5 2" xfId="43010"/>
    <cellStyle name="Output 2 8 5 2 2" xfId="43011"/>
    <cellStyle name="Output 2 8 5 3" xfId="43012"/>
    <cellStyle name="Output 2 8 6" xfId="43013"/>
    <cellStyle name="Output 2 8 6 2" xfId="43014"/>
    <cellStyle name="Output 2 8 7" xfId="43015"/>
    <cellStyle name="Output 2 9" xfId="43016"/>
    <cellStyle name="Output 2 9 2" xfId="43017"/>
    <cellStyle name="Output 2 9 2 2" xfId="43018"/>
    <cellStyle name="Output 2 9 2 2 2" xfId="43019"/>
    <cellStyle name="Output 2 9 2 3" xfId="43020"/>
    <cellStyle name="Output 2 9 3" xfId="43021"/>
    <cellStyle name="Output 2 9 3 2" xfId="43022"/>
    <cellStyle name="Output 2 9 4" xfId="43023"/>
    <cellStyle name="Output 3" xfId="43024"/>
    <cellStyle name="Output 3 2" xfId="43025"/>
    <cellStyle name="Output 3 2 2" xfId="43026"/>
    <cellStyle name="Output 3 2 2 2" xfId="43027"/>
    <cellStyle name="Output 3 2 2 2 2" xfId="43028"/>
    <cellStyle name="Output 3 2 2 3" xfId="43029"/>
    <cellStyle name="Output 3 2 3" xfId="43030"/>
    <cellStyle name="Output 3 2 3 2" xfId="43031"/>
    <cellStyle name="Output 3 2 3 2 2" xfId="43032"/>
    <cellStyle name="Output 3 2 3 3" xfId="43033"/>
    <cellStyle name="Output 3 2 4" xfId="43034"/>
    <cellStyle name="Output 3 2 4 2" xfId="43035"/>
    <cellStyle name="Output 3 2 4 2 2" xfId="43036"/>
    <cellStyle name="Output 3 2 4 3" xfId="43037"/>
    <cellStyle name="Output 3 2 5" xfId="43038"/>
    <cellStyle name="Output 3 2 5 2" xfId="43039"/>
    <cellStyle name="Output 3 2 6" xfId="43040"/>
    <cellStyle name="Output 3 3" xfId="43041"/>
    <cellStyle name="Output 3 3 2" xfId="43042"/>
    <cellStyle name="Output 3 3 2 2" xfId="43043"/>
    <cellStyle name="Output 3 3 3" xfId="43044"/>
    <cellStyle name="Output 3 3 3 2" xfId="43045"/>
    <cellStyle name="Output 3 3 3 2 2" xfId="43046"/>
    <cellStyle name="Output 3 3 3 3" xfId="43047"/>
    <cellStyle name="Output 3 3 4" xfId="43048"/>
    <cellStyle name="Output 3 3 4 2" xfId="43049"/>
    <cellStyle name="Output 3 3 4 2 2" xfId="43050"/>
    <cellStyle name="Output 3 3 4 3" xfId="43051"/>
    <cellStyle name="Output 3 3 5" xfId="43052"/>
    <cellStyle name="Output 3 4" xfId="43053"/>
    <cellStyle name="Output 3 4 2" xfId="43054"/>
    <cellStyle name="Output 3 4 2 2" xfId="43055"/>
    <cellStyle name="Output 3 4 2 2 2" xfId="43056"/>
    <cellStyle name="Output 3 4 2 3" xfId="43057"/>
    <cellStyle name="Output 3 4 2 3 2" xfId="43058"/>
    <cellStyle name="Output 3 4 2 3 2 2" xfId="43059"/>
    <cellStyle name="Output 3 4 2 3 3" xfId="43060"/>
    <cellStyle name="Output 3 4 2 4" xfId="43061"/>
    <cellStyle name="Output 3 4 3" xfId="43062"/>
    <cellStyle name="Output 3 4 3 2" xfId="43063"/>
    <cellStyle name="Output 3 4 3 2 2" xfId="43064"/>
    <cellStyle name="Output 3 4 3 3" xfId="43065"/>
    <cellStyle name="Output 3 4 4" xfId="43066"/>
    <cellStyle name="Output 3 4 4 2" xfId="43067"/>
    <cellStyle name="Output 3 4 4 2 2" xfId="43068"/>
    <cellStyle name="Output 3 4 4 3" xfId="43069"/>
    <cellStyle name="Output 3 4 5" xfId="43070"/>
    <cellStyle name="Output 3 4 5 2" xfId="43071"/>
    <cellStyle name="Output 3 4 5 2 2" xfId="43072"/>
    <cellStyle name="Output 3 4 5 3" xfId="43073"/>
    <cellStyle name="Output 3 4 6" xfId="43074"/>
    <cellStyle name="Output 3 5" xfId="43075"/>
    <cellStyle name="Output 3 5 2" xfId="43076"/>
    <cellStyle name="Output 3 5 2 2" xfId="43077"/>
    <cellStyle name="Output 3 5 3" xfId="43078"/>
    <cellStyle name="Output 3 6" xfId="43079"/>
    <cellStyle name="Output 3 6 2" xfId="43080"/>
    <cellStyle name="Output 3 6 2 2" xfId="43081"/>
    <cellStyle name="Output 3 6 3" xfId="43082"/>
    <cellStyle name="Output 3 7" xfId="43083"/>
    <cellStyle name="Output 3 7 2" xfId="43084"/>
    <cellStyle name="Output 3 7 2 2" xfId="43085"/>
    <cellStyle name="Output 3 7 3" xfId="43086"/>
    <cellStyle name="Output 3 8" xfId="43087"/>
    <cellStyle name="Output 4" xfId="43088"/>
    <cellStyle name="Output 4 2" xfId="43089"/>
    <cellStyle name="Output 4 2 2" xfId="43090"/>
    <cellStyle name="Output 4 2 2 2" xfId="43091"/>
    <cellStyle name="Output 4 2 3" xfId="43092"/>
    <cellStyle name="Output 4 2 3 2" xfId="43093"/>
    <cellStyle name="Output 4 2 3 2 2" xfId="43094"/>
    <cellStyle name="Output 4 2 3 3" xfId="43095"/>
    <cellStyle name="Output 4 2 4" xfId="43096"/>
    <cellStyle name="Output 4 2 4 2" xfId="43097"/>
    <cellStyle name="Output 4 2 4 2 2" xfId="43098"/>
    <cellStyle name="Output 4 2 4 3" xfId="43099"/>
    <cellStyle name="Output 4 2 5" xfId="43100"/>
    <cellStyle name="Output 4 3" xfId="43101"/>
    <cellStyle name="Output 4 3 2" xfId="43102"/>
    <cellStyle name="Output 4 3 2 2" xfId="43103"/>
    <cellStyle name="Output 4 3 2 2 2" xfId="43104"/>
    <cellStyle name="Output 4 3 2 3" xfId="43105"/>
    <cellStyle name="Output 4 3 2 3 2" xfId="43106"/>
    <cellStyle name="Output 4 3 2 3 2 2" xfId="43107"/>
    <cellStyle name="Output 4 3 2 3 3" xfId="43108"/>
    <cellStyle name="Output 4 3 2 4" xfId="43109"/>
    <cellStyle name="Output 4 3 3" xfId="43110"/>
    <cellStyle name="Output 4 3 3 2" xfId="43111"/>
    <cellStyle name="Output 4 3 3 2 2" xfId="43112"/>
    <cellStyle name="Output 4 3 3 3" xfId="43113"/>
    <cellStyle name="Output 4 3 4" xfId="43114"/>
    <cellStyle name="Output 4 3 4 2" xfId="43115"/>
    <cellStyle name="Output 4 3 4 2 2" xfId="43116"/>
    <cellStyle name="Output 4 3 4 3" xfId="43117"/>
    <cellStyle name="Output 4 3 5" xfId="43118"/>
    <cellStyle name="Output 4 3 5 2" xfId="43119"/>
    <cellStyle name="Output 4 3 5 2 2" xfId="43120"/>
    <cellStyle name="Output 4 3 5 3" xfId="43121"/>
    <cellStyle name="Output 4 3 6" xfId="43122"/>
    <cellStyle name="Output 4 4" xfId="43123"/>
    <cellStyle name="Output 4 4 2" xfId="43124"/>
    <cellStyle name="Output 4 4 2 2" xfId="43125"/>
    <cellStyle name="Output 4 4 3" xfId="43126"/>
    <cellStyle name="Output 4 5" xfId="43127"/>
    <cellStyle name="Output 4 5 2" xfId="43128"/>
    <cellStyle name="Output 4 5 2 2" xfId="43129"/>
    <cellStyle name="Output 4 5 3" xfId="43130"/>
    <cellStyle name="Output 4 6" xfId="43131"/>
    <cellStyle name="Output 4 6 2" xfId="43132"/>
    <cellStyle name="Output 4 6 2 2" xfId="43133"/>
    <cellStyle name="Output 4 6 3" xfId="43134"/>
    <cellStyle name="Output 4 7" xfId="43135"/>
    <cellStyle name="Output 5" xfId="43136"/>
    <cellStyle name="Output 5 2" xfId="43137"/>
    <cellStyle name="Output 5 2 2" xfId="43138"/>
    <cellStyle name="Output 5 2 2 2" xfId="43139"/>
    <cellStyle name="Output 5 2 2 2 2" xfId="43140"/>
    <cellStyle name="Output 5 2 2 3" xfId="43141"/>
    <cellStyle name="Output 5 2 3" xfId="43142"/>
    <cellStyle name="Output 5 2 3 2" xfId="43143"/>
    <cellStyle name="Output 5 2 3 2 2" xfId="43144"/>
    <cellStyle name="Output 5 2 3 3" xfId="43145"/>
    <cellStyle name="Output 5 2 4" xfId="43146"/>
    <cellStyle name="Output 5 2 4 2" xfId="43147"/>
    <cellStyle name="Output 5 2 4 2 2" xfId="43148"/>
    <cellStyle name="Output 5 2 4 3" xfId="43149"/>
    <cellStyle name="Output 5 2 5" xfId="43150"/>
    <cellStyle name="Output 5 2 5 2" xfId="43151"/>
    <cellStyle name="Output 5 2 6" xfId="43152"/>
    <cellStyle name="Output 5 3" xfId="43153"/>
    <cellStyle name="Output 5 3 2" xfId="43154"/>
    <cellStyle name="Output 5 3 2 2" xfId="43155"/>
    <cellStyle name="Output 5 3 2 2 2" xfId="43156"/>
    <cellStyle name="Output 5 3 2 2 2 2" xfId="43157"/>
    <cellStyle name="Output 5 3 2 2 3" xfId="43158"/>
    <cellStyle name="Output 5 3 2 3" xfId="43159"/>
    <cellStyle name="Output 5 3 2 3 2" xfId="43160"/>
    <cellStyle name="Output 5 3 2 3 2 2" xfId="43161"/>
    <cellStyle name="Output 5 3 2 3 3" xfId="43162"/>
    <cellStyle name="Output 5 3 2 4" xfId="43163"/>
    <cellStyle name="Output 5 3 2 4 2" xfId="43164"/>
    <cellStyle name="Output 5 3 2 5" xfId="43165"/>
    <cellStyle name="Output 5 3 3" xfId="43166"/>
    <cellStyle name="Output 5 3 3 2" xfId="43167"/>
    <cellStyle name="Output 5 3 3 2 2" xfId="43168"/>
    <cellStyle name="Output 5 3 3 2 2 2" xfId="43169"/>
    <cellStyle name="Output 5 3 3 2 3" xfId="43170"/>
    <cellStyle name="Output 5 3 3 3" xfId="43171"/>
    <cellStyle name="Output 5 3 3 3 2" xfId="43172"/>
    <cellStyle name="Output 5 3 3 4" xfId="43173"/>
    <cellStyle name="Output 5 3 4" xfId="43174"/>
    <cellStyle name="Output 5 3 4 2" xfId="43175"/>
    <cellStyle name="Output 5 3 4 2 2" xfId="43176"/>
    <cellStyle name="Output 5 3 4 3" xfId="43177"/>
    <cellStyle name="Output 5 3 5" xfId="43178"/>
    <cellStyle name="Output 5 3 5 2" xfId="43179"/>
    <cellStyle name="Output 5 3 5 2 2" xfId="43180"/>
    <cellStyle name="Output 5 3 5 3" xfId="43181"/>
    <cellStyle name="Output 5 3 6" xfId="43182"/>
    <cellStyle name="Output 5 3 6 2" xfId="43183"/>
    <cellStyle name="Output 5 3 7" xfId="43184"/>
    <cellStyle name="Output 5 4" xfId="43185"/>
    <cellStyle name="Output 5 4 2" xfId="43186"/>
    <cellStyle name="Output 5 4 2 2" xfId="43187"/>
    <cellStyle name="Output 5 4 2 2 2" xfId="43188"/>
    <cellStyle name="Output 5 4 2 3" xfId="43189"/>
    <cellStyle name="Output 5 4 3" xfId="43190"/>
    <cellStyle name="Output 5 4 3 2" xfId="43191"/>
    <cellStyle name="Output 5 4 4" xfId="43192"/>
    <cellStyle name="Output 5 5" xfId="43193"/>
    <cellStyle name="Output 5 5 2" xfId="43194"/>
    <cellStyle name="Output 5 5 2 2" xfId="43195"/>
    <cellStyle name="Output 5 5 3" xfId="43196"/>
    <cellStyle name="Output 5 6" xfId="43197"/>
    <cellStyle name="Output 5 6 2" xfId="43198"/>
    <cellStyle name="Output 5 6 2 2" xfId="43199"/>
    <cellStyle name="Output 5 6 3" xfId="43200"/>
    <cellStyle name="Output 5 7" xfId="43201"/>
    <cellStyle name="Output 5 7 2" xfId="43202"/>
    <cellStyle name="Output 5 8" xfId="43203"/>
    <cellStyle name="Output 6" xfId="43204"/>
    <cellStyle name="Output 6 2" xfId="43205"/>
    <cellStyle name="Output 6 2 2" xfId="43206"/>
    <cellStyle name="Output 6 2 2 2" xfId="43207"/>
    <cellStyle name="Output 6 2 2 2 2" xfId="43208"/>
    <cellStyle name="Output 6 2 2 3" xfId="43209"/>
    <cellStyle name="Output 6 2 3" xfId="43210"/>
    <cellStyle name="Output 6 2 3 2" xfId="43211"/>
    <cellStyle name="Output 6 2 3 2 2" xfId="43212"/>
    <cellStyle name="Output 6 2 3 3" xfId="43213"/>
    <cellStyle name="Output 6 2 4" xfId="43214"/>
    <cellStyle name="Output 6 2 4 2" xfId="43215"/>
    <cellStyle name="Output 6 2 4 2 2" xfId="43216"/>
    <cellStyle name="Output 6 2 4 3" xfId="43217"/>
    <cellStyle name="Output 6 2 5" xfId="43218"/>
    <cellStyle name="Output 6 2 5 2" xfId="43219"/>
    <cellStyle name="Output 6 2 6" xfId="43220"/>
    <cellStyle name="Output 6 3" xfId="43221"/>
    <cellStyle name="Output 6 3 2" xfId="43222"/>
    <cellStyle name="Output 6 3 2 2" xfId="43223"/>
    <cellStyle name="Output 6 3 2 2 2" xfId="43224"/>
    <cellStyle name="Output 6 3 2 3" xfId="43225"/>
    <cellStyle name="Output 6 3 3" xfId="43226"/>
    <cellStyle name="Output 6 3 3 2" xfId="43227"/>
    <cellStyle name="Output 6 3 4" xfId="43228"/>
    <cellStyle name="Output 6 4" xfId="43229"/>
    <cellStyle name="Output 6 4 2" xfId="43230"/>
    <cellStyle name="Output 6 4 2 2" xfId="43231"/>
    <cellStyle name="Output 6 4 3" xfId="43232"/>
    <cellStyle name="Output 6 5" xfId="43233"/>
    <cellStyle name="Output 6 5 2" xfId="43234"/>
    <cellStyle name="Output 6 5 2 2" xfId="43235"/>
    <cellStyle name="Output 6 5 3" xfId="43236"/>
    <cellStyle name="Output 6 6" xfId="43237"/>
    <cellStyle name="Output 6 6 2" xfId="43238"/>
    <cellStyle name="Output 6 7" xfId="43239"/>
    <cellStyle name="Output 7" xfId="43240"/>
    <cellStyle name="Output 7 2" xfId="43241"/>
    <cellStyle name="Output 8" xfId="43242"/>
    <cellStyle name="Output 8 2" xfId="43243"/>
    <cellStyle name="Output 9" xfId="43244"/>
    <cellStyle name="pct2" xfId="43245"/>
    <cellStyle name="pct2 2" xfId="43246"/>
    <cellStyle name="pct2 3" xfId="43247"/>
    <cellStyle name="pct2 3 2" xfId="43248"/>
    <cellStyle name="pct2 3 2 2" xfId="43249"/>
    <cellStyle name="pct2 3 3" xfId="43250"/>
    <cellStyle name="pct2 4" xfId="43251"/>
    <cellStyle name="pct2 4 2" xfId="43252"/>
    <cellStyle name="pct2 4 2 2" xfId="43253"/>
    <cellStyle name="pct2 4 3" xfId="43254"/>
    <cellStyle name="PctNoZero" xfId="43255"/>
    <cellStyle name="PctNoZero 2" xfId="43256"/>
    <cellStyle name="PctNoZero 3" xfId="43257"/>
    <cellStyle name="PctNoZero 3 2" xfId="43258"/>
    <cellStyle name="PctNoZero 3 2 2" xfId="43259"/>
    <cellStyle name="PctNoZero 3 3" xfId="43260"/>
    <cellStyle name="PctNoZero 4" xfId="43261"/>
    <cellStyle name="PctNoZero 4 2" xfId="43262"/>
    <cellStyle name="PctNoZero 4 2 2" xfId="43263"/>
    <cellStyle name="PctNoZero 4 3" xfId="43264"/>
    <cellStyle name="per.style" xfId="43265"/>
    <cellStyle name="per.style 2" xfId="43266"/>
    <cellStyle name="per.style 2 2" xfId="43267"/>
    <cellStyle name="per.style 2 3" xfId="43268"/>
    <cellStyle name="per.style 2 3 2" xfId="43269"/>
    <cellStyle name="per.style 2 3 2 2" xfId="43270"/>
    <cellStyle name="per.style 2 3 3" xfId="43271"/>
    <cellStyle name="per.style 2 4" xfId="43272"/>
    <cellStyle name="per.style 2 4 2" xfId="43273"/>
    <cellStyle name="per.style 2 4 2 2" xfId="43274"/>
    <cellStyle name="per.style 2 4 3" xfId="43275"/>
    <cellStyle name="per.style 3" xfId="43276"/>
    <cellStyle name="per.style 4" xfId="43277"/>
    <cellStyle name="per.style 4 2" xfId="43278"/>
    <cellStyle name="per.style 4 2 2" xfId="43279"/>
    <cellStyle name="per.style 4 3" xfId="43280"/>
    <cellStyle name="per.style 5" xfId="43281"/>
    <cellStyle name="per.style 5 2" xfId="43282"/>
    <cellStyle name="per.style 5 2 2" xfId="43283"/>
    <cellStyle name="per.style 5 3" xfId="43284"/>
    <cellStyle name="Percent" xfId="36" builtinId="5"/>
    <cellStyle name="Percent (0.0%)" xfId="43285"/>
    <cellStyle name="Percent (0.0%) 2" xfId="43286"/>
    <cellStyle name="Percent (0.0%) 3" xfId="43287"/>
    <cellStyle name="Percent (0.0%) 3 2" xfId="43288"/>
    <cellStyle name="Percent (0.0%) 3 2 2" xfId="43289"/>
    <cellStyle name="Percent (0.0%) 3 3" xfId="43290"/>
    <cellStyle name="Percent (0.0%) 4" xfId="43291"/>
    <cellStyle name="Percent (0.0%) 4 2" xfId="43292"/>
    <cellStyle name="Percent (0.0%) 4 2 2" xfId="43293"/>
    <cellStyle name="Percent (0.0%) 4 3" xfId="43294"/>
    <cellStyle name="Percent [2]" xfId="43295"/>
    <cellStyle name="Percent [2] 2" xfId="43296"/>
    <cellStyle name="Percent [2] 2 2" xfId="43297"/>
    <cellStyle name="Percent [2] 2 3" xfId="43298"/>
    <cellStyle name="Percent [2] 2 3 2" xfId="43299"/>
    <cellStyle name="Percent [2] 2 3 2 2" xfId="43300"/>
    <cellStyle name="Percent [2] 2 3 3" xfId="43301"/>
    <cellStyle name="Percent [2] 2 4" xfId="43302"/>
    <cellStyle name="Percent [2] 2 4 2" xfId="43303"/>
    <cellStyle name="Percent [2] 2 4 2 2" xfId="43304"/>
    <cellStyle name="Percent [2] 2 4 3" xfId="43305"/>
    <cellStyle name="Percent [2] 3" xfId="43306"/>
    <cellStyle name="Percent [2] 4" xfId="43307"/>
    <cellStyle name="Percent [2] 4 2" xfId="43308"/>
    <cellStyle name="Percent [2] 4 2 2" xfId="43309"/>
    <cellStyle name="Percent [2] 4 3" xfId="43310"/>
    <cellStyle name="Percent [2] 5" xfId="43311"/>
    <cellStyle name="Percent [2] 5 2" xfId="43312"/>
    <cellStyle name="Percent [2] 5 2 2" xfId="43313"/>
    <cellStyle name="Percent [2] 5 3" xfId="43314"/>
    <cellStyle name="Percent 10" xfId="43315"/>
    <cellStyle name="Percent 10 2" xfId="43316"/>
    <cellStyle name="Percent 10 3" xfId="43317"/>
    <cellStyle name="Percent 10 3 2" xfId="43318"/>
    <cellStyle name="Percent 10 3 2 2" xfId="43319"/>
    <cellStyle name="Percent 10 3 3" xfId="43320"/>
    <cellStyle name="Percent 10 4" xfId="43321"/>
    <cellStyle name="Percent 10 4 2" xfId="43322"/>
    <cellStyle name="Percent 10 4 2 2" xfId="43323"/>
    <cellStyle name="Percent 10 4 3" xfId="43324"/>
    <cellStyle name="Percent 100" xfId="43325"/>
    <cellStyle name="Percent 100 2" xfId="43326"/>
    <cellStyle name="Percent 100 3" xfId="43327"/>
    <cellStyle name="Percent 100 3 2" xfId="43328"/>
    <cellStyle name="Percent 100 3 2 2" xfId="43329"/>
    <cellStyle name="Percent 100 3 3" xfId="43330"/>
    <cellStyle name="Percent 100 4" xfId="43331"/>
    <cellStyle name="Percent 100 4 2" xfId="43332"/>
    <cellStyle name="Percent 100 4 2 2" xfId="43333"/>
    <cellStyle name="Percent 100 4 3" xfId="43334"/>
    <cellStyle name="Percent 101" xfId="43335"/>
    <cellStyle name="Percent 101 2" xfId="43336"/>
    <cellStyle name="Percent 101 3" xfId="43337"/>
    <cellStyle name="Percent 101 3 2" xfId="43338"/>
    <cellStyle name="Percent 101 3 2 2" xfId="43339"/>
    <cellStyle name="Percent 101 3 3" xfId="43340"/>
    <cellStyle name="Percent 101 4" xfId="43341"/>
    <cellStyle name="Percent 101 4 2" xfId="43342"/>
    <cellStyle name="Percent 101 4 2 2" xfId="43343"/>
    <cellStyle name="Percent 101 4 3" xfId="43344"/>
    <cellStyle name="Percent 102" xfId="43345"/>
    <cellStyle name="Percent 102 2" xfId="43346"/>
    <cellStyle name="Percent 102 3" xfId="43347"/>
    <cellStyle name="Percent 102 3 2" xfId="43348"/>
    <cellStyle name="Percent 102 3 2 2" xfId="43349"/>
    <cellStyle name="Percent 102 3 3" xfId="43350"/>
    <cellStyle name="Percent 102 4" xfId="43351"/>
    <cellStyle name="Percent 102 4 2" xfId="43352"/>
    <cellStyle name="Percent 102 4 2 2" xfId="43353"/>
    <cellStyle name="Percent 102 4 3" xfId="43354"/>
    <cellStyle name="Percent 103" xfId="43355"/>
    <cellStyle name="Percent 103 2" xfId="43356"/>
    <cellStyle name="Percent 103 3" xfId="43357"/>
    <cellStyle name="Percent 103 3 2" xfId="43358"/>
    <cellStyle name="Percent 103 3 2 2" xfId="43359"/>
    <cellStyle name="Percent 103 3 3" xfId="43360"/>
    <cellStyle name="Percent 103 4" xfId="43361"/>
    <cellStyle name="Percent 103 4 2" xfId="43362"/>
    <cellStyle name="Percent 103 4 2 2" xfId="43363"/>
    <cellStyle name="Percent 103 4 3" xfId="43364"/>
    <cellStyle name="Percent 104" xfId="43365"/>
    <cellStyle name="Percent 104 2" xfId="43366"/>
    <cellStyle name="Percent 104 3" xfId="43367"/>
    <cellStyle name="Percent 104 3 2" xfId="43368"/>
    <cellStyle name="Percent 104 3 2 2" xfId="43369"/>
    <cellStyle name="Percent 104 3 3" xfId="43370"/>
    <cellStyle name="Percent 104 4" xfId="43371"/>
    <cellStyle name="Percent 104 4 2" xfId="43372"/>
    <cellStyle name="Percent 104 4 2 2" xfId="43373"/>
    <cellStyle name="Percent 104 4 3" xfId="43374"/>
    <cellStyle name="Percent 105" xfId="43375"/>
    <cellStyle name="Percent 105 2" xfId="43376"/>
    <cellStyle name="Percent 105 3" xfId="43377"/>
    <cellStyle name="Percent 105 3 2" xfId="43378"/>
    <cellStyle name="Percent 105 3 2 2" xfId="43379"/>
    <cellStyle name="Percent 105 3 3" xfId="43380"/>
    <cellStyle name="Percent 105 4" xfId="43381"/>
    <cellStyle name="Percent 105 4 2" xfId="43382"/>
    <cellStyle name="Percent 105 4 2 2" xfId="43383"/>
    <cellStyle name="Percent 105 4 3" xfId="43384"/>
    <cellStyle name="Percent 106" xfId="43385"/>
    <cellStyle name="Percent 106 2" xfId="43386"/>
    <cellStyle name="Percent 106 3" xfId="43387"/>
    <cellStyle name="Percent 106 3 2" xfId="43388"/>
    <cellStyle name="Percent 106 3 2 2" xfId="43389"/>
    <cellStyle name="Percent 106 3 3" xfId="43390"/>
    <cellStyle name="Percent 106 4" xfId="43391"/>
    <cellStyle name="Percent 106 4 2" xfId="43392"/>
    <cellStyle name="Percent 106 4 2 2" xfId="43393"/>
    <cellStyle name="Percent 106 4 3" xfId="43394"/>
    <cellStyle name="Percent 107" xfId="43395"/>
    <cellStyle name="Percent 107 2" xfId="43396"/>
    <cellStyle name="Percent 107 3" xfId="43397"/>
    <cellStyle name="Percent 107 3 2" xfId="43398"/>
    <cellStyle name="Percent 107 3 2 2" xfId="43399"/>
    <cellStyle name="Percent 107 3 3" xfId="43400"/>
    <cellStyle name="Percent 108" xfId="43401"/>
    <cellStyle name="Percent 108 2" xfId="43402"/>
    <cellStyle name="Percent 108 3" xfId="43403"/>
    <cellStyle name="Percent 108 3 2" xfId="43404"/>
    <cellStyle name="Percent 108 3 2 2" xfId="43405"/>
    <cellStyle name="Percent 108 3 3" xfId="43406"/>
    <cellStyle name="Percent 109" xfId="43407"/>
    <cellStyle name="Percent 109 2" xfId="43408"/>
    <cellStyle name="Percent 109 3" xfId="43409"/>
    <cellStyle name="Percent 109 3 2" xfId="43410"/>
    <cellStyle name="Percent 109 3 2 2" xfId="43411"/>
    <cellStyle name="Percent 109 3 3" xfId="43412"/>
    <cellStyle name="Percent 11" xfId="43413"/>
    <cellStyle name="Percent 11 2" xfId="43414"/>
    <cellStyle name="Percent 11 3" xfId="43415"/>
    <cellStyle name="Percent 11 3 2" xfId="43416"/>
    <cellStyle name="Percent 11 3 2 2" xfId="43417"/>
    <cellStyle name="Percent 11 3 3" xfId="43418"/>
    <cellStyle name="Percent 11 4" xfId="43419"/>
    <cellStyle name="Percent 11 4 2" xfId="43420"/>
    <cellStyle name="Percent 11 4 2 2" xfId="43421"/>
    <cellStyle name="Percent 11 4 3" xfId="43422"/>
    <cellStyle name="Percent 110" xfId="43423"/>
    <cellStyle name="Percent 111" xfId="43424"/>
    <cellStyle name="Percent 112" xfId="43425"/>
    <cellStyle name="Percent 113" xfId="43426"/>
    <cellStyle name="Percent 114" xfId="43427"/>
    <cellStyle name="Percent 115" xfId="43428"/>
    <cellStyle name="Percent 116" xfId="43429"/>
    <cellStyle name="Percent 117" xfId="43430"/>
    <cellStyle name="Percent 118" xfId="43431"/>
    <cellStyle name="Percent 119" xfId="43432"/>
    <cellStyle name="Percent 12" xfId="43433"/>
    <cellStyle name="Percent 12 2" xfId="43434"/>
    <cellStyle name="Percent 12 3" xfId="43435"/>
    <cellStyle name="Percent 12 3 2" xfId="43436"/>
    <cellStyle name="Percent 12 3 2 2" xfId="43437"/>
    <cellStyle name="Percent 12 3 3" xfId="43438"/>
    <cellStyle name="Percent 12 4" xfId="43439"/>
    <cellStyle name="Percent 12 4 2" xfId="43440"/>
    <cellStyle name="Percent 12 4 2 2" xfId="43441"/>
    <cellStyle name="Percent 12 4 3" xfId="43442"/>
    <cellStyle name="Percent 120" xfId="43443"/>
    <cellStyle name="Percent 121" xfId="43444"/>
    <cellStyle name="Percent 122" xfId="43445"/>
    <cellStyle name="Percent 123" xfId="43446"/>
    <cellStyle name="Percent 124" xfId="43447"/>
    <cellStyle name="Percent 125" xfId="43448"/>
    <cellStyle name="Percent 126" xfId="43449"/>
    <cellStyle name="Percent 127" xfId="43450"/>
    <cellStyle name="Percent 128" xfId="43451"/>
    <cellStyle name="Percent 129" xfId="43452"/>
    <cellStyle name="Percent 13" xfId="43453"/>
    <cellStyle name="Percent 13 2" xfId="43454"/>
    <cellStyle name="Percent 13 3" xfId="43455"/>
    <cellStyle name="Percent 13 3 2" xfId="43456"/>
    <cellStyle name="Percent 13 3 2 2" xfId="43457"/>
    <cellStyle name="Percent 13 3 3" xfId="43458"/>
    <cellStyle name="Percent 13 4" xfId="43459"/>
    <cellStyle name="Percent 13 4 2" xfId="43460"/>
    <cellStyle name="Percent 13 4 2 2" xfId="43461"/>
    <cellStyle name="Percent 13 4 3" xfId="43462"/>
    <cellStyle name="Percent 130" xfId="43463"/>
    <cellStyle name="Percent 131" xfId="43464"/>
    <cellStyle name="Percent 132" xfId="43465"/>
    <cellStyle name="Percent 133" xfId="43466"/>
    <cellStyle name="Percent 134" xfId="43467"/>
    <cellStyle name="Percent 135" xfId="43468"/>
    <cellStyle name="Percent 136" xfId="43469"/>
    <cellStyle name="Percent 137" xfId="43470"/>
    <cellStyle name="Percent 138" xfId="43471"/>
    <cellStyle name="Percent 139" xfId="43472"/>
    <cellStyle name="Percent 14" xfId="43473"/>
    <cellStyle name="Percent 14 2" xfId="43474"/>
    <cellStyle name="Percent 14 3" xfId="43475"/>
    <cellStyle name="Percent 14 3 2" xfId="43476"/>
    <cellStyle name="Percent 14 3 2 2" xfId="43477"/>
    <cellStyle name="Percent 14 3 3" xfId="43478"/>
    <cellStyle name="Percent 14 4" xfId="43479"/>
    <cellStyle name="Percent 14 4 2" xfId="43480"/>
    <cellStyle name="Percent 14 4 2 2" xfId="43481"/>
    <cellStyle name="Percent 14 4 3" xfId="43482"/>
    <cellStyle name="Percent 140" xfId="43483"/>
    <cellStyle name="Percent 141" xfId="43484"/>
    <cellStyle name="Percent 142" xfId="43485"/>
    <cellStyle name="Percent 143" xfId="43486"/>
    <cellStyle name="Percent 144" xfId="43487"/>
    <cellStyle name="Percent 145" xfId="43488"/>
    <cellStyle name="Percent 146" xfId="43489"/>
    <cellStyle name="Percent 147" xfId="43490"/>
    <cellStyle name="Percent 148" xfId="43491"/>
    <cellStyle name="Percent 149" xfId="43492"/>
    <cellStyle name="Percent 15" xfId="43493"/>
    <cellStyle name="Percent 15 2" xfId="43494"/>
    <cellStyle name="Percent 15 3" xfId="43495"/>
    <cellStyle name="Percent 15 3 2" xfId="43496"/>
    <cellStyle name="Percent 15 3 2 2" xfId="43497"/>
    <cellStyle name="Percent 15 3 3" xfId="43498"/>
    <cellStyle name="Percent 15 4" xfId="43499"/>
    <cellStyle name="Percent 15 4 2" xfId="43500"/>
    <cellStyle name="Percent 15 4 2 2" xfId="43501"/>
    <cellStyle name="Percent 15 4 3" xfId="43502"/>
    <cellStyle name="Percent 150" xfId="668"/>
    <cellStyle name="Percent 151" xfId="53871"/>
    <cellStyle name="Percent 152" xfId="53875"/>
    <cellStyle name="Percent 153" xfId="53878"/>
    <cellStyle name="Percent 154" xfId="53881"/>
    <cellStyle name="Percent 155" xfId="53884"/>
    <cellStyle name="Percent 156" xfId="53894"/>
    <cellStyle name="Percent 16" xfId="43503"/>
    <cellStyle name="Percent 16 2" xfId="43504"/>
    <cellStyle name="Percent 16 3" xfId="43505"/>
    <cellStyle name="Percent 16 3 2" xfId="43506"/>
    <cellStyle name="Percent 16 3 2 2" xfId="43507"/>
    <cellStyle name="Percent 16 3 3" xfId="43508"/>
    <cellStyle name="Percent 16 4" xfId="43509"/>
    <cellStyle name="Percent 16 4 2" xfId="43510"/>
    <cellStyle name="Percent 16 4 2 2" xfId="43511"/>
    <cellStyle name="Percent 16 4 3" xfId="43512"/>
    <cellStyle name="Percent 17" xfId="43513"/>
    <cellStyle name="Percent 17 2" xfId="43514"/>
    <cellStyle name="Percent 17 3" xfId="43515"/>
    <cellStyle name="Percent 17 3 2" xfId="43516"/>
    <cellStyle name="Percent 17 3 2 2" xfId="43517"/>
    <cellStyle name="Percent 17 3 3" xfId="43518"/>
    <cellStyle name="Percent 17 4" xfId="43519"/>
    <cellStyle name="Percent 17 4 2" xfId="43520"/>
    <cellStyle name="Percent 17 4 2 2" xfId="43521"/>
    <cellStyle name="Percent 17 4 3" xfId="43522"/>
    <cellStyle name="Percent 18" xfId="43523"/>
    <cellStyle name="Percent 18 2" xfId="43524"/>
    <cellStyle name="Percent 18 3" xfId="43525"/>
    <cellStyle name="Percent 18 3 2" xfId="43526"/>
    <cellStyle name="Percent 18 3 2 2" xfId="43527"/>
    <cellStyle name="Percent 18 3 3" xfId="43528"/>
    <cellStyle name="Percent 18 4" xfId="43529"/>
    <cellStyle name="Percent 18 4 2" xfId="43530"/>
    <cellStyle name="Percent 18 4 2 2" xfId="43531"/>
    <cellStyle name="Percent 18 4 3" xfId="43532"/>
    <cellStyle name="Percent 19" xfId="43533"/>
    <cellStyle name="Percent 19 2" xfId="43534"/>
    <cellStyle name="Percent 19 3" xfId="43535"/>
    <cellStyle name="Percent 19 3 2" xfId="43536"/>
    <cellStyle name="Percent 19 3 2 2" xfId="43537"/>
    <cellStyle name="Percent 19 3 3" xfId="43538"/>
    <cellStyle name="Percent 19 4" xfId="43539"/>
    <cellStyle name="Percent 19 4 2" xfId="43540"/>
    <cellStyle name="Percent 19 4 2 2" xfId="43541"/>
    <cellStyle name="Percent 19 4 3" xfId="43542"/>
    <cellStyle name="Percent 2" xfId="37"/>
    <cellStyle name="Percent 2 2" xfId="43544"/>
    <cellStyle name="Percent 2 2 2" xfId="43545"/>
    <cellStyle name="Percent 2 2 3" xfId="43546"/>
    <cellStyle name="Percent 2 2 3 2" xfId="43547"/>
    <cellStyle name="Percent 2 2 3 2 2" xfId="43548"/>
    <cellStyle name="Percent 2 2 3 3" xfId="43549"/>
    <cellStyle name="Percent 2 2 4" xfId="43550"/>
    <cellStyle name="Percent 2 2 4 2" xfId="43551"/>
    <cellStyle name="Percent 2 2 4 2 2" xfId="43552"/>
    <cellStyle name="Percent 2 2 4 3" xfId="43553"/>
    <cellStyle name="Percent 2 3" xfId="43554"/>
    <cellStyle name="Percent 2 4" xfId="43555"/>
    <cellStyle name="Percent 2 4 2" xfId="43556"/>
    <cellStyle name="Percent 2 4 2 2" xfId="43557"/>
    <cellStyle name="Percent 2 4 3" xfId="43558"/>
    <cellStyle name="Percent 2 5" xfId="43559"/>
    <cellStyle name="Percent 2 5 2" xfId="43560"/>
    <cellStyle name="Percent 2 5 2 2" xfId="43561"/>
    <cellStyle name="Percent 2 5 3" xfId="43562"/>
    <cellStyle name="Percent 2 6" xfId="43543"/>
    <cellStyle name="Percent 20" xfId="43563"/>
    <cellStyle name="Percent 20 2" xfId="43564"/>
    <cellStyle name="Percent 20 3" xfId="43565"/>
    <cellStyle name="Percent 20 3 2" xfId="43566"/>
    <cellStyle name="Percent 20 3 2 2" xfId="43567"/>
    <cellStyle name="Percent 20 3 3" xfId="43568"/>
    <cellStyle name="Percent 20 4" xfId="43569"/>
    <cellStyle name="Percent 20 4 2" xfId="43570"/>
    <cellStyle name="Percent 20 4 2 2" xfId="43571"/>
    <cellStyle name="Percent 20 4 3" xfId="43572"/>
    <cellStyle name="Percent 21" xfId="43573"/>
    <cellStyle name="Percent 21 2" xfId="43574"/>
    <cellStyle name="Percent 21 3" xfId="43575"/>
    <cellStyle name="Percent 21 3 2" xfId="43576"/>
    <cellStyle name="Percent 21 3 2 2" xfId="43577"/>
    <cellStyle name="Percent 21 3 3" xfId="43578"/>
    <cellStyle name="Percent 21 4" xfId="43579"/>
    <cellStyle name="Percent 21 4 2" xfId="43580"/>
    <cellStyle name="Percent 21 4 2 2" xfId="43581"/>
    <cellStyle name="Percent 21 4 3" xfId="43582"/>
    <cellStyle name="Percent 22" xfId="43583"/>
    <cellStyle name="Percent 22 2" xfId="43584"/>
    <cellStyle name="Percent 22 3" xfId="43585"/>
    <cellStyle name="Percent 22 3 2" xfId="43586"/>
    <cellStyle name="Percent 22 3 2 2" xfId="43587"/>
    <cellStyle name="Percent 22 3 3" xfId="43588"/>
    <cellStyle name="Percent 22 4" xfId="43589"/>
    <cellStyle name="Percent 22 4 2" xfId="43590"/>
    <cellStyle name="Percent 22 4 2 2" xfId="43591"/>
    <cellStyle name="Percent 22 4 3" xfId="43592"/>
    <cellStyle name="Percent 23" xfId="43593"/>
    <cellStyle name="Percent 23 2" xfId="43594"/>
    <cellStyle name="Percent 23 3" xfId="43595"/>
    <cellStyle name="Percent 23 3 2" xfId="43596"/>
    <cellStyle name="Percent 23 3 2 2" xfId="43597"/>
    <cellStyle name="Percent 23 3 3" xfId="43598"/>
    <cellStyle name="Percent 23 4" xfId="43599"/>
    <cellStyle name="Percent 23 4 2" xfId="43600"/>
    <cellStyle name="Percent 23 4 2 2" xfId="43601"/>
    <cellStyle name="Percent 23 4 3" xfId="43602"/>
    <cellStyle name="Percent 24" xfId="43603"/>
    <cellStyle name="Percent 24 2" xfId="43604"/>
    <cellStyle name="Percent 24 3" xfId="43605"/>
    <cellStyle name="Percent 24 3 2" xfId="43606"/>
    <cellStyle name="Percent 24 3 2 2" xfId="43607"/>
    <cellStyle name="Percent 24 3 3" xfId="43608"/>
    <cellStyle name="Percent 24 4" xfId="43609"/>
    <cellStyle name="Percent 24 4 2" xfId="43610"/>
    <cellStyle name="Percent 24 4 2 2" xfId="43611"/>
    <cellStyle name="Percent 24 4 3" xfId="43612"/>
    <cellStyle name="Percent 25" xfId="43613"/>
    <cellStyle name="Percent 25 2" xfId="43614"/>
    <cellStyle name="Percent 25 3" xfId="43615"/>
    <cellStyle name="Percent 25 3 2" xfId="43616"/>
    <cellStyle name="Percent 25 3 2 2" xfId="43617"/>
    <cellStyle name="Percent 25 3 3" xfId="43618"/>
    <cellStyle name="Percent 25 4" xfId="43619"/>
    <cellStyle name="Percent 25 4 2" xfId="43620"/>
    <cellStyle name="Percent 25 4 2 2" xfId="43621"/>
    <cellStyle name="Percent 25 4 3" xfId="43622"/>
    <cellStyle name="Percent 26" xfId="43623"/>
    <cellStyle name="Percent 26 2" xfId="43624"/>
    <cellStyle name="Percent 26 3" xfId="43625"/>
    <cellStyle name="Percent 26 3 2" xfId="43626"/>
    <cellStyle name="Percent 26 3 2 2" xfId="43627"/>
    <cellStyle name="Percent 26 3 3" xfId="43628"/>
    <cellStyle name="Percent 26 4" xfId="43629"/>
    <cellStyle name="Percent 26 4 2" xfId="43630"/>
    <cellStyle name="Percent 26 4 2 2" xfId="43631"/>
    <cellStyle name="Percent 26 4 3" xfId="43632"/>
    <cellStyle name="Percent 27" xfId="43633"/>
    <cellStyle name="Percent 27 2" xfId="43634"/>
    <cellStyle name="Percent 27 3" xfId="43635"/>
    <cellStyle name="Percent 27 3 2" xfId="43636"/>
    <cellStyle name="Percent 27 3 2 2" xfId="43637"/>
    <cellStyle name="Percent 27 3 3" xfId="43638"/>
    <cellStyle name="Percent 27 4" xfId="43639"/>
    <cellStyle name="Percent 27 4 2" xfId="43640"/>
    <cellStyle name="Percent 27 4 2 2" xfId="43641"/>
    <cellStyle name="Percent 27 4 3" xfId="43642"/>
    <cellStyle name="Percent 28" xfId="43643"/>
    <cellStyle name="Percent 28 2" xfId="43644"/>
    <cellStyle name="Percent 28 3" xfId="43645"/>
    <cellStyle name="Percent 28 3 2" xfId="43646"/>
    <cellStyle name="Percent 28 3 2 2" xfId="43647"/>
    <cellStyle name="Percent 28 3 3" xfId="43648"/>
    <cellStyle name="Percent 28 4" xfId="43649"/>
    <cellStyle name="Percent 28 4 2" xfId="43650"/>
    <cellStyle name="Percent 28 4 2 2" xfId="43651"/>
    <cellStyle name="Percent 28 4 3" xfId="43652"/>
    <cellStyle name="Percent 29" xfId="43653"/>
    <cellStyle name="Percent 29 2" xfId="43654"/>
    <cellStyle name="Percent 29 3" xfId="43655"/>
    <cellStyle name="Percent 29 3 2" xfId="43656"/>
    <cellStyle name="Percent 29 3 2 2" xfId="43657"/>
    <cellStyle name="Percent 29 3 3" xfId="43658"/>
    <cellStyle name="Percent 29 4" xfId="43659"/>
    <cellStyle name="Percent 29 4 2" xfId="43660"/>
    <cellStyle name="Percent 29 4 2 2" xfId="43661"/>
    <cellStyle name="Percent 29 4 3" xfId="43662"/>
    <cellStyle name="Percent 3" xfId="38"/>
    <cellStyle name="Percent 3 2" xfId="105"/>
    <cellStyle name="Percent 3 2 2" xfId="43664"/>
    <cellStyle name="Percent 3 2 3" xfId="43665"/>
    <cellStyle name="Percent 3 2 3 2" xfId="43666"/>
    <cellStyle name="Percent 3 2 3 2 2" xfId="43667"/>
    <cellStyle name="Percent 3 2 3 3" xfId="43668"/>
    <cellStyle name="Percent 3 2 4" xfId="43669"/>
    <cellStyle name="Percent 3 2 4 2" xfId="43670"/>
    <cellStyle name="Percent 3 2 4 2 2" xfId="43671"/>
    <cellStyle name="Percent 3 2 4 3" xfId="43672"/>
    <cellStyle name="Percent 3 3" xfId="133"/>
    <cellStyle name="Percent 3 3 2" xfId="43674"/>
    <cellStyle name="Percent 3 3 2 2" xfId="43675"/>
    <cellStyle name="Percent 3 3 3" xfId="43676"/>
    <cellStyle name="Percent 3 3 3 2" xfId="43677"/>
    <cellStyle name="Percent 3 3 3 2 2" xfId="43678"/>
    <cellStyle name="Percent 3 3 3 3" xfId="43679"/>
    <cellStyle name="Percent 3 3 4" xfId="43680"/>
    <cellStyle name="Percent 3 3 4 2" xfId="43681"/>
    <cellStyle name="Percent 3 3 4 2 2" xfId="43682"/>
    <cellStyle name="Percent 3 3 4 3" xfId="43683"/>
    <cellStyle name="Percent 3 3 5" xfId="43684"/>
    <cellStyle name="Percent 3 3 6" xfId="43673"/>
    <cellStyle name="Percent 3 4" xfId="43685"/>
    <cellStyle name="Percent 3 5" xfId="43686"/>
    <cellStyle name="Percent 3 5 2" xfId="43687"/>
    <cellStyle name="Percent 3 5 2 2" xfId="43688"/>
    <cellStyle name="Percent 3 5 3" xfId="43689"/>
    <cellStyle name="Percent 3 6" xfId="43690"/>
    <cellStyle name="Percent 3 6 2" xfId="43691"/>
    <cellStyle name="Percent 3 6 2 2" xfId="43692"/>
    <cellStyle name="Percent 3 6 3" xfId="43693"/>
    <cellStyle name="Percent 3 7" xfId="43663"/>
    <cellStyle name="Percent 30" xfId="43694"/>
    <cellStyle name="Percent 30 2" xfId="43695"/>
    <cellStyle name="Percent 30 3" xfId="43696"/>
    <cellStyle name="Percent 30 3 2" xfId="43697"/>
    <cellStyle name="Percent 30 3 2 2" xfId="43698"/>
    <cellStyle name="Percent 30 3 3" xfId="43699"/>
    <cellStyle name="Percent 30 4" xfId="43700"/>
    <cellStyle name="Percent 30 4 2" xfId="43701"/>
    <cellStyle name="Percent 30 4 2 2" xfId="43702"/>
    <cellStyle name="Percent 30 4 3" xfId="43703"/>
    <cellStyle name="Percent 31" xfId="43704"/>
    <cellStyle name="Percent 31 2" xfId="43705"/>
    <cellStyle name="Percent 31 3" xfId="43706"/>
    <cellStyle name="Percent 31 3 2" xfId="43707"/>
    <cellStyle name="Percent 31 3 2 2" xfId="43708"/>
    <cellStyle name="Percent 31 3 3" xfId="43709"/>
    <cellStyle name="Percent 31 4" xfId="43710"/>
    <cellStyle name="Percent 31 4 2" xfId="43711"/>
    <cellStyle name="Percent 31 4 2 2" xfId="43712"/>
    <cellStyle name="Percent 31 4 3" xfId="43713"/>
    <cellStyle name="Percent 32" xfId="43714"/>
    <cellStyle name="Percent 32 2" xfId="43715"/>
    <cellStyle name="Percent 32 3" xfId="43716"/>
    <cellStyle name="Percent 32 3 2" xfId="43717"/>
    <cellStyle name="Percent 32 3 2 2" xfId="43718"/>
    <cellStyle name="Percent 32 3 3" xfId="43719"/>
    <cellStyle name="Percent 32 4" xfId="43720"/>
    <cellStyle name="Percent 32 4 2" xfId="43721"/>
    <cellStyle name="Percent 32 4 2 2" xfId="43722"/>
    <cellStyle name="Percent 32 4 3" xfId="43723"/>
    <cellStyle name="Percent 33" xfId="43724"/>
    <cellStyle name="Percent 33 2" xfId="43725"/>
    <cellStyle name="Percent 33 3" xfId="43726"/>
    <cellStyle name="Percent 33 3 2" xfId="43727"/>
    <cellStyle name="Percent 33 3 2 2" xfId="43728"/>
    <cellStyle name="Percent 33 3 3" xfId="43729"/>
    <cellStyle name="Percent 33 4" xfId="43730"/>
    <cellStyle name="Percent 33 4 2" xfId="43731"/>
    <cellStyle name="Percent 33 4 2 2" xfId="43732"/>
    <cellStyle name="Percent 33 4 3" xfId="43733"/>
    <cellStyle name="Percent 34" xfId="43734"/>
    <cellStyle name="Percent 34 2" xfId="43735"/>
    <cellStyle name="Percent 34 3" xfId="43736"/>
    <cellStyle name="Percent 34 3 2" xfId="43737"/>
    <cellStyle name="Percent 34 3 2 2" xfId="43738"/>
    <cellStyle name="Percent 34 3 3" xfId="43739"/>
    <cellStyle name="Percent 34 4" xfId="43740"/>
    <cellStyle name="Percent 34 4 2" xfId="43741"/>
    <cellStyle name="Percent 34 4 2 2" xfId="43742"/>
    <cellStyle name="Percent 34 4 3" xfId="43743"/>
    <cellStyle name="Percent 35" xfId="43744"/>
    <cellStyle name="Percent 35 2" xfId="43745"/>
    <cellStyle name="Percent 35 3" xfId="43746"/>
    <cellStyle name="Percent 35 3 2" xfId="43747"/>
    <cellStyle name="Percent 35 3 2 2" xfId="43748"/>
    <cellStyle name="Percent 35 3 3" xfId="43749"/>
    <cellStyle name="Percent 35 4" xfId="43750"/>
    <cellStyle name="Percent 35 4 2" xfId="43751"/>
    <cellStyle name="Percent 35 4 2 2" xfId="43752"/>
    <cellStyle name="Percent 35 4 3" xfId="43753"/>
    <cellStyle name="Percent 36" xfId="43754"/>
    <cellStyle name="Percent 36 2" xfId="43755"/>
    <cellStyle name="Percent 36 3" xfId="43756"/>
    <cellStyle name="Percent 36 3 2" xfId="43757"/>
    <cellStyle name="Percent 36 3 2 2" xfId="43758"/>
    <cellStyle name="Percent 36 3 3" xfId="43759"/>
    <cellStyle name="Percent 36 4" xfId="43760"/>
    <cellStyle name="Percent 36 4 2" xfId="43761"/>
    <cellStyle name="Percent 36 4 2 2" xfId="43762"/>
    <cellStyle name="Percent 36 4 3" xfId="43763"/>
    <cellStyle name="Percent 37" xfId="43764"/>
    <cellStyle name="Percent 37 2" xfId="43765"/>
    <cellStyle name="Percent 37 3" xfId="43766"/>
    <cellStyle name="Percent 37 3 2" xfId="43767"/>
    <cellStyle name="Percent 37 3 2 2" xfId="43768"/>
    <cellStyle name="Percent 37 3 3" xfId="43769"/>
    <cellStyle name="Percent 37 4" xfId="43770"/>
    <cellStyle name="Percent 37 4 2" xfId="43771"/>
    <cellStyle name="Percent 37 4 2 2" xfId="43772"/>
    <cellStyle name="Percent 37 4 3" xfId="43773"/>
    <cellStyle name="Percent 38" xfId="43774"/>
    <cellStyle name="Percent 38 2" xfId="43775"/>
    <cellStyle name="Percent 38 3" xfId="43776"/>
    <cellStyle name="Percent 38 3 2" xfId="43777"/>
    <cellStyle name="Percent 38 3 2 2" xfId="43778"/>
    <cellStyle name="Percent 38 3 3" xfId="43779"/>
    <cellStyle name="Percent 38 4" xfId="43780"/>
    <cellStyle name="Percent 38 4 2" xfId="43781"/>
    <cellStyle name="Percent 38 4 2 2" xfId="43782"/>
    <cellStyle name="Percent 38 4 3" xfId="43783"/>
    <cellStyle name="Percent 39" xfId="43784"/>
    <cellStyle name="Percent 39 2" xfId="43785"/>
    <cellStyle name="Percent 39 3" xfId="43786"/>
    <cellStyle name="Percent 39 3 2" xfId="43787"/>
    <cellStyle name="Percent 39 3 2 2" xfId="43788"/>
    <cellStyle name="Percent 39 3 3" xfId="43789"/>
    <cellStyle name="Percent 39 4" xfId="43790"/>
    <cellStyle name="Percent 39 4 2" xfId="43791"/>
    <cellStyle name="Percent 39 4 2 2" xfId="43792"/>
    <cellStyle name="Percent 39 4 3" xfId="43793"/>
    <cellStyle name="Percent 4" xfId="104"/>
    <cellStyle name="Percent 4 2" xfId="43795"/>
    <cellStyle name="Percent 4 2 2" xfId="43796"/>
    <cellStyle name="Percent 4 2 3" xfId="43797"/>
    <cellStyle name="Percent 4 2 3 2" xfId="43798"/>
    <cellStyle name="Percent 4 2 3 2 2" xfId="43799"/>
    <cellStyle name="Percent 4 2 3 3" xfId="43800"/>
    <cellStyle name="Percent 4 2 4" xfId="43801"/>
    <cellStyle name="Percent 4 2 4 2" xfId="43802"/>
    <cellStyle name="Percent 4 2 4 2 2" xfId="43803"/>
    <cellStyle name="Percent 4 2 4 3" xfId="43804"/>
    <cellStyle name="Percent 4 3" xfId="43805"/>
    <cellStyle name="Percent 4 3 2" xfId="43806"/>
    <cellStyle name="Percent 4 3 3" xfId="43807"/>
    <cellStyle name="Percent 4 3 3 2" xfId="43808"/>
    <cellStyle name="Percent 4 3 3 2 2" xfId="43809"/>
    <cellStyle name="Percent 4 3 3 3" xfId="43810"/>
    <cellStyle name="Percent 4 3 4" xfId="43811"/>
    <cellStyle name="Percent 4 3 4 2" xfId="43812"/>
    <cellStyle name="Percent 4 3 4 2 2" xfId="43813"/>
    <cellStyle name="Percent 4 3 4 3" xfId="43814"/>
    <cellStyle name="Percent 4 4" xfId="43815"/>
    <cellStyle name="Percent 4 5" xfId="43816"/>
    <cellStyle name="Percent 4 5 2" xfId="43817"/>
    <cellStyle name="Percent 4 5 2 2" xfId="43818"/>
    <cellStyle name="Percent 4 5 3" xfId="43819"/>
    <cellStyle name="Percent 4 6" xfId="43820"/>
    <cellStyle name="Percent 4 6 2" xfId="43821"/>
    <cellStyle name="Percent 4 6 2 2" xfId="43822"/>
    <cellStyle name="Percent 4 6 3" xfId="43823"/>
    <cellStyle name="Percent 4 7" xfId="43794"/>
    <cellStyle name="Percent 40" xfId="43824"/>
    <cellStyle name="Percent 40 2" xfId="43825"/>
    <cellStyle name="Percent 40 3" xfId="43826"/>
    <cellStyle name="Percent 40 3 2" xfId="43827"/>
    <cellStyle name="Percent 40 3 2 2" xfId="43828"/>
    <cellStyle name="Percent 40 3 3" xfId="43829"/>
    <cellStyle name="Percent 40 4" xfId="43830"/>
    <cellStyle name="Percent 40 4 2" xfId="43831"/>
    <cellStyle name="Percent 40 4 2 2" xfId="43832"/>
    <cellStyle name="Percent 40 4 3" xfId="43833"/>
    <cellStyle name="Percent 41" xfId="43834"/>
    <cellStyle name="Percent 41 2" xfId="43835"/>
    <cellStyle name="Percent 41 3" xfId="43836"/>
    <cellStyle name="Percent 41 3 2" xfId="43837"/>
    <cellStyle name="Percent 41 3 2 2" xfId="43838"/>
    <cellStyle name="Percent 41 3 3" xfId="43839"/>
    <cellStyle name="Percent 41 4" xfId="43840"/>
    <cellStyle name="Percent 41 4 2" xfId="43841"/>
    <cellStyle name="Percent 41 4 2 2" xfId="43842"/>
    <cellStyle name="Percent 41 4 3" xfId="43843"/>
    <cellStyle name="Percent 42" xfId="43844"/>
    <cellStyle name="Percent 42 2" xfId="43845"/>
    <cellStyle name="Percent 42 3" xfId="43846"/>
    <cellStyle name="Percent 42 3 2" xfId="43847"/>
    <cellStyle name="Percent 42 3 2 2" xfId="43848"/>
    <cellStyle name="Percent 42 3 3" xfId="43849"/>
    <cellStyle name="Percent 42 4" xfId="43850"/>
    <cellStyle name="Percent 42 4 2" xfId="43851"/>
    <cellStyle name="Percent 42 4 2 2" xfId="43852"/>
    <cellStyle name="Percent 42 4 3" xfId="43853"/>
    <cellStyle name="Percent 43" xfId="43854"/>
    <cellStyle name="Percent 43 2" xfId="43855"/>
    <cellStyle name="Percent 43 3" xfId="43856"/>
    <cellStyle name="Percent 43 3 2" xfId="43857"/>
    <cellStyle name="Percent 43 3 2 2" xfId="43858"/>
    <cellStyle name="Percent 43 3 3" xfId="43859"/>
    <cellStyle name="Percent 43 4" xfId="43860"/>
    <cellStyle name="Percent 43 4 2" xfId="43861"/>
    <cellStyle name="Percent 43 4 2 2" xfId="43862"/>
    <cellStyle name="Percent 43 4 3" xfId="43863"/>
    <cellStyle name="Percent 44" xfId="43864"/>
    <cellStyle name="Percent 44 2" xfId="43865"/>
    <cellStyle name="Percent 44 3" xfId="43866"/>
    <cellStyle name="Percent 44 3 2" xfId="43867"/>
    <cellStyle name="Percent 44 3 2 2" xfId="43868"/>
    <cellStyle name="Percent 44 3 3" xfId="43869"/>
    <cellStyle name="Percent 44 4" xfId="43870"/>
    <cellStyle name="Percent 44 4 2" xfId="43871"/>
    <cellStyle name="Percent 44 4 2 2" xfId="43872"/>
    <cellStyle name="Percent 44 4 3" xfId="43873"/>
    <cellStyle name="Percent 45" xfId="43874"/>
    <cellStyle name="Percent 45 2" xfId="43875"/>
    <cellStyle name="Percent 45 3" xfId="43876"/>
    <cellStyle name="Percent 45 3 2" xfId="43877"/>
    <cellStyle name="Percent 45 3 2 2" xfId="43878"/>
    <cellStyle name="Percent 45 3 3" xfId="43879"/>
    <cellStyle name="Percent 45 4" xfId="43880"/>
    <cellStyle name="Percent 45 4 2" xfId="43881"/>
    <cellStyle name="Percent 45 4 2 2" xfId="43882"/>
    <cellStyle name="Percent 45 4 3" xfId="43883"/>
    <cellStyle name="Percent 46" xfId="43884"/>
    <cellStyle name="Percent 46 2" xfId="43885"/>
    <cellStyle name="Percent 46 3" xfId="43886"/>
    <cellStyle name="Percent 46 3 2" xfId="43887"/>
    <cellStyle name="Percent 46 3 2 2" xfId="43888"/>
    <cellStyle name="Percent 46 3 3" xfId="43889"/>
    <cellStyle name="Percent 46 4" xfId="43890"/>
    <cellStyle name="Percent 46 4 2" xfId="43891"/>
    <cellStyle name="Percent 46 4 2 2" xfId="43892"/>
    <cellStyle name="Percent 46 4 3" xfId="43893"/>
    <cellStyle name="Percent 47" xfId="43894"/>
    <cellStyle name="Percent 47 2" xfId="43895"/>
    <cellStyle name="Percent 47 3" xfId="43896"/>
    <cellStyle name="Percent 47 3 2" xfId="43897"/>
    <cellStyle name="Percent 47 3 2 2" xfId="43898"/>
    <cellStyle name="Percent 47 3 3" xfId="43899"/>
    <cellStyle name="Percent 47 4" xfId="43900"/>
    <cellStyle name="Percent 47 4 2" xfId="43901"/>
    <cellStyle name="Percent 47 4 2 2" xfId="43902"/>
    <cellStyle name="Percent 47 4 3" xfId="43903"/>
    <cellStyle name="Percent 48" xfId="43904"/>
    <cellStyle name="Percent 48 2" xfId="43905"/>
    <cellStyle name="Percent 48 3" xfId="43906"/>
    <cellStyle name="Percent 48 3 2" xfId="43907"/>
    <cellStyle name="Percent 48 3 2 2" xfId="43908"/>
    <cellStyle name="Percent 48 3 3" xfId="43909"/>
    <cellStyle name="Percent 48 4" xfId="43910"/>
    <cellStyle name="Percent 48 4 2" xfId="43911"/>
    <cellStyle name="Percent 48 4 2 2" xfId="43912"/>
    <cellStyle name="Percent 48 4 3" xfId="43913"/>
    <cellStyle name="Percent 49" xfId="43914"/>
    <cellStyle name="Percent 49 2" xfId="43915"/>
    <cellStyle name="Percent 49 3" xfId="43916"/>
    <cellStyle name="Percent 49 3 2" xfId="43917"/>
    <cellStyle name="Percent 49 3 2 2" xfId="43918"/>
    <cellStyle name="Percent 49 3 3" xfId="43919"/>
    <cellStyle name="Percent 49 4" xfId="43920"/>
    <cellStyle name="Percent 49 4 2" xfId="43921"/>
    <cellStyle name="Percent 49 4 2 2" xfId="43922"/>
    <cellStyle name="Percent 49 4 3" xfId="43923"/>
    <cellStyle name="Percent 5" xfId="140"/>
    <cellStyle name="Percent 5 2" xfId="43925"/>
    <cellStyle name="Percent 5 3" xfId="43926"/>
    <cellStyle name="Percent 5 3 2" xfId="43927"/>
    <cellStyle name="Percent 5 3 2 2" xfId="43928"/>
    <cellStyle name="Percent 5 3 3" xfId="43929"/>
    <cellStyle name="Percent 5 4" xfId="43930"/>
    <cellStyle name="Percent 5 4 2" xfId="43931"/>
    <cellStyle name="Percent 5 4 2 2" xfId="43932"/>
    <cellStyle name="Percent 5 4 3" xfId="43933"/>
    <cellStyle name="Percent 5 5" xfId="43924"/>
    <cellStyle name="Percent 50" xfId="43934"/>
    <cellStyle name="Percent 50 2" xfId="43935"/>
    <cellStyle name="Percent 50 3" xfId="43936"/>
    <cellStyle name="Percent 50 3 2" xfId="43937"/>
    <cellStyle name="Percent 50 3 2 2" xfId="43938"/>
    <cellStyle name="Percent 50 3 3" xfId="43939"/>
    <cellStyle name="Percent 50 4" xfId="43940"/>
    <cellStyle name="Percent 50 4 2" xfId="43941"/>
    <cellStyle name="Percent 50 4 2 2" xfId="43942"/>
    <cellStyle name="Percent 50 4 3" xfId="43943"/>
    <cellStyle name="Percent 51" xfId="43944"/>
    <cellStyle name="Percent 51 2" xfId="43945"/>
    <cellStyle name="Percent 51 3" xfId="43946"/>
    <cellStyle name="Percent 51 3 2" xfId="43947"/>
    <cellStyle name="Percent 51 3 2 2" xfId="43948"/>
    <cellStyle name="Percent 51 3 3" xfId="43949"/>
    <cellStyle name="Percent 51 4" xfId="43950"/>
    <cellStyle name="Percent 51 4 2" xfId="43951"/>
    <cellStyle name="Percent 51 4 2 2" xfId="43952"/>
    <cellStyle name="Percent 51 4 3" xfId="43953"/>
    <cellStyle name="Percent 52" xfId="43954"/>
    <cellStyle name="Percent 52 2" xfId="43955"/>
    <cellStyle name="Percent 52 3" xfId="43956"/>
    <cellStyle name="Percent 52 3 2" xfId="43957"/>
    <cellStyle name="Percent 52 3 2 2" xfId="43958"/>
    <cellStyle name="Percent 52 3 3" xfId="43959"/>
    <cellStyle name="Percent 52 4" xfId="43960"/>
    <cellStyle name="Percent 52 4 2" xfId="43961"/>
    <cellStyle name="Percent 52 4 2 2" xfId="43962"/>
    <cellStyle name="Percent 52 4 3" xfId="43963"/>
    <cellStyle name="Percent 53" xfId="43964"/>
    <cellStyle name="Percent 53 2" xfId="43965"/>
    <cellStyle name="Percent 53 3" xfId="43966"/>
    <cellStyle name="Percent 53 3 2" xfId="43967"/>
    <cellStyle name="Percent 53 3 2 2" xfId="43968"/>
    <cellStyle name="Percent 53 3 3" xfId="43969"/>
    <cellStyle name="Percent 53 4" xfId="43970"/>
    <cellStyle name="Percent 53 4 2" xfId="43971"/>
    <cellStyle name="Percent 53 4 2 2" xfId="43972"/>
    <cellStyle name="Percent 53 4 3" xfId="43973"/>
    <cellStyle name="Percent 54" xfId="43974"/>
    <cellStyle name="Percent 54 2" xfId="43975"/>
    <cellStyle name="Percent 54 3" xfId="43976"/>
    <cellStyle name="Percent 54 3 2" xfId="43977"/>
    <cellStyle name="Percent 54 3 2 2" xfId="43978"/>
    <cellStyle name="Percent 54 3 3" xfId="43979"/>
    <cellStyle name="Percent 54 4" xfId="43980"/>
    <cellStyle name="Percent 54 4 2" xfId="43981"/>
    <cellStyle name="Percent 54 4 2 2" xfId="43982"/>
    <cellStyle name="Percent 54 4 3" xfId="43983"/>
    <cellStyle name="Percent 55" xfId="43984"/>
    <cellStyle name="Percent 55 2" xfId="43985"/>
    <cellStyle name="Percent 55 3" xfId="43986"/>
    <cellStyle name="Percent 55 3 2" xfId="43987"/>
    <cellStyle name="Percent 55 3 2 2" xfId="43988"/>
    <cellStyle name="Percent 55 3 3" xfId="43989"/>
    <cellStyle name="Percent 55 4" xfId="43990"/>
    <cellStyle name="Percent 55 4 2" xfId="43991"/>
    <cellStyle name="Percent 55 4 2 2" xfId="43992"/>
    <cellStyle name="Percent 55 4 3" xfId="43993"/>
    <cellStyle name="Percent 56" xfId="43994"/>
    <cellStyle name="Percent 56 2" xfId="43995"/>
    <cellStyle name="Percent 56 3" xfId="43996"/>
    <cellStyle name="Percent 56 3 2" xfId="43997"/>
    <cellStyle name="Percent 56 3 2 2" xfId="43998"/>
    <cellStyle name="Percent 56 3 3" xfId="43999"/>
    <cellStyle name="Percent 56 4" xfId="44000"/>
    <cellStyle name="Percent 56 4 2" xfId="44001"/>
    <cellStyle name="Percent 56 4 2 2" xfId="44002"/>
    <cellStyle name="Percent 56 4 3" xfId="44003"/>
    <cellStyle name="Percent 57" xfId="44004"/>
    <cellStyle name="Percent 57 2" xfId="44005"/>
    <cellStyle name="Percent 57 3" xfId="44006"/>
    <cellStyle name="Percent 57 3 2" xfId="44007"/>
    <cellStyle name="Percent 57 3 2 2" xfId="44008"/>
    <cellStyle name="Percent 57 3 3" xfId="44009"/>
    <cellStyle name="Percent 57 4" xfId="44010"/>
    <cellStyle name="Percent 57 4 2" xfId="44011"/>
    <cellStyle name="Percent 57 4 2 2" xfId="44012"/>
    <cellStyle name="Percent 57 4 3" xfId="44013"/>
    <cellStyle name="Percent 58" xfId="44014"/>
    <cellStyle name="Percent 58 2" xfId="44015"/>
    <cellStyle name="Percent 58 3" xfId="44016"/>
    <cellStyle name="Percent 58 3 2" xfId="44017"/>
    <cellStyle name="Percent 58 3 2 2" xfId="44018"/>
    <cellStyle name="Percent 58 3 3" xfId="44019"/>
    <cellStyle name="Percent 58 4" xfId="44020"/>
    <cellStyle name="Percent 58 4 2" xfId="44021"/>
    <cellStyle name="Percent 58 4 2 2" xfId="44022"/>
    <cellStyle name="Percent 58 4 3" xfId="44023"/>
    <cellStyle name="Percent 59" xfId="44024"/>
    <cellStyle name="Percent 59 2" xfId="44025"/>
    <cellStyle name="Percent 59 3" xfId="44026"/>
    <cellStyle name="Percent 59 3 2" xfId="44027"/>
    <cellStyle name="Percent 59 3 2 2" xfId="44028"/>
    <cellStyle name="Percent 59 3 3" xfId="44029"/>
    <cellStyle name="Percent 59 4" xfId="44030"/>
    <cellStyle name="Percent 59 4 2" xfId="44031"/>
    <cellStyle name="Percent 59 4 2 2" xfId="44032"/>
    <cellStyle name="Percent 59 4 3" xfId="44033"/>
    <cellStyle name="Percent 6" xfId="245"/>
    <cellStyle name="Percent 6 2" xfId="255"/>
    <cellStyle name="Percent 6 3" xfId="44035"/>
    <cellStyle name="Percent 6 3 2" xfId="44036"/>
    <cellStyle name="Percent 6 3 2 2" xfId="44037"/>
    <cellStyle name="Percent 6 3 3" xfId="44038"/>
    <cellStyle name="Percent 6 4" xfId="44039"/>
    <cellStyle name="Percent 6 4 2" xfId="44040"/>
    <cellStyle name="Percent 6 4 2 2" xfId="44041"/>
    <cellStyle name="Percent 6 4 3" xfId="44042"/>
    <cellStyle name="Percent 6 5" xfId="44034"/>
    <cellStyle name="Percent 60" xfId="44043"/>
    <cellStyle name="Percent 60 2" xfId="44044"/>
    <cellStyle name="Percent 60 3" xfId="44045"/>
    <cellStyle name="Percent 60 3 2" xfId="44046"/>
    <cellStyle name="Percent 60 3 2 2" xfId="44047"/>
    <cellStyle name="Percent 60 3 3" xfId="44048"/>
    <cellStyle name="Percent 60 4" xfId="44049"/>
    <cellStyle name="Percent 60 4 2" xfId="44050"/>
    <cellStyle name="Percent 60 4 2 2" xfId="44051"/>
    <cellStyle name="Percent 60 4 3" xfId="44052"/>
    <cellStyle name="Percent 61" xfId="44053"/>
    <cellStyle name="Percent 61 2" xfId="44054"/>
    <cellStyle name="Percent 61 3" xfId="44055"/>
    <cellStyle name="Percent 61 3 2" xfId="44056"/>
    <cellStyle name="Percent 61 3 2 2" xfId="44057"/>
    <cellStyle name="Percent 61 3 3" xfId="44058"/>
    <cellStyle name="Percent 61 4" xfId="44059"/>
    <cellStyle name="Percent 61 4 2" xfId="44060"/>
    <cellStyle name="Percent 61 4 2 2" xfId="44061"/>
    <cellStyle name="Percent 61 4 3" xfId="44062"/>
    <cellStyle name="Percent 62" xfId="44063"/>
    <cellStyle name="Percent 62 2" xfId="44064"/>
    <cellStyle name="Percent 62 3" xfId="44065"/>
    <cellStyle name="Percent 62 3 2" xfId="44066"/>
    <cellStyle name="Percent 62 3 2 2" xfId="44067"/>
    <cellStyle name="Percent 62 3 3" xfId="44068"/>
    <cellStyle name="Percent 62 4" xfId="44069"/>
    <cellStyle name="Percent 62 4 2" xfId="44070"/>
    <cellStyle name="Percent 62 4 2 2" xfId="44071"/>
    <cellStyle name="Percent 62 4 3" xfId="44072"/>
    <cellStyle name="Percent 63" xfId="44073"/>
    <cellStyle name="Percent 63 2" xfId="44074"/>
    <cellStyle name="Percent 63 3" xfId="44075"/>
    <cellStyle name="Percent 63 3 2" xfId="44076"/>
    <cellStyle name="Percent 63 3 2 2" xfId="44077"/>
    <cellStyle name="Percent 63 3 3" xfId="44078"/>
    <cellStyle name="Percent 63 4" xfId="44079"/>
    <cellStyle name="Percent 63 4 2" xfId="44080"/>
    <cellStyle name="Percent 63 4 2 2" xfId="44081"/>
    <cellStyle name="Percent 63 4 3" xfId="44082"/>
    <cellStyle name="Percent 64" xfId="44083"/>
    <cellStyle name="Percent 64 2" xfId="44084"/>
    <cellStyle name="Percent 64 3" xfId="44085"/>
    <cellStyle name="Percent 64 3 2" xfId="44086"/>
    <cellStyle name="Percent 64 3 2 2" xfId="44087"/>
    <cellStyle name="Percent 64 3 3" xfId="44088"/>
    <cellStyle name="Percent 64 4" xfId="44089"/>
    <cellStyle name="Percent 64 4 2" xfId="44090"/>
    <cellStyle name="Percent 64 4 2 2" xfId="44091"/>
    <cellStyle name="Percent 64 4 3" xfId="44092"/>
    <cellStyle name="Percent 65" xfId="44093"/>
    <cellStyle name="Percent 65 2" xfId="44094"/>
    <cellStyle name="Percent 65 3" xfId="44095"/>
    <cellStyle name="Percent 65 3 2" xfId="44096"/>
    <cellStyle name="Percent 65 3 2 2" xfId="44097"/>
    <cellStyle name="Percent 65 3 3" xfId="44098"/>
    <cellStyle name="Percent 65 4" xfId="44099"/>
    <cellStyle name="Percent 65 4 2" xfId="44100"/>
    <cellStyle name="Percent 65 4 2 2" xfId="44101"/>
    <cellStyle name="Percent 65 4 3" xfId="44102"/>
    <cellStyle name="Percent 66" xfId="44103"/>
    <cellStyle name="Percent 66 2" xfId="44104"/>
    <cellStyle name="Percent 66 3" xfId="44105"/>
    <cellStyle name="Percent 66 3 2" xfId="44106"/>
    <cellStyle name="Percent 66 3 2 2" xfId="44107"/>
    <cellStyle name="Percent 66 3 3" xfId="44108"/>
    <cellStyle name="Percent 66 4" xfId="44109"/>
    <cellStyle name="Percent 66 4 2" xfId="44110"/>
    <cellStyle name="Percent 66 4 2 2" xfId="44111"/>
    <cellStyle name="Percent 66 4 3" xfId="44112"/>
    <cellStyle name="Percent 67" xfId="44113"/>
    <cellStyle name="Percent 67 2" xfId="44114"/>
    <cellStyle name="Percent 67 3" xfId="44115"/>
    <cellStyle name="Percent 67 3 2" xfId="44116"/>
    <cellStyle name="Percent 67 3 2 2" xfId="44117"/>
    <cellStyle name="Percent 67 3 3" xfId="44118"/>
    <cellStyle name="Percent 67 4" xfId="44119"/>
    <cellStyle name="Percent 67 4 2" xfId="44120"/>
    <cellStyle name="Percent 67 4 2 2" xfId="44121"/>
    <cellStyle name="Percent 67 4 3" xfId="44122"/>
    <cellStyle name="Percent 68" xfId="44123"/>
    <cellStyle name="Percent 68 2" xfId="44124"/>
    <cellStyle name="Percent 68 3" xfId="44125"/>
    <cellStyle name="Percent 68 3 2" xfId="44126"/>
    <cellStyle name="Percent 68 3 2 2" xfId="44127"/>
    <cellStyle name="Percent 68 3 3" xfId="44128"/>
    <cellStyle name="Percent 68 4" xfId="44129"/>
    <cellStyle name="Percent 68 4 2" xfId="44130"/>
    <cellStyle name="Percent 68 4 2 2" xfId="44131"/>
    <cellStyle name="Percent 68 4 3" xfId="44132"/>
    <cellStyle name="Percent 69" xfId="44133"/>
    <cellStyle name="Percent 69 2" xfId="44134"/>
    <cellStyle name="Percent 69 3" xfId="44135"/>
    <cellStyle name="Percent 69 3 2" xfId="44136"/>
    <cellStyle name="Percent 69 3 2 2" xfId="44137"/>
    <cellStyle name="Percent 69 3 3" xfId="44138"/>
    <cellStyle name="Percent 69 4" xfId="44139"/>
    <cellStyle name="Percent 69 4 2" xfId="44140"/>
    <cellStyle name="Percent 69 4 2 2" xfId="44141"/>
    <cellStyle name="Percent 69 4 3" xfId="44142"/>
    <cellStyle name="Percent 7" xfId="44143"/>
    <cellStyle name="Percent 7 2" xfId="44144"/>
    <cellStyle name="Percent 7 2 2" xfId="44145"/>
    <cellStyle name="Percent 7 2 2 2" xfId="44146"/>
    <cellStyle name="Percent 7 2 3" xfId="44147"/>
    <cellStyle name="Percent 7 2 3 2" xfId="44148"/>
    <cellStyle name="Percent 7 2 3 2 2" xfId="44149"/>
    <cellStyle name="Percent 7 2 3 3" xfId="44150"/>
    <cellStyle name="Percent 7 2 4" xfId="44151"/>
    <cellStyle name="Percent 7 3" xfId="44152"/>
    <cellStyle name="Percent 7 4" xfId="44153"/>
    <cellStyle name="Percent 7 4 2" xfId="44154"/>
    <cellStyle name="Percent 7 4 2 2" xfId="44155"/>
    <cellStyle name="Percent 7 4 3" xfId="44156"/>
    <cellStyle name="Percent 7 5" xfId="44157"/>
    <cellStyle name="Percent 7 5 2" xfId="44158"/>
    <cellStyle name="Percent 7 5 2 2" xfId="44159"/>
    <cellStyle name="Percent 7 5 3" xfId="44160"/>
    <cellStyle name="Percent 70" xfId="44161"/>
    <cellStyle name="Percent 70 2" xfId="44162"/>
    <cellStyle name="Percent 70 3" xfId="44163"/>
    <cellStyle name="Percent 70 3 2" xfId="44164"/>
    <cellStyle name="Percent 70 3 2 2" xfId="44165"/>
    <cellStyle name="Percent 70 3 3" xfId="44166"/>
    <cellStyle name="Percent 70 4" xfId="44167"/>
    <cellStyle name="Percent 70 4 2" xfId="44168"/>
    <cellStyle name="Percent 70 4 2 2" xfId="44169"/>
    <cellStyle name="Percent 70 4 3" xfId="44170"/>
    <cellStyle name="Percent 71" xfId="44171"/>
    <cellStyle name="Percent 71 2" xfId="44172"/>
    <cellStyle name="Percent 71 3" xfId="44173"/>
    <cellStyle name="Percent 71 3 2" xfId="44174"/>
    <cellStyle name="Percent 71 3 2 2" xfId="44175"/>
    <cellStyle name="Percent 71 3 3" xfId="44176"/>
    <cellStyle name="Percent 71 4" xfId="44177"/>
    <cellStyle name="Percent 71 4 2" xfId="44178"/>
    <cellStyle name="Percent 71 4 2 2" xfId="44179"/>
    <cellStyle name="Percent 71 4 3" xfId="44180"/>
    <cellStyle name="Percent 72" xfId="44181"/>
    <cellStyle name="Percent 72 2" xfId="44182"/>
    <cellStyle name="Percent 72 3" xfId="44183"/>
    <cellStyle name="Percent 72 3 2" xfId="44184"/>
    <cellStyle name="Percent 72 3 2 2" xfId="44185"/>
    <cellStyle name="Percent 72 3 3" xfId="44186"/>
    <cellStyle name="Percent 72 4" xfId="44187"/>
    <cellStyle name="Percent 72 4 2" xfId="44188"/>
    <cellStyle name="Percent 72 4 2 2" xfId="44189"/>
    <cellStyle name="Percent 72 4 3" xfId="44190"/>
    <cellStyle name="Percent 73" xfId="44191"/>
    <cellStyle name="Percent 73 2" xfId="44192"/>
    <cellStyle name="Percent 73 3" xfId="44193"/>
    <cellStyle name="Percent 73 3 2" xfId="44194"/>
    <cellStyle name="Percent 73 3 2 2" xfId="44195"/>
    <cellStyle name="Percent 73 3 3" xfId="44196"/>
    <cellStyle name="Percent 73 4" xfId="44197"/>
    <cellStyle name="Percent 73 4 2" xfId="44198"/>
    <cellStyle name="Percent 73 4 2 2" xfId="44199"/>
    <cellStyle name="Percent 73 4 3" xfId="44200"/>
    <cellStyle name="Percent 74" xfId="44201"/>
    <cellStyle name="Percent 74 2" xfId="44202"/>
    <cellStyle name="Percent 74 3" xfId="44203"/>
    <cellStyle name="Percent 74 3 2" xfId="44204"/>
    <cellStyle name="Percent 74 3 2 2" xfId="44205"/>
    <cellStyle name="Percent 74 3 3" xfId="44206"/>
    <cellStyle name="Percent 74 4" xfId="44207"/>
    <cellStyle name="Percent 74 4 2" xfId="44208"/>
    <cellStyle name="Percent 74 4 2 2" xfId="44209"/>
    <cellStyle name="Percent 74 4 3" xfId="44210"/>
    <cellStyle name="Percent 75" xfId="44211"/>
    <cellStyle name="Percent 75 2" xfId="44212"/>
    <cellStyle name="Percent 75 3" xfId="44213"/>
    <cellStyle name="Percent 75 3 2" xfId="44214"/>
    <cellStyle name="Percent 75 3 2 2" xfId="44215"/>
    <cellStyle name="Percent 75 3 3" xfId="44216"/>
    <cellStyle name="Percent 75 4" xfId="44217"/>
    <cellStyle name="Percent 75 4 2" xfId="44218"/>
    <cellStyle name="Percent 75 4 2 2" xfId="44219"/>
    <cellStyle name="Percent 75 4 3" xfId="44220"/>
    <cellStyle name="Percent 76" xfId="44221"/>
    <cellStyle name="Percent 76 2" xfId="44222"/>
    <cellStyle name="Percent 76 3" xfId="44223"/>
    <cellStyle name="Percent 76 3 2" xfId="44224"/>
    <cellStyle name="Percent 76 3 2 2" xfId="44225"/>
    <cellStyle name="Percent 76 3 3" xfId="44226"/>
    <cellStyle name="Percent 76 4" xfId="44227"/>
    <cellStyle name="Percent 76 4 2" xfId="44228"/>
    <cellStyle name="Percent 76 4 2 2" xfId="44229"/>
    <cellStyle name="Percent 76 4 3" xfId="44230"/>
    <cellStyle name="Percent 77" xfId="44231"/>
    <cellStyle name="Percent 77 2" xfId="44232"/>
    <cellStyle name="Percent 77 3" xfId="44233"/>
    <cellStyle name="Percent 77 3 2" xfId="44234"/>
    <cellStyle name="Percent 77 3 2 2" xfId="44235"/>
    <cellStyle name="Percent 77 3 3" xfId="44236"/>
    <cellStyle name="Percent 77 4" xfId="44237"/>
    <cellStyle name="Percent 77 4 2" xfId="44238"/>
    <cellStyle name="Percent 77 4 2 2" xfId="44239"/>
    <cellStyle name="Percent 77 4 3" xfId="44240"/>
    <cellStyle name="Percent 78" xfId="44241"/>
    <cellStyle name="Percent 78 2" xfId="44242"/>
    <cellStyle name="Percent 78 3" xfId="44243"/>
    <cellStyle name="Percent 78 3 2" xfId="44244"/>
    <cellStyle name="Percent 78 3 2 2" xfId="44245"/>
    <cellStyle name="Percent 78 3 3" xfId="44246"/>
    <cellStyle name="Percent 78 4" xfId="44247"/>
    <cellStyle name="Percent 78 4 2" xfId="44248"/>
    <cellStyle name="Percent 78 4 2 2" xfId="44249"/>
    <cellStyle name="Percent 78 4 3" xfId="44250"/>
    <cellStyle name="Percent 79" xfId="44251"/>
    <cellStyle name="Percent 79 2" xfId="44252"/>
    <cellStyle name="Percent 79 3" xfId="44253"/>
    <cellStyle name="Percent 79 3 2" xfId="44254"/>
    <cellStyle name="Percent 79 3 2 2" xfId="44255"/>
    <cellStyle name="Percent 79 3 3" xfId="44256"/>
    <cellStyle name="Percent 79 4" xfId="44257"/>
    <cellStyle name="Percent 79 4 2" xfId="44258"/>
    <cellStyle name="Percent 79 4 2 2" xfId="44259"/>
    <cellStyle name="Percent 79 4 3" xfId="44260"/>
    <cellStyle name="Percent 8" xfId="44261"/>
    <cellStyle name="Percent 8 2" xfId="44262"/>
    <cellStyle name="Percent 8 2 2" xfId="44263"/>
    <cellStyle name="Percent 8 2 2 2" xfId="44264"/>
    <cellStyle name="Percent 8 2 3" xfId="44265"/>
    <cellStyle name="Percent 8 2 3 2" xfId="44266"/>
    <cellStyle name="Percent 8 2 3 2 2" xfId="44267"/>
    <cellStyle name="Percent 8 2 3 3" xfId="44268"/>
    <cellStyle name="Percent 8 2 4" xfId="44269"/>
    <cellStyle name="Percent 8 2 4 2" xfId="44270"/>
    <cellStyle name="Percent 8 2 4 2 2" xfId="44271"/>
    <cellStyle name="Percent 8 2 4 3" xfId="44272"/>
    <cellStyle name="Percent 8 2 5" xfId="44273"/>
    <cellStyle name="Percent 8 3" xfId="44274"/>
    <cellStyle name="Percent 8 3 2" xfId="44275"/>
    <cellStyle name="Percent 8 3 2 2" xfId="44276"/>
    <cellStyle name="Percent 8 3 3" xfId="44277"/>
    <cellStyle name="Percent 8 3 3 2" xfId="44278"/>
    <cellStyle name="Percent 8 3 3 2 2" xfId="44279"/>
    <cellStyle name="Percent 8 3 3 3" xfId="44280"/>
    <cellStyle name="Percent 8 3 4" xfId="44281"/>
    <cellStyle name="Percent 8 4" xfId="44282"/>
    <cellStyle name="Percent 8 5" xfId="44283"/>
    <cellStyle name="Percent 8 5 2" xfId="44284"/>
    <cellStyle name="Percent 8 5 2 2" xfId="44285"/>
    <cellStyle name="Percent 8 5 3" xfId="44286"/>
    <cellStyle name="Percent 8 6" xfId="44287"/>
    <cellStyle name="Percent 8 6 2" xfId="44288"/>
    <cellStyle name="Percent 8 6 2 2" xfId="44289"/>
    <cellStyle name="Percent 8 6 3" xfId="44290"/>
    <cellStyle name="Percent 80" xfId="44291"/>
    <cellStyle name="Percent 80 2" xfId="44292"/>
    <cellStyle name="Percent 80 3" xfId="44293"/>
    <cellStyle name="Percent 80 3 2" xfId="44294"/>
    <cellStyle name="Percent 80 3 2 2" xfId="44295"/>
    <cellStyle name="Percent 80 3 3" xfId="44296"/>
    <cellStyle name="Percent 80 4" xfId="44297"/>
    <cellStyle name="Percent 80 4 2" xfId="44298"/>
    <cellStyle name="Percent 80 4 2 2" xfId="44299"/>
    <cellStyle name="Percent 80 4 3" xfId="44300"/>
    <cellStyle name="Percent 81" xfId="44301"/>
    <cellStyle name="Percent 81 2" xfId="44302"/>
    <cellStyle name="Percent 81 3" xfId="44303"/>
    <cellStyle name="Percent 81 3 2" xfId="44304"/>
    <cellStyle name="Percent 81 3 2 2" xfId="44305"/>
    <cellStyle name="Percent 81 3 3" xfId="44306"/>
    <cellStyle name="Percent 81 4" xfId="44307"/>
    <cellStyle name="Percent 81 4 2" xfId="44308"/>
    <cellStyle name="Percent 81 4 2 2" xfId="44309"/>
    <cellStyle name="Percent 81 4 3" xfId="44310"/>
    <cellStyle name="Percent 82" xfId="44311"/>
    <cellStyle name="Percent 82 2" xfId="44312"/>
    <cellStyle name="Percent 82 3" xfId="44313"/>
    <cellStyle name="Percent 82 3 2" xfId="44314"/>
    <cellStyle name="Percent 82 3 2 2" xfId="44315"/>
    <cellStyle name="Percent 82 3 3" xfId="44316"/>
    <cellStyle name="Percent 82 4" xfId="44317"/>
    <cellStyle name="Percent 82 4 2" xfId="44318"/>
    <cellStyle name="Percent 82 4 2 2" xfId="44319"/>
    <cellStyle name="Percent 82 4 3" xfId="44320"/>
    <cellStyle name="Percent 83" xfId="44321"/>
    <cellStyle name="Percent 83 2" xfId="44322"/>
    <cellStyle name="Percent 83 3" xfId="44323"/>
    <cellStyle name="Percent 83 3 2" xfId="44324"/>
    <cellStyle name="Percent 83 3 2 2" xfId="44325"/>
    <cellStyle name="Percent 83 3 3" xfId="44326"/>
    <cellStyle name="Percent 83 4" xfId="44327"/>
    <cellStyle name="Percent 83 4 2" xfId="44328"/>
    <cellStyle name="Percent 83 4 2 2" xfId="44329"/>
    <cellStyle name="Percent 83 4 3" xfId="44330"/>
    <cellStyle name="Percent 84" xfId="44331"/>
    <cellStyle name="Percent 84 2" xfId="44332"/>
    <cellStyle name="Percent 84 3" xfId="44333"/>
    <cellStyle name="Percent 84 3 2" xfId="44334"/>
    <cellStyle name="Percent 84 3 2 2" xfId="44335"/>
    <cellStyle name="Percent 84 3 3" xfId="44336"/>
    <cellStyle name="Percent 84 4" xfId="44337"/>
    <cellStyle name="Percent 84 4 2" xfId="44338"/>
    <cellStyle name="Percent 84 4 2 2" xfId="44339"/>
    <cellStyle name="Percent 84 4 3" xfId="44340"/>
    <cellStyle name="Percent 85" xfId="44341"/>
    <cellStyle name="Percent 85 2" xfId="44342"/>
    <cellStyle name="Percent 85 3" xfId="44343"/>
    <cellStyle name="Percent 85 3 2" xfId="44344"/>
    <cellStyle name="Percent 85 3 2 2" xfId="44345"/>
    <cellStyle name="Percent 85 3 3" xfId="44346"/>
    <cellStyle name="Percent 85 4" xfId="44347"/>
    <cellStyle name="Percent 85 4 2" xfId="44348"/>
    <cellStyle name="Percent 85 4 2 2" xfId="44349"/>
    <cellStyle name="Percent 85 4 3" xfId="44350"/>
    <cellStyle name="Percent 86" xfId="44351"/>
    <cellStyle name="Percent 86 2" xfId="44352"/>
    <cellStyle name="Percent 86 3" xfId="44353"/>
    <cellStyle name="Percent 86 3 2" xfId="44354"/>
    <cellStyle name="Percent 86 3 2 2" xfId="44355"/>
    <cellStyle name="Percent 86 3 3" xfId="44356"/>
    <cellStyle name="Percent 86 4" xfId="44357"/>
    <cellStyle name="Percent 86 4 2" xfId="44358"/>
    <cellStyle name="Percent 86 4 2 2" xfId="44359"/>
    <cellStyle name="Percent 86 4 3" xfId="44360"/>
    <cellStyle name="Percent 87" xfId="44361"/>
    <cellStyle name="Percent 87 2" xfId="44362"/>
    <cellStyle name="Percent 87 3" xfId="44363"/>
    <cellStyle name="Percent 87 3 2" xfId="44364"/>
    <cellStyle name="Percent 87 3 2 2" xfId="44365"/>
    <cellStyle name="Percent 87 3 3" xfId="44366"/>
    <cellStyle name="Percent 87 4" xfId="44367"/>
    <cellStyle name="Percent 87 4 2" xfId="44368"/>
    <cellStyle name="Percent 87 4 2 2" xfId="44369"/>
    <cellStyle name="Percent 87 4 3" xfId="44370"/>
    <cellStyle name="Percent 88" xfId="44371"/>
    <cellStyle name="Percent 88 2" xfId="44372"/>
    <cellStyle name="Percent 88 3" xfId="44373"/>
    <cellStyle name="Percent 88 3 2" xfId="44374"/>
    <cellStyle name="Percent 88 3 2 2" xfId="44375"/>
    <cellStyle name="Percent 88 3 3" xfId="44376"/>
    <cellStyle name="Percent 88 4" xfId="44377"/>
    <cellStyle name="Percent 88 4 2" xfId="44378"/>
    <cellStyle name="Percent 88 4 2 2" xfId="44379"/>
    <cellStyle name="Percent 88 4 3" xfId="44380"/>
    <cellStyle name="Percent 89" xfId="44381"/>
    <cellStyle name="Percent 89 2" xfId="44382"/>
    <cellStyle name="Percent 89 3" xfId="44383"/>
    <cellStyle name="Percent 89 3 2" xfId="44384"/>
    <cellStyle name="Percent 89 3 2 2" xfId="44385"/>
    <cellStyle name="Percent 89 3 3" xfId="44386"/>
    <cellStyle name="Percent 89 4" xfId="44387"/>
    <cellStyle name="Percent 89 4 2" xfId="44388"/>
    <cellStyle name="Percent 89 4 2 2" xfId="44389"/>
    <cellStyle name="Percent 89 4 3" xfId="44390"/>
    <cellStyle name="Percent 9" xfId="44391"/>
    <cellStyle name="Percent 9 2" xfId="44392"/>
    <cellStyle name="Percent 9 3" xfId="44393"/>
    <cellStyle name="Percent 9 3 2" xfId="44394"/>
    <cellStyle name="Percent 9 3 2 2" xfId="44395"/>
    <cellStyle name="Percent 9 3 3" xfId="44396"/>
    <cellStyle name="Percent 9 4" xfId="44397"/>
    <cellStyle name="Percent 9 4 2" xfId="44398"/>
    <cellStyle name="Percent 9 4 2 2" xfId="44399"/>
    <cellStyle name="Percent 9 4 3" xfId="44400"/>
    <cellStyle name="Percent 90" xfId="44401"/>
    <cellStyle name="Percent 90 2" xfId="44402"/>
    <cellStyle name="Percent 90 3" xfId="44403"/>
    <cellStyle name="Percent 90 3 2" xfId="44404"/>
    <cellStyle name="Percent 90 3 2 2" xfId="44405"/>
    <cellStyle name="Percent 90 3 3" xfId="44406"/>
    <cellStyle name="Percent 90 4" xfId="44407"/>
    <cellStyle name="Percent 90 4 2" xfId="44408"/>
    <cellStyle name="Percent 90 4 2 2" xfId="44409"/>
    <cellStyle name="Percent 90 4 3" xfId="44410"/>
    <cellStyle name="Percent 91" xfId="44411"/>
    <cellStyle name="Percent 91 2" xfId="44412"/>
    <cellStyle name="Percent 91 3" xfId="44413"/>
    <cellStyle name="Percent 91 3 2" xfId="44414"/>
    <cellStyle name="Percent 91 3 2 2" xfId="44415"/>
    <cellStyle name="Percent 91 3 3" xfId="44416"/>
    <cellStyle name="Percent 91 4" xfId="44417"/>
    <cellStyle name="Percent 91 4 2" xfId="44418"/>
    <cellStyle name="Percent 91 4 2 2" xfId="44419"/>
    <cellStyle name="Percent 91 4 3" xfId="44420"/>
    <cellStyle name="Percent 92" xfId="44421"/>
    <cellStyle name="Percent 92 2" xfId="44422"/>
    <cellStyle name="Percent 92 3" xfId="44423"/>
    <cellStyle name="Percent 92 3 2" xfId="44424"/>
    <cellStyle name="Percent 92 3 2 2" xfId="44425"/>
    <cellStyle name="Percent 92 3 3" xfId="44426"/>
    <cellStyle name="Percent 92 4" xfId="44427"/>
    <cellStyle name="Percent 92 4 2" xfId="44428"/>
    <cellStyle name="Percent 92 4 2 2" xfId="44429"/>
    <cellStyle name="Percent 92 4 3" xfId="44430"/>
    <cellStyle name="Percent 93" xfId="44431"/>
    <cellStyle name="Percent 93 2" xfId="44432"/>
    <cellStyle name="Percent 93 3" xfId="44433"/>
    <cellStyle name="Percent 93 3 2" xfId="44434"/>
    <cellStyle name="Percent 93 3 2 2" xfId="44435"/>
    <cellStyle name="Percent 93 3 3" xfId="44436"/>
    <cellStyle name="Percent 93 4" xfId="44437"/>
    <cellStyle name="Percent 93 4 2" xfId="44438"/>
    <cellStyle name="Percent 93 4 2 2" xfId="44439"/>
    <cellStyle name="Percent 93 4 3" xfId="44440"/>
    <cellStyle name="Percent 94" xfId="44441"/>
    <cellStyle name="Percent 94 2" xfId="44442"/>
    <cellStyle name="Percent 94 3" xfId="44443"/>
    <cellStyle name="Percent 94 3 2" xfId="44444"/>
    <cellStyle name="Percent 94 3 2 2" xfId="44445"/>
    <cellStyle name="Percent 94 3 3" xfId="44446"/>
    <cellStyle name="Percent 94 4" xfId="44447"/>
    <cellStyle name="Percent 94 4 2" xfId="44448"/>
    <cellStyle name="Percent 94 4 2 2" xfId="44449"/>
    <cellStyle name="Percent 94 4 3" xfId="44450"/>
    <cellStyle name="Percent 95" xfId="44451"/>
    <cellStyle name="Percent 95 2" xfId="44452"/>
    <cellStyle name="Percent 95 3" xfId="44453"/>
    <cellStyle name="Percent 95 3 2" xfId="44454"/>
    <cellStyle name="Percent 95 3 2 2" xfId="44455"/>
    <cellStyle name="Percent 95 3 3" xfId="44456"/>
    <cellStyle name="Percent 95 4" xfId="44457"/>
    <cellStyle name="Percent 95 4 2" xfId="44458"/>
    <cellStyle name="Percent 95 4 2 2" xfId="44459"/>
    <cellStyle name="Percent 95 4 3" xfId="44460"/>
    <cellStyle name="Percent 96" xfId="44461"/>
    <cellStyle name="Percent 96 2" xfId="44462"/>
    <cellStyle name="Percent 96 3" xfId="44463"/>
    <cellStyle name="Percent 96 3 2" xfId="44464"/>
    <cellStyle name="Percent 96 3 2 2" xfId="44465"/>
    <cellStyle name="Percent 96 3 3" xfId="44466"/>
    <cellStyle name="Percent 96 4" xfId="44467"/>
    <cellStyle name="Percent 96 4 2" xfId="44468"/>
    <cellStyle name="Percent 96 4 2 2" xfId="44469"/>
    <cellStyle name="Percent 96 4 3" xfId="44470"/>
    <cellStyle name="Percent 97" xfId="44471"/>
    <cellStyle name="Percent 97 2" xfId="44472"/>
    <cellStyle name="Percent 97 3" xfId="44473"/>
    <cellStyle name="Percent 97 3 2" xfId="44474"/>
    <cellStyle name="Percent 97 3 2 2" xfId="44475"/>
    <cellStyle name="Percent 97 3 3" xfId="44476"/>
    <cellStyle name="Percent 97 4" xfId="44477"/>
    <cellStyle name="Percent 97 4 2" xfId="44478"/>
    <cellStyle name="Percent 97 4 2 2" xfId="44479"/>
    <cellStyle name="Percent 97 4 3" xfId="44480"/>
    <cellStyle name="Percent 98" xfId="44481"/>
    <cellStyle name="Percent 98 2" xfId="44482"/>
    <cellStyle name="Percent 98 3" xfId="44483"/>
    <cellStyle name="Percent 98 3 2" xfId="44484"/>
    <cellStyle name="Percent 98 3 2 2" xfId="44485"/>
    <cellStyle name="Percent 98 3 3" xfId="44486"/>
    <cellStyle name="Percent 98 4" xfId="44487"/>
    <cellStyle name="Percent 98 4 2" xfId="44488"/>
    <cellStyle name="Percent 98 4 2 2" xfId="44489"/>
    <cellStyle name="Percent 98 4 3" xfId="44490"/>
    <cellStyle name="Percent 99" xfId="44491"/>
    <cellStyle name="Percent 99 2" xfId="44492"/>
    <cellStyle name="Percent 99 3" xfId="44493"/>
    <cellStyle name="Percent 99 3 2" xfId="44494"/>
    <cellStyle name="Percent 99 3 2 2" xfId="44495"/>
    <cellStyle name="Percent 99 3 3" xfId="44496"/>
    <cellStyle name="Percent 99 4" xfId="44497"/>
    <cellStyle name="Percent 99 4 2" xfId="44498"/>
    <cellStyle name="Percent 99 4 2 2" xfId="44499"/>
    <cellStyle name="Percent 99 4 3" xfId="44500"/>
    <cellStyle name="Percent[0]" xfId="44501"/>
    <cellStyle name="Percent[00]" xfId="44502"/>
    <cellStyle name="Percent[00] 2" xfId="44503"/>
    <cellStyle name="Percent[00] 3" xfId="44504"/>
    <cellStyle name="Percent[00] 3 2" xfId="44505"/>
    <cellStyle name="Percent[00] 3 2 2" xfId="44506"/>
    <cellStyle name="Percent[00] 3 3" xfId="44507"/>
    <cellStyle name="Percent[00] 4" xfId="44508"/>
    <cellStyle name="Percent[00] 4 2" xfId="44509"/>
    <cellStyle name="Percent[00] 4 2 2" xfId="44510"/>
    <cellStyle name="Percent[00] 4 3" xfId="44511"/>
    <cellStyle name="Percent1" xfId="44512"/>
    <cellStyle name="Percent1 2" xfId="44513"/>
    <cellStyle name="Percent1 3" xfId="44514"/>
    <cellStyle name="Percent1 3 2" xfId="44515"/>
    <cellStyle name="Percent1 3 2 2" xfId="44516"/>
    <cellStyle name="Percent1 3 3" xfId="44517"/>
    <cellStyle name="Percent1 4" xfId="44518"/>
    <cellStyle name="Percent1 4 2" xfId="44519"/>
    <cellStyle name="Percent1 4 2 2" xfId="44520"/>
    <cellStyle name="Percent1 4 3" xfId="44521"/>
    <cellStyle name="Placeholder" xfId="44522"/>
    <cellStyle name="Placeholder 2" xfId="44523"/>
    <cellStyle name="Placeholder 3" xfId="44524"/>
    <cellStyle name="Placeholder 3 2" xfId="44525"/>
    <cellStyle name="Placeholder 3 2 2" xfId="44526"/>
    <cellStyle name="Placeholder 3 3" xfId="44527"/>
    <cellStyle name="Placeholder 4" xfId="44528"/>
    <cellStyle name="Placeholder 4 2" xfId="44529"/>
    <cellStyle name="Placeholder 4 2 2" xfId="44530"/>
    <cellStyle name="Placeholder 4 3" xfId="44531"/>
    <cellStyle name="PSChar" xfId="44532"/>
    <cellStyle name="PSChar 10" xfId="44533"/>
    <cellStyle name="PSChar 2" xfId="44534"/>
    <cellStyle name="PSChar 2 2" xfId="44535"/>
    <cellStyle name="PSChar 2 2 2" xfId="44536"/>
    <cellStyle name="PSChar 2 2 2 2" xfId="44537"/>
    <cellStyle name="PSChar 2 2 3" xfId="44538"/>
    <cellStyle name="PSChar 2 2 3 2" xfId="44539"/>
    <cellStyle name="PSChar 2 2 3 2 2" xfId="44540"/>
    <cellStyle name="PSChar 2 2 3 3" xfId="44541"/>
    <cellStyle name="PSChar 2 2 4" xfId="44542"/>
    <cellStyle name="PSChar 2 2 4 2" xfId="44543"/>
    <cellStyle name="PSChar 2 2 4 2 2" xfId="44544"/>
    <cellStyle name="PSChar 2 2 4 3" xfId="44545"/>
    <cellStyle name="PSChar 2 2 5" xfId="44546"/>
    <cellStyle name="PSChar 2 3" xfId="44547"/>
    <cellStyle name="PSChar 2 3 2" xfId="44548"/>
    <cellStyle name="PSChar 2 3 2 2" xfId="44549"/>
    <cellStyle name="PSChar 2 3 2 2 2" xfId="44550"/>
    <cellStyle name="PSChar 2 3 2 3" xfId="44551"/>
    <cellStyle name="PSChar 2 3 2 3 2" xfId="44552"/>
    <cellStyle name="PSChar 2 3 2 3 2 2" xfId="44553"/>
    <cellStyle name="PSChar 2 3 2 3 3" xfId="44554"/>
    <cellStyle name="PSChar 2 3 2 4" xfId="44555"/>
    <cellStyle name="PSChar 2 3 3" xfId="44556"/>
    <cellStyle name="PSChar 2 3 3 2" xfId="44557"/>
    <cellStyle name="PSChar 2 3 3 2 2" xfId="44558"/>
    <cellStyle name="PSChar 2 3 3 3" xfId="44559"/>
    <cellStyle name="PSChar 2 3 4" xfId="44560"/>
    <cellStyle name="PSChar 2 3 4 2" xfId="44561"/>
    <cellStyle name="PSChar 2 3 4 2 2" xfId="44562"/>
    <cellStyle name="PSChar 2 3 4 3" xfId="44563"/>
    <cellStyle name="PSChar 2 3 5" xfId="44564"/>
    <cellStyle name="PSChar 2 3 5 2" xfId="44565"/>
    <cellStyle name="PSChar 2 3 5 2 2" xfId="44566"/>
    <cellStyle name="PSChar 2 3 5 3" xfId="44567"/>
    <cellStyle name="PSChar 2 3 6" xfId="44568"/>
    <cellStyle name="PSChar 2 4" xfId="44569"/>
    <cellStyle name="PSChar 2 4 2" xfId="44570"/>
    <cellStyle name="PSChar 2 4 2 2" xfId="44571"/>
    <cellStyle name="PSChar 2 4 3" xfId="44572"/>
    <cellStyle name="PSChar 2 5" xfId="44573"/>
    <cellStyle name="PSChar 2 5 2" xfId="44574"/>
    <cellStyle name="PSChar 2 5 2 2" xfId="44575"/>
    <cellStyle name="PSChar 2 5 3" xfId="44576"/>
    <cellStyle name="PSChar 2 6" xfId="44577"/>
    <cellStyle name="PSChar 2 6 2" xfId="44578"/>
    <cellStyle name="PSChar 2 6 2 2" xfId="44579"/>
    <cellStyle name="PSChar 2 6 3" xfId="44580"/>
    <cellStyle name="PSChar 2 7" xfId="44581"/>
    <cellStyle name="PSChar 3" xfId="44582"/>
    <cellStyle name="PSChar 3 2" xfId="44583"/>
    <cellStyle name="PSChar 3 2 2" xfId="44584"/>
    <cellStyle name="PSChar 3 2 2 2" xfId="44585"/>
    <cellStyle name="PSChar 3 2 3" xfId="44586"/>
    <cellStyle name="PSChar 3 2 3 2" xfId="44587"/>
    <cellStyle name="PSChar 3 2 3 2 2" xfId="44588"/>
    <cellStyle name="PSChar 3 2 3 3" xfId="44589"/>
    <cellStyle name="PSChar 3 2 4" xfId="44590"/>
    <cellStyle name="PSChar 3 2 4 2" xfId="44591"/>
    <cellStyle name="PSChar 3 2 4 2 2" xfId="44592"/>
    <cellStyle name="PSChar 3 2 4 3" xfId="44593"/>
    <cellStyle name="PSChar 3 2 5" xfId="44594"/>
    <cellStyle name="PSChar 3 3" xfId="44595"/>
    <cellStyle name="PSChar 3 3 2" xfId="44596"/>
    <cellStyle name="PSChar 3 3 2 2" xfId="44597"/>
    <cellStyle name="PSChar 3 3 3" xfId="44598"/>
    <cellStyle name="PSChar 3 4" xfId="44599"/>
    <cellStyle name="PSChar 3 4 2" xfId="44600"/>
    <cellStyle name="PSChar 3 4 2 2" xfId="44601"/>
    <cellStyle name="PSChar 3 4 3" xfId="44602"/>
    <cellStyle name="PSChar 3 5" xfId="44603"/>
    <cellStyle name="PSChar 3 5 2" xfId="44604"/>
    <cellStyle name="PSChar 3 5 2 2" xfId="44605"/>
    <cellStyle name="PSChar 3 5 3" xfId="44606"/>
    <cellStyle name="PSChar 3 6" xfId="44607"/>
    <cellStyle name="PSChar 4" xfId="44608"/>
    <cellStyle name="PSChar 4 2" xfId="44609"/>
    <cellStyle name="PSChar 4 2 2" xfId="44610"/>
    <cellStyle name="PSChar 4 2 2 2" xfId="44611"/>
    <cellStyle name="PSChar 4 2 3" xfId="44612"/>
    <cellStyle name="PSChar 4 2 3 2" xfId="44613"/>
    <cellStyle name="PSChar 4 2 3 2 2" xfId="44614"/>
    <cellStyle name="PSChar 4 2 3 3" xfId="44615"/>
    <cellStyle name="PSChar 4 2 4" xfId="44616"/>
    <cellStyle name="PSChar 4 2 4 2" xfId="44617"/>
    <cellStyle name="PSChar 4 2 4 2 2" xfId="44618"/>
    <cellStyle name="PSChar 4 2 4 3" xfId="44619"/>
    <cellStyle name="PSChar 4 2 5" xfId="44620"/>
    <cellStyle name="PSChar 4 3" xfId="44621"/>
    <cellStyle name="PSChar 4 3 2" xfId="44622"/>
    <cellStyle name="PSChar 4 3 2 2" xfId="44623"/>
    <cellStyle name="PSChar 4 3 3" xfId="44624"/>
    <cellStyle name="PSChar 4 4" xfId="44625"/>
    <cellStyle name="PSChar 4 4 2" xfId="44626"/>
    <cellStyle name="PSChar 4 4 2 2" xfId="44627"/>
    <cellStyle name="PSChar 4 4 3" xfId="44628"/>
    <cellStyle name="PSChar 4 5" xfId="44629"/>
    <cellStyle name="PSChar 4 5 2" xfId="44630"/>
    <cellStyle name="PSChar 4 5 2 2" xfId="44631"/>
    <cellStyle name="PSChar 4 5 3" xfId="44632"/>
    <cellStyle name="PSChar 4 6" xfId="44633"/>
    <cellStyle name="PSChar 5" xfId="44634"/>
    <cellStyle name="PSChar 5 2" xfId="44635"/>
    <cellStyle name="PSChar 5 2 2" xfId="44636"/>
    <cellStyle name="PSChar 5 3" xfId="44637"/>
    <cellStyle name="PSChar 5 3 2" xfId="44638"/>
    <cellStyle name="PSChar 5 3 2 2" xfId="44639"/>
    <cellStyle name="PSChar 5 3 3" xfId="44640"/>
    <cellStyle name="PSChar 5 4" xfId="44641"/>
    <cellStyle name="PSChar 5 4 2" xfId="44642"/>
    <cellStyle name="PSChar 5 4 2 2" xfId="44643"/>
    <cellStyle name="PSChar 5 4 3" xfId="44644"/>
    <cellStyle name="PSChar 5 5" xfId="44645"/>
    <cellStyle name="PSChar 6" xfId="44646"/>
    <cellStyle name="PSChar 6 2" xfId="44647"/>
    <cellStyle name="PSChar 6 2 2" xfId="44648"/>
    <cellStyle name="PSChar 6 3" xfId="44649"/>
    <cellStyle name="PSChar 7" xfId="44650"/>
    <cellStyle name="PSChar 7 2" xfId="44651"/>
    <cellStyle name="PSChar 7 2 2" xfId="44652"/>
    <cellStyle name="PSChar 7 3" xfId="44653"/>
    <cellStyle name="PSChar 8" xfId="44654"/>
    <cellStyle name="PSChar 8 2" xfId="44655"/>
    <cellStyle name="PSChar 8 2 2" xfId="44656"/>
    <cellStyle name="PSChar 8 3" xfId="44657"/>
    <cellStyle name="PSChar 9" xfId="44658"/>
    <cellStyle name="PSChar 9 2" xfId="44659"/>
    <cellStyle name="PSDate" xfId="44660"/>
    <cellStyle name="PSDate 2" xfId="44661"/>
    <cellStyle name="PSDate 2 2" xfId="44662"/>
    <cellStyle name="PSDate 2 3" xfId="44663"/>
    <cellStyle name="PSDate 2 3 2" xfId="44664"/>
    <cellStyle name="PSDate 2 3 2 2" xfId="44665"/>
    <cellStyle name="PSDate 2 3 3" xfId="44666"/>
    <cellStyle name="PSDate 2 4" xfId="44667"/>
    <cellStyle name="PSDate 2 4 2" xfId="44668"/>
    <cellStyle name="PSDate 2 4 2 2" xfId="44669"/>
    <cellStyle name="PSDate 2 4 3" xfId="44670"/>
    <cellStyle name="PSDate 3" xfId="44671"/>
    <cellStyle name="PSDate 4" xfId="44672"/>
    <cellStyle name="PSDate 4 2" xfId="44673"/>
    <cellStyle name="PSDate 4 2 2" xfId="44674"/>
    <cellStyle name="PSDate 4 3" xfId="44675"/>
    <cellStyle name="PSDate 5" xfId="44676"/>
    <cellStyle name="PSDate 5 2" xfId="44677"/>
    <cellStyle name="PSDate 5 2 2" xfId="44678"/>
    <cellStyle name="PSDate 5 3" xfId="44679"/>
    <cellStyle name="PSDec" xfId="44680"/>
    <cellStyle name="PSDec 2" xfId="44681"/>
    <cellStyle name="PSDec 2 2" xfId="44682"/>
    <cellStyle name="PSDec 2 3" xfId="44683"/>
    <cellStyle name="PSDec 2 3 2" xfId="44684"/>
    <cellStyle name="PSDec 2 3 2 2" xfId="44685"/>
    <cellStyle name="PSDec 2 3 3" xfId="44686"/>
    <cellStyle name="PSDec 2 4" xfId="44687"/>
    <cellStyle name="PSDec 2 4 2" xfId="44688"/>
    <cellStyle name="PSDec 2 4 2 2" xfId="44689"/>
    <cellStyle name="PSDec 2 4 3" xfId="44690"/>
    <cellStyle name="PSDec 3" xfId="44691"/>
    <cellStyle name="PSDec 4" xfId="44692"/>
    <cellStyle name="PSDec 4 2" xfId="44693"/>
    <cellStyle name="PSDec 4 2 2" xfId="44694"/>
    <cellStyle name="PSDec 4 3" xfId="44695"/>
    <cellStyle name="PSDec 5" xfId="44696"/>
    <cellStyle name="PSDec 5 2" xfId="44697"/>
    <cellStyle name="PSDec 5 2 2" xfId="44698"/>
    <cellStyle name="PSDec 5 3" xfId="44699"/>
    <cellStyle name="PSInt" xfId="44700"/>
    <cellStyle name="PSInt 2" xfId="44701"/>
    <cellStyle name="PSInt 2 2" xfId="44702"/>
    <cellStyle name="PSInt 2 3" xfId="44703"/>
    <cellStyle name="PSInt 2 3 2" xfId="44704"/>
    <cellStyle name="PSInt 2 3 2 2" xfId="44705"/>
    <cellStyle name="PSInt 2 3 3" xfId="44706"/>
    <cellStyle name="PSInt 2 4" xfId="44707"/>
    <cellStyle name="PSInt 2 4 2" xfId="44708"/>
    <cellStyle name="PSInt 2 4 2 2" xfId="44709"/>
    <cellStyle name="PSInt 2 4 3" xfId="44710"/>
    <cellStyle name="PSInt 3" xfId="44711"/>
    <cellStyle name="PSInt 4" xfId="44712"/>
    <cellStyle name="PSInt 4 2" xfId="44713"/>
    <cellStyle name="PSInt 4 2 2" xfId="44714"/>
    <cellStyle name="PSInt 4 3" xfId="44715"/>
    <cellStyle name="PSInt 5" xfId="44716"/>
    <cellStyle name="PSInt 5 2" xfId="44717"/>
    <cellStyle name="PSInt 5 2 2" xfId="44718"/>
    <cellStyle name="PSInt 5 3" xfId="44719"/>
    <cellStyle name="regstoresfromspecstores" xfId="44720"/>
    <cellStyle name="regstoresfromspecstores 10" xfId="44721"/>
    <cellStyle name="regstoresfromspecstores 2" xfId="44722"/>
    <cellStyle name="regstoresfromspecstores 2 2" xfId="44723"/>
    <cellStyle name="regstoresfromspecstores 2 2 2" xfId="44724"/>
    <cellStyle name="regstoresfromspecstores 2 2 2 2" xfId="44725"/>
    <cellStyle name="regstoresfromspecstores 2 2 3" xfId="44726"/>
    <cellStyle name="regstoresfromspecstores 2 2 3 2" xfId="44727"/>
    <cellStyle name="regstoresfromspecstores 2 2 3 2 2" xfId="44728"/>
    <cellStyle name="regstoresfromspecstores 2 2 3 3" xfId="44729"/>
    <cellStyle name="regstoresfromspecstores 2 2 4" xfId="44730"/>
    <cellStyle name="regstoresfromspecstores 2 2 4 2" xfId="44731"/>
    <cellStyle name="regstoresfromspecstores 2 2 4 2 2" xfId="44732"/>
    <cellStyle name="regstoresfromspecstores 2 2 4 3" xfId="44733"/>
    <cellStyle name="regstoresfromspecstores 2 2 5" xfId="44734"/>
    <cellStyle name="regstoresfromspecstores 2 3" xfId="44735"/>
    <cellStyle name="regstoresfromspecstores 2 3 2" xfId="44736"/>
    <cellStyle name="regstoresfromspecstores 2 3 2 2" xfId="44737"/>
    <cellStyle name="regstoresfromspecstores 2 3 2 2 2" xfId="44738"/>
    <cellStyle name="regstoresfromspecstores 2 3 2 3" xfId="44739"/>
    <cellStyle name="regstoresfromspecstores 2 3 2 3 2" xfId="44740"/>
    <cellStyle name="regstoresfromspecstores 2 3 2 3 2 2" xfId="44741"/>
    <cellStyle name="regstoresfromspecstores 2 3 2 3 3" xfId="44742"/>
    <cellStyle name="regstoresfromspecstores 2 3 2 4" xfId="44743"/>
    <cellStyle name="regstoresfromspecstores 2 3 3" xfId="44744"/>
    <cellStyle name="regstoresfromspecstores 2 3 3 2" xfId="44745"/>
    <cellStyle name="regstoresfromspecstores 2 3 3 2 2" xfId="44746"/>
    <cellStyle name="regstoresfromspecstores 2 3 3 3" xfId="44747"/>
    <cellStyle name="regstoresfromspecstores 2 3 4" xfId="44748"/>
    <cellStyle name="regstoresfromspecstores 2 3 4 2" xfId="44749"/>
    <cellStyle name="regstoresfromspecstores 2 3 4 2 2" xfId="44750"/>
    <cellStyle name="regstoresfromspecstores 2 3 4 3" xfId="44751"/>
    <cellStyle name="regstoresfromspecstores 2 3 5" xfId="44752"/>
    <cellStyle name="regstoresfromspecstores 2 3 5 2" xfId="44753"/>
    <cellStyle name="regstoresfromspecstores 2 3 5 2 2" xfId="44754"/>
    <cellStyle name="regstoresfromspecstores 2 3 5 3" xfId="44755"/>
    <cellStyle name="regstoresfromspecstores 2 3 6" xfId="44756"/>
    <cellStyle name="regstoresfromspecstores 2 4" xfId="44757"/>
    <cellStyle name="regstoresfromspecstores 2 4 2" xfId="44758"/>
    <cellStyle name="regstoresfromspecstores 2 4 2 2" xfId="44759"/>
    <cellStyle name="regstoresfromspecstores 2 4 3" xfId="44760"/>
    <cellStyle name="regstoresfromspecstores 2 5" xfId="44761"/>
    <cellStyle name="regstoresfromspecstores 2 5 2" xfId="44762"/>
    <cellStyle name="regstoresfromspecstores 2 5 2 2" xfId="44763"/>
    <cellStyle name="regstoresfromspecstores 2 5 3" xfId="44764"/>
    <cellStyle name="regstoresfromspecstores 2 6" xfId="44765"/>
    <cellStyle name="regstoresfromspecstores 2 6 2" xfId="44766"/>
    <cellStyle name="regstoresfromspecstores 2 6 2 2" xfId="44767"/>
    <cellStyle name="regstoresfromspecstores 2 6 3" xfId="44768"/>
    <cellStyle name="regstoresfromspecstores 2 7" xfId="44769"/>
    <cellStyle name="regstoresfromspecstores 3" xfId="44770"/>
    <cellStyle name="regstoresfromspecstores 3 2" xfId="44771"/>
    <cellStyle name="regstoresfromspecstores 3 2 2" xfId="44772"/>
    <cellStyle name="regstoresfromspecstores 3 2 2 2" xfId="44773"/>
    <cellStyle name="regstoresfromspecstores 3 2 3" xfId="44774"/>
    <cellStyle name="regstoresfromspecstores 3 2 3 2" xfId="44775"/>
    <cellStyle name="regstoresfromspecstores 3 2 3 2 2" xfId="44776"/>
    <cellStyle name="regstoresfromspecstores 3 2 3 3" xfId="44777"/>
    <cellStyle name="regstoresfromspecstores 3 2 4" xfId="44778"/>
    <cellStyle name="regstoresfromspecstores 3 2 4 2" xfId="44779"/>
    <cellStyle name="regstoresfromspecstores 3 2 4 2 2" xfId="44780"/>
    <cellStyle name="regstoresfromspecstores 3 2 4 3" xfId="44781"/>
    <cellStyle name="regstoresfromspecstores 3 2 5" xfId="44782"/>
    <cellStyle name="regstoresfromspecstores 3 3" xfId="44783"/>
    <cellStyle name="regstoresfromspecstores 3 3 2" xfId="44784"/>
    <cellStyle name="regstoresfromspecstores 3 3 2 2" xfId="44785"/>
    <cellStyle name="regstoresfromspecstores 3 3 3" xfId="44786"/>
    <cellStyle name="regstoresfromspecstores 3 4" xfId="44787"/>
    <cellStyle name="regstoresfromspecstores 3 4 2" xfId="44788"/>
    <cellStyle name="regstoresfromspecstores 3 4 2 2" xfId="44789"/>
    <cellStyle name="regstoresfromspecstores 3 4 3" xfId="44790"/>
    <cellStyle name="regstoresfromspecstores 3 5" xfId="44791"/>
    <cellStyle name="regstoresfromspecstores 3 5 2" xfId="44792"/>
    <cellStyle name="regstoresfromspecstores 3 5 2 2" xfId="44793"/>
    <cellStyle name="regstoresfromspecstores 3 5 3" xfId="44794"/>
    <cellStyle name="regstoresfromspecstores 3 6" xfId="44795"/>
    <cellStyle name="regstoresfromspecstores 4" xfId="44796"/>
    <cellStyle name="regstoresfromspecstores 4 2" xfId="44797"/>
    <cellStyle name="regstoresfromspecstores 4 2 2" xfId="44798"/>
    <cellStyle name="regstoresfromspecstores 4 2 2 2" xfId="44799"/>
    <cellStyle name="regstoresfromspecstores 4 2 3" xfId="44800"/>
    <cellStyle name="regstoresfromspecstores 4 2 3 2" xfId="44801"/>
    <cellStyle name="regstoresfromspecstores 4 2 3 2 2" xfId="44802"/>
    <cellStyle name="regstoresfromspecstores 4 2 3 3" xfId="44803"/>
    <cellStyle name="regstoresfromspecstores 4 2 4" xfId="44804"/>
    <cellStyle name="regstoresfromspecstores 4 2 4 2" xfId="44805"/>
    <cellStyle name="regstoresfromspecstores 4 2 4 2 2" xfId="44806"/>
    <cellStyle name="regstoresfromspecstores 4 2 4 3" xfId="44807"/>
    <cellStyle name="regstoresfromspecstores 4 2 5" xfId="44808"/>
    <cellStyle name="regstoresfromspecstores 4 3" xfId="44809"/>
    <cellStyle name="regstoresfromspecstores 4 3 2" xfId="44810"/>
    <cellStyle name="regstoresfromspecstores 4 3 2 2" xfId="44811"/>
    <cellStyle name="regstoresfromspecstores 4 3 3" xfId="44812"/>
    <cellStyle name="regstoresfromspecstores 4 4" xfId="44813"/>
    <cellStyle name="regstoresfromspecstores 4 4 2" xfId="44814"/>
    <cellStyle name="regstoresfromspecstores 4 4 2 2" xfId="44815"/>
    <cellStyle name="regstoresfromspecstores 4 4 3" xfId="44816"/>
    <cellStyle name="regstoresfromspecstores 4 5" xfId="44817"/>
    <cellStyle name="regstoresfromspecstores 4 5 2" xfId="44818"/>
    <cellStyle name="regstoresfromspecstores 4 5 2 2" xfId="44819"/>
    <cellStyle name="regstoresfromspecstores 4 5 3" xfId="44820"/>
    <cellStyle name="regstoresfromspecstores 4 6" xfId="44821"/>
    <cellStyle name="regstoresfromspecstores 5" xfId="44822"/>
    <cellStyle name="regstoresfromspecstores 5 2" xfId="44823"/>
    <cellStyle name="regstoresfromspecstores 5 2 2" xfId="44824"/>
    <cellStyle name="regstoresfromspecstores 5 3" xfId="44825"/>
    <cellStyle name="regstoresfromspecstores 5 3 2" xfId="44826"/>
    <cellStyle name="regstoresfromspecstores 5 3 2 2" xfId="44827"/>
    <cellStyle name="regstoresfromspecstores 5 3 3" xfId="44828"/>
    <cellStyle name="regstoresfromspecstores 5 4" xfId="44829"/>
    <cellStyle name="regstoresfromspecstores 5 4 2" xfId="44830"/>
    <cellStyle name="regstoresfromspecstores 5 4 2 2" xfId="44831"/>
    <cellStyle name="regstoresfromspecstores 5 4 3" xfId="44832"/>
    <cellStyle name="regstoresfromspecstores 5 5" xfId="44833"/>
    <cellStyle name="regstoresfromspecstores 6" xfId="44834"/>
    <cellStyle name="regstoresfromspecstores 6 2" xfId="44835"/>
    <cellStyle name="regstoresfromspecstores 6 2 2" xfId="44836"/>
    <cellStyle name="regstoresfromspecstores 6 3" xfId="44837"/>
    <cellStyle name="regstoresfromspecstores 7" xfId="44838"/>
    <cellStyle name="regstoresfromspecstores 7 2" xfId="44839"/>
    <cellStyle name="regstoresfromspecstores 7 2 2" xfId="44840"/>
    <cellStyle name="regstoresfromspecstores 7 3" xfId="44841"/>
    <cellStyle name="regstoresfromspecstores 8" xfId="44842"/>
    <cellStyle name="regstoresfromspecstores 8 2" xfId="44843"/>
    <cellStyle name="regstoresfromspecstores 8 2 2" xfId="44844"/>
    <cellStyle name="regstoresfromspecstores 8 3" xfId="44845"/>
    <cellStyle name="regstoresfromspecstores 9" xfId="44846"/>
    <cellStyle name="regstoresfromspecstores 9 2" xfId="44847"/>
    <cellStyle name="RevList" xfId="44848"/>
    <cellStyle name="RevList 2" xfId="44849"/>
    <cellStyle name="RevList 3" xfId="44850"/>
    <cellStyle name="RevList 3 2" xfId="44851"/>
    <cellStyle name="RevList 3 2 2" xfId="44852"/>
    <cellStyle name="RevList 3 3" xfId="44853"/>
    <cellStyle name="RevList 4" xfId="44854"/>
    <cellStyle name="RevList 4 2" xfId="44855"/>
    <cellStyle name="RevList 4 2 2" xfId="44856"/>
    <cellStyle name="RevList 4 3" xfId="44857"/>
    <cellStyle name="SAPBEXaggData" xfId="39"/>
    <cellStyle name="SAPBEXaggData 10" xfId="44858"/>
    <cellStyle name="SAPBEXaggData 10 2" xfId="44859"/>
    <cellStyle name="SAPBEXaggData 11" xfId="44860"/>
    <cellStyle name="SAPBEXaggData 11 2" xfId="44861"/>
    <cellStyle name="SAPBEXaggData 12" xfId="44862"/>
    <cellStyle name="SAPBEXaggData 12 2" xfId="44863"/>
    <cellStyle name="SAPBEXaggData 13" xfId="44864"/>
    <cellStyle name="SAPBEXaggData 14" xfId="44865"/>
    <cellStyle name="SAPBEXaggData 2" xfId="44866"/>
    <cellStyle name="SAPBEXaggData 2 2" xfId="44867"/>
    <cellStyle name="SAPBEXaggData 2 2 2" xfId="44868"/>
    <cellStyle name="SAPBEXaggData 2 2 2 2" xfId="44869"/>
    <cellStyle name="SAPBEXaggData 2 2 2 2 2" xfId="44870"/>
    <cellStyle name="SAPBEXaggData 2 2 2 2 2 2" xfId="44871"/>
    <cellStyle name="SAPBEXaggData 2 2 2 2 3" xfId="44872"/>
    <cellStyle name="SAPBEXaggData 2 2 2 3" xfId="44873"/>
    <cellStyle name="SAPBEXaggData 2 2 2 3 2" xfId="44874"/>
    <cellStyle name="SAPBEXaggData 2 2 2 4" xfId="44875"/>
    <cellStyle name="SAPBEXaggData 2 2 3" xfId="44876"/>
    <cellStyle name="SAPBEXaggData 2 2 3 2" xfId="44877"/>
    <cellStyle name="SAPBEXaggData 2 2 3 2 2" xfId="44878"/>
    <cellStyle name="SAPBEXaggData 2 2 3 3" xfId="44879"/>
    <cellStyle name="SAPBEXaggData 2 2 4" xfId="44880"/>
    <cellStyle name="SAPBEXaggData 2 2 4 2" xfId="44881"/>
    <cellStyle name="SAPBEXaggData 2 2 4 2 2" xfId="44882"/>
    <cellStyle name="SAPBEXaggData 2 2 4 3" xfId="44883"/>
    <cellStyle name="SAPBEXaggData 2 2 5" xfId="44884"/>
    <cellStyle name="SAPBEXaggData 2 2 5 2" xfId="44885"/>
    <cellStyle name="SAPBEXaggData 2 2 6" xfId="44886"/>
    <cellStyle name="SAPBEXaggData 2 3" xfId="44887"/>
    <cellStyle name="SAPBEXaggData 2 3 2" xfId="44888"/>
    <cellStyle name="SAPBEXaggData 2 4" xfId="44889"/>
    <cellStyle name="SAPBEXaggData 2 4 2" xfId="44890"/>
    <cellStyle name="SAPBEXaggData 2 4 2 2" xfId="44891"/>
    <cellStyle name="SAPBEXaggData 2 4 3" xfId="44892"/>
    <cellStyle name="SAPBEXaggData 2 5" xfId="44893"/>
    <cellStyle name="SAPBEXaggData 2 5 2" xfId="44894"/>
    <cellStyle name="SAPBEXaggData 2 5 2 2" xfId="44895"/>
    <cellStyle name="SAPBEXaggData 2 5 3" xfId="44896"/>
    <cellStyle name="SAPBEXaggData 2 6" xfId="44897"/>
    <cellStyle name="SAPBEXaggData 3" xfId="44898"/>
    <cellStyle name="SAPBEXaggData 3 2" xfId="44899"/>
    <cellStyle name="SAPBEXaggData 3 2 2" xfId="44900"/>
    <cellStyle name="SAPBEXaggData 3 3" xfId="44901"/>
    <cellStyle name="SAPBEXaggData 3 3 2" xfId="44902"/>
    <cellStyle name="SAPBEXaggData 3 3 2 2" xfId="44903"/>
    <cellStyle name="SAPBEXaggData 3 3 3" xfId="44904"/>
    <cellStyle name="SAPBEXaggData 3 4" xfId="44905"/>
    <cellStyle name="SAPBEXaggData 3 4 2" xfId="44906"/>
    <cellStyle name="SAPBEXaggData 3 4 2 2" xfId="44907"/>
    <cellStyle name="SAPBEXaggData 3 4 3" xfId="44908"/>
    <cellStyle name="SAPBEXaggData 3 5" xfId="44909"/>
    <cellStyle name="SAPBEXaggData 4" xfId="44910"/>
    <cellStyle name="SAPBEXaggData 4 2" xfId="44911"/>
    <cellStyle name="SAPBEXaggData 4 2 2" xfId="44912"/>
    <cellStyle name="SAPBEXaggData 4 2 2 2" xfId="44913"/>
    <cellStyle name="SAPBEXaggData 4 2 3" xfId="44914"/>
    <cellStyle name="SAPBEXaggData 4 2 3 2" xfId="44915"/>
    <cellStyle name="SAPBEXaggData 4 2 3 2 2" xfId="44916"/>
    <cellStyle name="SAPBEXaggData 4 2 3 3" xfId="44917"/>
    <cellStyle name="SAPBEXaggData 4 2 4" xfId="44918"/>
    <cellStyle name="SAPBEXaggData 4 3" xfId="44919"/>
    <cellStyle name="SAPBEXaggData 4 3 2" xfId="44920"/>
    <cellStyle name="SAPBEXaggData 4 3 2 2" xfId="44921"/>
    <cellStyle name="SAPBEXaggData 4 3 3" xfId="44922"/>
    <cellStyle name="SAPBEXaggData 4 4" xfId="44923"/>
    <cellStyle name="SAPBEXaggData 4 4 2" xfId="44924"/>
    <cellStyle name="SAPBEXaggData 4 4 2 2" xfId="44925"/>
    <cellStyle name="SAPBEXaggData 4 4 3" xfId="44926"/>
    <cellStyle name="SAPBEXaggData 4 5" xfId="44927"/>
    <cellStyle name="SAPBEXaggData 4 5 2" xfId="44928"/>
    <cellStyle name="SAPBEXaggData 4 5 2 2" xfId="44929"/>
    <cellStyle name="SAPBEXaggData 4 5 3" xfId="44930"/>
    <cellStyle name="SAPBEXaggData 4 6" xfId="44931"/>
    <cellStyle name="SAPBEXaggData 5" xfId="44932"/>
    <cellStyle name="SAPBEXaggData 5 2" xfId="44933"/>
    <cellStyle name="SAPBEXaggData 5 2 2" xfId="44934"/>
    <cellStyle name="SAPBEXaggData 5 3" xfId="44935"/>
    <cellStyle name="SAPBEXaggData 6" xfId="44936"/>
    <cellStyle name="SAPBEXaggData 6 2" xfId="44937"/>
    <cellStyle name="SAPBEXaggData 6 2 2" xfId="44938"/>
    <cellStyle name="SAPBEXaggData 6 3" xfId="44939"/>
    <cellStyle name="SAPBEXaggData 7" xfId="44940"/>
    <cellStyle name="SAPBEXaggData 7 2" xfId="44941"/>
    <cellStyle name="SAPBEXaggData 7 2 2" xfId="44942"/>
    <cellStyle name="SAPBEXaggData 7 3" xfId="44943"/>
    <cellStyle name="SAPBEXaggData 8" xfId="44944"/>
    <cellStyle name="SAPBEXaggData 8 2" xfId="44945"/>
    <cellStyle name="SAPBEXaggData 9" xfId="44946"/>
    <cellStyle name="SAPBEXaggData 9 2" xfId="44947"/>
    <cellStyle name="SAPBEXaggDataEmph" xfId="40"/>
    <cellStyle name="SAPBEXaggDataEmph 10" xfId="44948"/>
    <cellStyle name="SAPBEXaggDataEmph 10 2" xfId="44949"/>
    <cellStyle name="SAPBEXaggDataEmph 11" xfId="44950"/>
    <cellStyle name="SAPBEXaggDataEmph 11 2" xfId="44951"/>
    <cellStyle name="SAPBEXaggDataEmph 12" xfId="44952"/>
    <cellStyle name="SAPBEXaggDataEmph 13" xfId="44953"/>
    <cellStyle name="SAPBEXaggDataEmph 2" xfId="44954"/>
    <cellStyle name="SAPBEXaggDataEmph 2 2" xfId="44955"/>
    <cellStyle name="SAPBEXaggDataEmph 2 2 2" xfId="44956"/>
    <cellStyle name="SAPBEXaggDataEmph 2 2 2 2" xfId="44957"/>
    <cellStyle name="SAPBEXaggDataEmph 2 2 2 2 2" xfId="44958"/>
    <cellStyle name="SAPBEXaggDataEmph 2 2 2 2 2 2" xfId="44959"/>
    <cellStyle name="SAPBEXaggDataEmph 2 2 2 2 3" xfId="44960"/>
    <cellStyle name="SAPBEXaggDataEmph 2 2 2 3" xfId="44961"/>
    <cellStyle name="SAPBEXaggDataEmph 2 2 2 3 2" xfId="44962"/>
    <cellStyle name="SAPBEXaggDataEmph 2 2 2 4" xfId="44963"/>
    <cellStyle name="SAPBEXaggDataEmph 2 2 3" xfId="44964"/>
    <cellStyle name="SAPBEXaggDataEmph 2 2 3 2" xfId="44965"/>
    <cellStyle name="SAPBEXaggDataEmph 2 2 3 2 2" xfId="44966"/>
    <cellStyle name="SAPBEXaggDataEmph 2 2 3 3" xfId="44967"/>
    <cellStyle name="SAPBEXaggDataEmph 2 2 4" xfId="44968"/>
    <cellStyle name="SAPBEXaggDataEmph 2 2 4 2" xfId="44969"/>
    <cellStyle name="SAPBEXaggDataEmph 2 2 4 2 2" xfId="44970"/>
    <cellStyle name="SAPBEXaggDataEmph 2 2 4 3" xfId="44971"/>
    <cellStyle name="SAPBEXaggDataEmph 2 2 5" xfId="44972"/>
    <cellStyle name="SAPBEXaggDataEmph 2 2 5 2" xfId="44973"/>
    <cellStyle name="SAPBEXaggDataEmph 2 2 6" xfId="44974"/>
    <cellStyle name="SAPBEXaggDataEmph 2 3" xfId="44975"/>
    <cellStyle name="SAPBEXaggDataEmph 2 3 2" xfId="44976"/>
    <cellStyle name="SAPBEXaggDataEmph 2 4" xfId="44977"/>
    <cellStyle name="SAPBEXaggDataEmph 2 4 2" xfId="44978"/>
    <cellStyle name="SAPBEXaggDataEmph 2 4 2 2" xfId="44979"/>
    <cellStyle name="SAPBEXaggDataEmph 2 4 3" xfId="44980"/>
    <cellStyle name="SAPBEXaggDataEmph 2 5" xfId="44981"/>
    <cellStyle name="SAPBEXaggDataEmph 2 5 2" xfId="44982"/>
    <cellStyle name="SAPBEXaggDataEmph 2 5 2 2" xfId="44983"/>
    <cellStyle name="SAPBEXaggDataEmph 2 5 3" xfId="44984"/>
    <cellStyle name="SAPBEXaggDataEmph 2 6" xfId="44985"/>
    <cellStyle name="SAPBEXaggDataEmph 3" xfId="44986"/>
    <cellStyle name="SAPBEXaggDataEmph 3 2" xfId="44987"/>
    <cellStyle name="SAPBEXaggDataEmph 3 2 2" xfId="44988"/>
    <cellStyle name="SAPBEXaggDataEmph 3 3" xfId="44989"/>
    <cellStyle name="SAPBEXaggDataEmph 3 3 2" xfId="44990"/>
    <cellStyle name="SAPBEXaggDataEmph 3 3 2 2" xfId="44991"/>
    <cellStyle name="SAPBEXaggDataEmph 3 3 3" xfId="44992"/>
    <cellStyle name="SAPBEXaggDataEmph 3 4" xfId="44993"/>
    <cellStyle name="SAPBEXaggDataEmph 3 4 2" xfId="44994"/>
    <cellStyle name="SAPBEXaggDataEmph 3 4 2 2" xfId="44995"/>
    <cellStyle name="SAPBEXaggDataEmph 3 4 3" xfId="44996"/>
    <cellStyle name="SAPBEXaggDataEmph 3 5" xfId="44997"/>
    <cellStyle name="SAPBEXaggDataEmph 4" xfId="44998"/>
    <cellStyle name="SAPBEXaggDataEmph 4 2" xfId="44999"/>
    <cellStyle name="SAPBEXaggDataEmph 4 2 2" xfId="45000"/>
    <cellStyle name="SAPBEXaggDataEmph 4 2 2 2" xfId="45001"/>
    <cellStyle name="SAPBEXaggDataEmph 4 2 3" xfId="45002"/>
    <cellStyle name="SAPBEXaggDataEmph 4 2 3 2" xfId="45003"/>
    <cellStyle name="SAPBEXaggDataEmph 4 2 3 2 2" xfId="45004"/>
    <cellStyle name="SAPBEXaggDataEmph 4 2 3 3" xfId="45005"/>
    <cellStyle name="SAPBEXaggDataEmph 4 2 4" xfId="45006"/>
    <cellStyle name="SAPBEXaggDataEmph 4 3" xfId="45007"/>
    <cellStyle name="SAPBEXaggDataEmph 4 3 2" xfId="45008"/>
    <cellStyle name="SAPBEXaggDataEmph 4 3 2 2" xfId="45009"/>
    <cellStyle name="SAPBEXaggDataEmph 4 3 3" xfId="45010"/>
    <cellStyle name="SAPBEXaggDataEmph 4 4" xfId="45011"/>
    <cellStyle name="SAPBEXaggDataEmph 4 4 2" xfId="45012"/>
    <cellStyle name="SAPBEXaggDataEmph 4 4 2 2" xfId="45013"/>
    <cellStyle name="SAPBEXaggDataEmph 4 4 3" xfId="45014"/>
    <cellStyle name="SAPBEXaggDataEmph 4 5" xfId="45015"/>
    <cellStyle name="SAPBEXaggDataEmph 4 5 2" xfId="45016"/>
    <cellStyle name="SAPBEXaggDataEmph 4 5 2 2" xfId="45017"/>
    <cellStyle name="SAPBEXaggDataEmph 4 5 3" xfId="45018"/>
    <cellStyle name="SAPBEXaggDataEmph 4 6" xfId="45019"/>
    <cellStyle name="SAPBEXaggDataEmph 5" xfId="45020"/>
    <cellStyle name="SAPBEXaggDataEmph 5 2" xfId="45021"/>
    <cellStyle name="SAPBEXaggDataEmph 5 2 2" xfId="45022"/>
    <cellStyle name="SAPBEXaggDataEmph 5 3" xfId="45023"/>
    <cellStyle name="SAPBEXaggDataEmph 6" xfId="45024"/>
    <cellStyle name="SAPBEXaggDataEmph 6 2" xfId="45025"/>
    <cellStyle name="SAPBEXaggDataEmph 6 2 2" xfId="45026"/>
    <cellStyle name="SAPBEXaggDataEmph 6 3" xfId="45027"/>
    <cellStyle name="SAPBEXaggDataEmph 7" xfId="45028"/>
    <cellStyle name="SAPBEXaggDataEmph 7 2" xfId="45029"/>
    <cellStyle name="SAPBEXaggDataEmph 7 2 2" xfId="45030"/>
    <cellStyle name="SAPBEXaggDataEmph 7 3" xfId="45031"/>
    <cellStyle name="SAPBEXaggDataEmph 8" xfId="45032"/>
    <cellStyle name="SAPBEXaggDataEmph 8 2" xfId="45033"/>
    <cellStyle name="SAPBEXaggDataEmph 9" xfId="45034"/>
    <cellStyle name="SAPBEXaggDataEmph 9 2" xfId="45035"/>
    <cellStyle name="SAPBEXaggItem" xfId="41"/>
    <cellStyle name="SAPBEXaggItem 10" xfId="45036"/>
    <cellStyle name="SAPBEXaggItem 10 2" xfId="45037"/>
    <cellStyle name="SAPBEXaggItem 11" xfId="45038"/>
    <cellStyle name="SAPBEXaggItem 11 2" xfId="45039"/>
    <cellStyle name="SAPBEXaggItem 12" xfId="45040"/>
    <cellStyle name="SAPBEXaggItem 12 2" xfId="45041"/>
    <cellStyle name="SAPBEXaggItem 13" xfId="45042"/>
    <cellStyle name="SAPBEXaggItem 14" xfId="45043"/>
    <cellStyle name="SAPBEXaggItem 2" xfId="45044"/>
    <cellStyle name="SAPBEXaggItem 2 2" xfId="45045"/>
    <cellStyle name="SAPBEXaggItem 2 2 2" xfId="45046"/>
    <cellStyle name="SAPBEXaggItem 2 2 2 2" xfId="45047"/>
    <cellStyle name="SAPBEXaggItem 2 2 2 2 2" xfId="45048"/>
    <cellStyle name="SAPBEXaggItem 2 2 2 2 2 2" xfId="45049"/>
    <cellStyle name="SAPBEXaggItem 2 2 2 2 3" xfId="45050"/>
    <cellStyle name="SAPBEXaggItem 2 2 2 3" xfId="45051"/>
    <cellStyle name="SAPBEXaggItem 2 2 2 3 2" xfId="45052"/>
    <cellStyle name="SAPBEXaggItem 2 2 2 4" xfId="45053"/>
    <cellStyle name="SAPBEXaggItem 2 2 3" xfId="45054"/>
    <cellStyle name="SAPBEXaggItem 2 2 3 2" xfId="45055"/>
    <cellStyle name="SAPBEXaggItem 2 2 3 2 2" xfId="45056"/>
    <cellStyle name="SAPBEXaggItem 2 2 3 3" xfId="45057"/>
    <cellStyle name="SAPBEXaggItem 2 2 4" xfId="45058"/>
    <cellStyle name="SAPBEXaggItem 2 2 4 2" xfId="45059"/>
    <cellStyle name="SAPBEXaggItem 2 2 4 2 2" xfId="45060"/>
    <cellStyle name="SAPBEXaggItem 2 2 4 3" xfId="45061"/>
    <cellStyle name="SAPBEXaggItem 2 2 5" xfId="45062"/>
    <cellStyle name="SAPBEXaggItem 2 2 5 2" xfId="45063"/>
    <cellStyle name="SAPBEXaggItem 2 2 6" xfId="45064"/>
    <cellStyle name="SAPBEXaggItem 2 3" xfId="45065"/>
    <cellStyle name="SAPBEXaggItem 2 3 2" xfId="45066"/>
    <cellStyle name="SAPBEXaggItem 2 4" xfId="45067"/>
    <cellStyle name="SAPBEXaggItem 2 4 2" xfId="45068"/>
    <cellStyle name="SAPBEXaggItem 2 4 2 2" xfId="45069"/>
    <cellStyle name="SAPBEXaggItem 2 4 3" xfId="45070"/>
    <cellStyle name="SAPBEXaggItem 2 5" xfId="45071"/>
    <cellStyle name="SAPBEXaggItem 2 5 2" xfId="45072"/>
    <cellStyle name="SAPBEXaggItem 2 5 2 2" xfId="45073"/>
    <cellStyle name="SAPBEXaggItem 2 5 3" xfId="45074"/>
    <cellStyle name="SAPBEXaggItem 2 6" xfId="45075"/>
    <cellStyle name="SAPBEXaggItem 3" xfId="45076"/>
    <cellStyle name="SAPBEXaggItem 3 2" xfId="45077"/>
    <cellStyle name="SAPBEXaggItem 3 2 2" xfId="45078"/>
    <cellStyle name="SAPBEXaggItem 3 3" xfId="45079"/>
    <cellStyle name="SAPBEXaggItem 3 3 2" xfId="45080"/>
    <cellStyle name="SAPBEXaggItem 3 3 2 2" xfId="45081"/>
    <cellStyle name="SAPBEXaggItem 3 3 3" xfId="45082"/>
    <cellStyle name="SAPBEXaggItem 3 4" xfId="45083"/>
    <cellStyle name="SAPBEXaggItem 3 4 2" xfId="45084"/>
    <cellStyle name="SAPBEXaggItem 3 4 2 2" xfId="45085"/>
    <cellStyle name="SAPBEXaggItem 3 4 3" xfId="45086"/>
    <cellStyle name="SAPBEXaggItem 3 5" xfId="45087"/>
    <cellStyle name="SAPBEXaggItem 4" xfId="45088"/>
    <cellStyle name="SAPBEXaggItem 4 2" xfId="45089"/>
    <cellStyle name="SAPBEXaggItem 4 2 2" xfId="45090"/>
    <cellStyle name="SAPBEXaggItem 4 2 2 2" xfId="45091"/>
    <cellStyle name="SAPBEXaggItem 4 2 3" xfId="45092"/>
    <cellStyle name="SAPBEXaggItem 4 2 3 2" xfId="45093"/>
    <cellStyle name="SAPBEXaggItem 4 2 3 2 2" xfId="45094"/>
    <cellStyle name="SAPBEXaggItem 4 2 3 3" xfId="45095"/>
    <cellStyle name="SAPBEXaggItem 4 2 4" xfId="45096"/>
    <cellStyle name="SAPBEXaggItem 4 3" xfId="45097"/>
    <cellStyle name="SAPBEXaggItem 4 3 2" xfId="45098"/>
    <cellStyle name="SAPBEXaggItem 4 3 2 2" xfId="45099"/>
    <cellStyle name="SAPBEXaggItem 4 3 3" xfId="45100"/>
    <cellStyle name="SAPBEXaggItem 4 4" xfId="45101"/>
    <cellStyle name="SAPBEXaggItem 4 4 2" xfId="45102"/>
    <cellStyle name="SAPBEXaggItem 4 4 2 2" xfId="45103"/>
    <cellStyle name="SAPBEXaggItem 4 4 3" xfId="45104"/>
    <cellStyle name="SAPBEXaggItem 4 5" xfId="45105"/>
    <cellStyle name="SAPBEXaggItem 4 5 2" xfId="45106"/>
    <cellStyle name="SAPBEXaggItem 4 5 2 2" xfId="45107"/>
    <cellStyle name="SAPBEXaggItem 4 5 3" xfId="45108"/>
    <cellStyle name="SAPBEXaggItem 4 6" xfId="45109"/>
    <cellStyle name="SAPBEXaggItem 5" xfId="45110"/>
    <cellStyle name="SAPBEXaggItem 5 2" xfId="45111"/>
    <cellStyle name="SAPBEXaggItem 5 2 2" xfId="45112"/>
    <cellStyle name="SAPBEXaggItem 5 3" xfId="45113"/>
    <cellStyle name="SAPBEXaggItem 6" xfId="45114"/>
    <cellStyle name="SAPBEXaggItem 6 2" xfId="45115"/>
    <cellStyle name="SAPBEXaggItem 6 2 2" xfId="45116"/>
    <cellStyle name="SAPBEXaggItem 6 3" xfId="45117"/>
    <cellStyle name="SAPBEXaggItem 7" xfId="45118"/>
    <cellStyle name="SAPBEXaggItem 7 2" xfId="45119"/>
    <cellStyle name="SAPBEXaggItem 7 2 2" xfId="45120"/>
    <cellStyle name="SAPBEXaggItem 7 3" xfId="45121"/>
    <cellStyle name="SAPBEXaggItem 8" xfId="45122"/>
    <cellStyle name="SAPBEXaggItem 8 2" xfId="45123"/>
    <cellStyle name="SAPBEXaggItem 9" xfId="45124"/>
    <cellStyle name="SAPBEXaggItem 9 2" xfId="45125"/>
    <cellStyle name="SAPBEXaggItemX" xfId="42"/>
    <cellStyle name="SAPBEXaggItemX 10" xfId="45126"/>
    <cellStyle name="SAPBEXaggItemX 10 2" xfId="45127"/>
    <cellStyle name="SAPBEXaggItemX 10 2 2" xfId="45128"/>
    <cellStyle name="SAPBEXaggItemX 10 3" xfId="45129"/>
    <cellStyle name="SAPBEXaggItemX 11" xfId="45130"/>
    <cellStyle name="SAPBEXaggItemX 11 2" xfId="45131"/>
    <cellStyle name="SAPBEXaggItemX 12" xfId="45132"/>
    <cellStyle name="SAPBEXaggItemX 12 2" xfId="45133"/>
    <cellStyle name="SAPBEXaggItemX 12 2 2" xfId="45134"/>
    <cellStyle name="SAPBEXaggItemX 12 3" xfId="45135"/>
    <cellStyle name="SAPBEXaggItemX 12 3 2" xfId="45136"/>
    <cellStyle name="SAPBEXaggItemX 12 4" xfId="45137"/>
    <cellStyle name="SAPBEXaggItemX 13" xfId="45138"/>
    <cellStyle name="SAPBEXaggItemX 13 2" xfId="45139"/>
    <cellStyle name="SAPBEXaggItemX 14" xfId="45140"/>
    <cellStyle name="SAPBEXaggItemX 14 2" xfId="45141"/>
    <cellStyle name="SAPBEXaggItemX 15" xfId="45142"/>
    <cellStyle name="SAPBEXaggItemX 15 2" xfId="45143"/>
    <cellStyle name="SAPBEXaggItemX 16" xfId="45144"/>
    <cellStyle name="SAPBEXaggItemX 17" xfId="45145"/>
    <cellStyle name="SAPBEXaggItemX 2" xfId="45146"/>
    <cellStyle name="SAPBEXaggItemX 2 2" xfId="45147"/>
    <cellStyle name="SAPBEXaggItemX 2 2 2" xfId="45148"/>
    <cellStyle name="SAPBEXaggItemX 2 2 2 2" xfId="45149"/>
    <cellStyle name="SAPBEXaggItemX 2 2 2 2 2" xfId="45150"/>
    <cellStyle name="SAPBEXaggItemX 2 2 2 3" xfId="45151"/>
    <cellStyle name="SAPBEXaggItemX 2 2 3" xfId="45152"/>
    <cellStyle name="SAPBEXaggItemX 2 2 3 2" xfId="45153"/>
    <cellStyle name="SAPBEXaggItemX 2 2 3 2 2" xfId="45154"/>
    <cellStyle name="SAPBEXaggItemX 2 2 3 3" xfId="45155"/>
    <cellStyle name="SAPBEXaggItemX 2 2 4" xfId="45156"/>
    <cellStyle name="SAPBEXaggItemX 2 2 4 2" xfId="45157"/>
    <cellStyle name="SAPBEXaggItemX 2 2 4 2 2" xfId="45158"/>
    <cellStyle name="SAPBEXaggItemX 2 2 4 3" xfId="45159"/>
    <cellStyle name="SAPBEXaggItemX 2 2 5" xfId="45160"/>
    <cellStyle name="SAPBEXaggItemX 2 2 5 2" xfId="45161"/>
    <cellStyle name="SAPBEXaggItemX 2 2 6" xfId="45162"/>
    <cellStyle name="SAPBEXaggItemX 2 3" xfId="45163"/>
    <cellStyle name="SAPBEXaggItemX 2 3 2" xfId="45164"/>
    <cellStyle name="SAPBEXaggItemX 2 3 2 2" xfId="45165"/>
    <cellStyle name="SAPBEXaggItemX 2 3 2 2 2" xfId="45166"/>
    <cellStyle name="SAPBEXaggItemX 2 3 2 2 2 2" xfId="45167"/>
    <cellStyle name="SAPBEXaggItemX 2 3 2 2 3" xfId="45168"/>
    <cellStyle name="SAPBEXaggItemX 2 3 2 3" xfId="45169"/>
    <cellStyle name="SAPBEXaggItemX 2 3 2 3 2" xfId="45170"/>
    <cellStyle name="SAPBEXaggItemX 2 3 2 3 2 2" xfId="45171"/>
    <cellStyle name="SAPBEXaggItemX 2 3 2 3 3" xfId="45172"/>
    <cellStyle name="SAPBEXaggItemX 2 3 2 4" xfId="45173"/>
    <cellStyle name="SAPBEXaggItemX 2 3 2 4 2" xfId="45174"/>
    <cellStyle name="SAPBEXaggItemX 2 3 2 5" xfId="45175"/>
    <cellStyle name="SAPBEXaggItemX 2 3 3" xfId="45176"/>
    <cellStyle name="SAPBEXaggItemX 2 3 3 2" xfId="45177"/>
    <cellStyle name="SAPBEXaggItemX 2 3 3 2 2" xfId="45178"/>
    <cellStyle name="SAPBEXaggItemX 2 3 3 2 2 2" xfId="45179"/>
    <cellStyle name="SAPBEXaggItemX 2 3 3 2 3" xfId="45180"/>
    <cellStyle name="SAPBEXaggItemX 2 3 3 3" xfId="45181"/>
    <cellStyle name="SAPBEXaggItemX 2 3 3 3 2" xfId="45182"/>
    <cellStyle name="SAPBEXaggItemX 2 3 3 4" xfId="45183"/>
    <cellStyle name="SAPBEXaggItemX 2 3 4" xfId="45184"/>
    <cellStyle name="SAPBEXaggItemX 2 3 4 2" xfId="45185"/>
    <cellStyle name="SAPBEXaggItemX 2 3 4 2 2" xfId="45186"/>
    <cellStyle name="SAPBEXaggItemX 2 3 4 3" xfId="45187"/>
    <cellStyle name="SAPBEXaggItemX 2 3 5" xfId="45188"/>
    <cellStyle name="SAPBEXaggItemX 2 3 5 2" xfId="45189"/>
    <cellStyle name="SAPBEXaggItemX 2 3 5 2 2" xfId="45190"/>
    <cellStyle name="SAPBEXaggItemX 2 3 5 3" xfId="45191"/>
    <cellStyle name="SAPBEXaggItemX 2 3 6" xfId="45192"/>
    <cellStyle name="SAPBEXaggItemX 2 3 6 2" xfId="45193"/>
    <cellStyle name="SAPBEXaggItemX 2 3 7" xfId="45194"/>
    <cellStyle name="SAPBEXaggItemX 2 4" xfId="45195"/>
    <cellStyle name="SAPBEXaggItemX 2 4 2" xfId="45196"/>
    <cellStyle name="SAPBEXaggItemX 2 4 2 2" xfId="45197"/>
    <cellStyle name="SAPBEXaggItemX 2 4 2 2 2" xfId="45198"/>
    <cellStyle name="SAPBEXaggItemX 2 4 2 2 2 2" xfId="45199"/>
    <cellStyle name="SAPBEXaggItemX 2 4 2 2 3" xfId="45200"/>
    <cellStyle name="SAPBEXaggItemX 2 4 2 3" xfId="45201"/>
    <cellStyle name="SAPBEXaggItemX 2 4 2 3 2" xfId="45202"/>
    <cellStyle name="SAPBEXaggItemX 2 4 2 3 2 2" xfId="45203"/>
    <cellStyle name="SAPBEXaggItemX 2 4 2 3 3" xfId="45204"/>
    <cellStyle name="SAPBEXaggItemX 2 4 2 4" xfId="45205"/>
    <cellStyle name="SAPBEXaggItemX 2 4 2 4 2" xfId="45206"/>
    <cellStyle name="SAPBEXaggItemX 2 4 2 5" xfId="45207"/>
    <cellStyle name="SAPBEXaggItemX 2 4 3" xfId="45208"/>
    <cellStyle name="SAPBEXaggItemX 2 4 3 2" xfId="45209"/>
    <cellStyle name="SAPBEXaggItemX 2 4 3 2 2" xfId="45210"/>
    <cellStyle name="SAPBEXaggItemX 2 4 3 2 2 2" xfId="45211"/>
    <cellStyle name="SAPBEXaggItemX 2 4 3 2 3" xfId="45212"/>
    <cellStyle name="SAPBEXaggItemX 2 4 3 3" xfId="45213"/>
    <cellStyle name="SAPBEXaggItemX 2 4 3 3 2" xfId="45214"/>
    <cellStyle name="SAPBEXaggItemX 2 4 3 4" xfId="45215"/>
    <cellStyle name="SAPBEXaggItemX 2 4 4" xfId="45216"/>
    <cellStyle name="SAPBEXaggItemX 2 4 4 2" xfId="45217"/>
    <cellStyle name="SAPBEXaggItemX 2 4 4 2 2" xfId="45218"/>
    <cellStyle name="SAPBEXaggItemX 2 4 4 3" xfId="45219"/>
    <cellStyle name="SAPBEXaggItemX 2 4 5" xfId="45220"/>
    <cellStyle name="SAPBEXaggItemX 2 4 5 2" xfId="45221"/>
    <cellStyle name="SAPBEXaggItemX 2 4 6" xfId="45222"/>
    <cellStyle name="SAPBEXaggItemX 2 5" xfId="45223"/>
    <cellStyle name="SAPBEXaggItemX 2 5 2" xfId="45224"/>
    <cellStyle name="SAPBEXaggItemX 2 5 2 2" xfId="45225"/>
    <cellStyle name="SAPBEXaggItemX 2 5 2 2 2" xfId="45226"/>
    <cellStyle name="SAPBEXaggItemX 2 5 2 3" xfId="45227"/>
    <cellStyle name="SAPBEXaggItemX 2 5 3" xfId="45228"/>
    <cellStyle name="SAPBEXaggItemX 2 5 3 2" xfId="45229"/>
    <cellStyle name="SAPBEXaggItemX 2 5 4" xfId="45230"/>
    <cellStyle name="SAPBEXaggItemX 2 6" xfId="45231"/>
    <cellStyle name="SAPBEXaggItemX 2 6 2" xfId="45232"/>
    <cellStyle name="SAPBEXaggItemX 2 6 2 2" xfId="45233"/>
    <cellStyle name="SAPBEXaggItemX 2 6 3" xfId="45234"/>
    <cellStyle name="SAPBEXaggItemX 2 7" xfId="45235"/>
    <cellStyle name="SAPBEXaggItemX 2 7 2" xfId="45236"/>
    <cellStyle name="SAPBEXaggItemX 2 7 2 2" xfId="45237"/>
    <cellStyle name="SAPBEXaggItemX 2 7 3" xfId="45238"/>
    <cellStyle name="SAPBEXaggItemX 2 8" xfId="45239"/>
    <cellStyle name="SAPBEXaggItemX 2 8 2" xfId="45240"/>
    <cellStyle name="SAPBEXaggItemX 2 9" xfId="45241"/>
    <cellStyle name="SAPBEXaggItemX 3" xfId="45242"/>
    <cellStyle name="SAPBEXaggItemX 3 2" xfId="45243"/>
    <cellStyle name="SAPBEXaggItemX 3 2 2" xfId="45244"/>
    <cellStyle name="SAPBEXaggItemX 3 2 2 2" xfId="45245"/>
    <cellStyle name="SAPBEXaggItemX 3 2 2 2 2" xfId="45246"/>
    <cellStyle name="SAPBEXaggItemX 3 2 2 3" xfId="45247"/>
    <cellStyle name="SAPBEXaggItemX 3 2 3" xfId="45248"/>
    <cellStyle name="SAPBEXaggItemX 3 2 3 2" xfId="45249"/>
    <cellStyle name="SAPBEXaggItemX 3 2 3 2 2" xfId="45250"/>
    <cellStyle name="SAPBEXaggItemX 3 2 3 3" xfId="45251"/>
    <cellStyle name="SAPBEXaggItemX 3 2 4" xfId="45252"/>
    <cellStyle name="SAPBEXaggItemX 3 2 4 2" xfId="45253"/>
    <cellStyle name="SAPBEXaggItemX 3 2 4 2 2" xfId="45254"/>
    <cellStyle name="SAPBEXaggItemX 3 2 4 3" xfId="45255"/>
    <cellStyle name="SAPBEXaggItemX 3 2 5" xfId="45256"/>
    <cellStyle name="SAPBEXaggItemX 3 2 5 2" xfId="45257"/>
    <cellStyle name="SAPBEXaggItemX 3 2 6" xfId="45258"/>
    <cellStyle name="SAPBEXaggItemX 3 3" xfId="45259"/>
    <cellStyle name="SAPBEXaggItemX 3 3 2" xfId="45260"/>
    <cellStyle name="SAPBEXaggItemX 3 3 2 2" xfId="45261"/>
    <cellStyle name="SAPBEXaggItemX 3 3 2 2 2" xfId="45262"/>
    <cellStyle name="SAPBEXaggItemX 3 3 2 3" xfId="45263"/>
    <cellStyle name="SAPBEXaggItemX 3 3 3" xfId="45264"/>
    <cellStyle name="SAPBEXaggItemX 3 3 3 2" xfId="45265"/>
    <cellStyle name="SAPBEXaggItemX 3 3 4" xfId="45266"/>
    <cellStyle name="SAPBEXaggItemX 3 4" xfId="45267"/>
    <cellStyle name="SAPBEXaggItemX 3 4 2" xfId="45268"/>
    <cellStyle name="SAPBEXaggItemX 3 4 2 2" xfId="45269"/>
    <cellStyle name="SAPBEXaggItemX 3 4 3" xfId="45270"/>
    <cellStyle name="SAPBEXaggItemX 3 5" xfId="45271"/>
    <cellStyle name="SAPBEXaggItemX 3 5 2" xfId="45272"/>
    <cellStyle name="SAPBEXaggItemX 3 5 2 2" xfId="45273"/>
    <cellStyle name="SAPBEXaggItemX 3 5 3" xfId="45274"/>
    <cellStyle name="SAPBEXaggItemX 3 6" xfId="45275"/>
    <cellStyle name="SAPBEXaggItemX 3 6 2" xfId="45276"/>
    <cellStyle name="SAPBEXaggItemX 3 7" xfId="45277"/>
    <cellStyle name="SAPBEXaggItemX 4" xfId="45278"/>
    <cellStyle name="SAPBEXaggItemX 4 2" xfId="45279"/>
    <cellStyle name="SAPBEXaggItemX 4 2 2" xfId="45280"/>
    <cellStyle name="SAPBEXaggItemX 4 2 2 2" xfId="45281"/>
    <cellStyle name="SAPBEXaggItemX 4 2 2 2 2" xfId="45282"/>
    <cellStyle name="SAPBEXaggItemX 4 2 2 3" xfId="45283"/>
    <cellStyle name="SAPBEXaggItemX 4 2 3" xfId="45284"/>
    <cellStyle name="SAPBEXaggItemX 4 2 3 2" xfId="45285"/>
    <cellStyle name="SAPBEXaggItemX 4 2 3 2 2" xfId="45286"/>
    <cellStyle name="SAPBEXaggItemX 4 2 3 3" xfId="45287"/>
    <cellStyle name="SAPBEXaggItemX 4 2 4" xfId="45288"/>
    <cellStyle name="SAPBEXaggItemX 4 2 4 2" xfId="45289"/>
    <cellStyle name="SAPBEXaggItemX 4 2 4 2 2" xfId="45290"/>
    <cellStyle name="SAPBEXaggItemX 4 2 4 3" xfId="45291"/>
    <cellStyle name="SAPBEXaggItemX 4 2 5" xfId="45292"/>
    <cellStyle name="SAPBEXaggItemX 4 2 5 2" xfId="45293"/>
    <cellStyle name="SAPBEXaggItemX 4 2 6" xfId="45294"/>
    <cellStyle name="SAPBEXaggItemX 4 3" xfId="45295"/>
    <cellStyle name="SAPBEXaggItemX 4 3 2" xfId="45296"/>
    <cellStyle name="SAPBEXaggItemX 4 3 2 2" xfId="45297"/>
    <cellStyle name="SAPBEXaggItemX 4 3 2 2 2" xfId="45298"/>
    <cellStyle name="SAPBEXaggItemX 4 3 2 2 2 2" xfId="45299"/>
    <cellStyle name="SAPBEXaggItemX 4 3 2 2 3" xfId="45300"/>
    <cellStyle name="SAPBEXaggItemX 4 3 2 3" xfId="45301"/>
    <cellStyle name="SAPBEXaggItemX 4 3 2 3 2" xfId="45302"/>
    <cellStyle name="SAPBEXaggItemX 4 3 2 3 2 2" xfId="45303"/>
    <cellStyle name="SAPBEXaggItemX 4 3 2 3 3" xfId="45304"/>
    <cellStyle name="SAPBEXaggItemX 4 3 2 4" xfId="45305"/>
    <cellStyle name="SAPBEXaggItemX 4 3 2 4 2" xfId="45306"/>
    <cellStyle name="SAPBEXaggItemX 4 3 2 5" xfId="45307"/>
    <cellStyle name="SAPBEXaggItemX 4 3 3" xfId="45308"/>
    <cellStyle name="SAPBEXaggItemX 4 3 3 2" xfId="45309"/>
    <cellStyle name="SAPBEXaggItemX 4 3 3 2 2" xfId="45310"/>
    <cellStyle name="SAPBEXaggItemX 4 3 3 2 2 2" xfId="45311"/>
    <cellStyle name="SAPBEXaggItemX 4 3 3 2 3" xfId="45312"/>
    <cellStyle name="SAPBEXaggItemX 4 3 3 3" xfId="45313"/>
    <cellStyle name="SAPBEXaggItemX 4 3 3 3 2" xfId="45314"/>
    <cellStyle name="SAPBEXaggItemX 4 3 3 4" xfId="45315"/>
    <cellStyle name="SAPBEXaggItemX 4 3 4" xfId="45316"/>
    <cellStyle name="SAPBEXaggItemX 4 3 4 2" xfId="45317"/>
    <cellStyle name="SAPBEXaggItemX 4 3 4 2 2" xfId="45318"/>
    <cellStyle name="SAPBEXaggItemX 4 3 4 3" xfId="45319"/>
    <cellStyle name="SAPBEXaggItemX 4 3 5" xfId="45320"/>
    <cellStyle name="SAPBEXaggItemX 4 3 5 2" xfId="45321"/>
    <cellStyle name="SAPBEXaggItemX 4 3 5 2 2" xfId="45322"/>
    <cellStyle name="SAPBEXaggItemX 4 3 5 3" xfId="45323"/>
    <cellStyle name="SAPBEXaggItemX 4 3 6" xfId="45324"/>
    <cellStyle name="SAPBEXaggItemX 4 3 6 2" xfId="45325"/>
    <cellStyle name="SAPBEXaggItemX 4 3 7" xfId="45326"/>
    <cellStyle name="SAPBEXaggItemX 4 4" xfId="45327"/>
    <cellStyle name="SAPBEXaggItemX 4 4 2" xfId="45328"/>
    <cellStyle name="SAPBEXaggItemX 4 4 2 2" xfId="45329"/>
    <cellStyle name="SAPBEXaggItemX 4 4 2 2 2" xfId="45330"/>
    <cellStyle name="SAPBEXaggItemX 4 4 2 3" xfId="45331"/>
    <cellStyle name="SAPBEXaggItemX 4 4 3" xfId="45332"/>
    <cellStyle name="SAPBEXaggItemX 4 4 3 2" xfId="45333"/>
    <cellStyle name="SAPBEXaggItemX 4 4 4" xfId="45334"/>
    <cellStyle name="SAPBEXaggItemX 4 5" xfId="45335"/>
    <cellStyle name="SAPBEXaggItemX 4 5 2" xfId="45336"/>
    <cellStyle name="SAPBEXaggItemX 4 5 2 2" xfId="45337"/>
    <cellStyle name="SAPBEXaggItemX 4 5 3" xfId="45338"/>
    <cellStyle name="SAPBEXaggItemX 4 6" xfId="45339"/>
    <cellStyle name="SAPBEXaggItemX 4 6 2" xfId="45340"/>
    <cellStyle name="SAPBEXaggItemX 4 6 2 2" xfId="45341"/>
    <cellStyle name="SAPBEXaggItemX 4 6 3" xfId="45342"/>
    <cellStyle name="SAPBEXaggItemX 4 7" xfId="45343"/>
    <cellStyle name="SAPBEXaggItemX 4 7 2" xfId="45344"/>
    <cellStyle name="SAPBEXaggItemX 4 8" xfId="45345"/>
    <cellStyle name="SAPBEXaggItemX 5" xfId="45346"/>
    <cellStyle name="SAPBEXaggItemX 5 2" xfId="45347"/>
    <cellStyle name="SAPBEXaggItemX 5 2 2" xfId="45348"/>
    <cellStyle name="SAPBEXaggItemX 5 2 2 2" xfId="45349"/>
    <cellStyle name="SAPBEXaggItemX 5 2 3" xfId="45350"/>
    <cellStyle name="SAPBEXaggItemX 5 3" xfId="45351"/>
    <cellStyle name="SAPBEXaggItemX 5 3 2" xfId="45352"/>
    <cellStyle name="SAPBEXaggItemX 5 3 2 2" xfId="45353"/>
    <cellStyle name="SAPBEXaggItemX 5 3 3" xfId="45354"/>
    <cellStyle name="SAPBEXaggItemX 5 4" xfId="45355"/>
    <cellStyle name="SAPBEXaggItemX 5 4 2" xfId="45356"/>
    <cellStyle name="SAPBEXaggItemX 5 4 2 2" xfId="45357"/>
    <cellStyle name="SAPBEXaggItemX 5 4 3" xfId="45358"/>
    <cellStyle name="SAPBEXaggItemX 5 5" xfId="45359"/>
    <cellStyle name="SAPBEXaggItemX 5 5 2" xfId="45360"/>
    <cellStyle name="SAPBEXaggItemX 5 6" xfId="45361"/>
    <cellStyle name="SAPBEXaggItemX 6" xfId="45362"/>
    <cellStyle name="SAPBEXaggItemX 6 2" xfId="45363"/>
    <cellStyle name="SAPBEXaggItemX 6 2 2" xfId="45364"/>
    <cellStyle name="SAPBEXaggItemX 6 3" xfId="45365"/>
    <cellStyle name="SAPBEXaggItemX 6 3 2" xfId="45366"/>
    <cellStyle name="SAPBEXaggItemX 6 3 2 2" xfId="45367"/>
    <cellStyle name="SAPBEXaggItemX 6 3 3" xfId="45368"/>
    <cellStyle name="SAPBEXaggItemX 6 4" xfId="45369"/>
    <cellStyle name="SAPBEXaggItemX 6 4 2" xfId="45370"/>
    <cellStyle name="SAPBEXaggItemX 6 4 2 2" xfId="45371"/>
    <cellStyle name="SAPBEXaggItemX 6 4 3" xfId="45372"/>
    <cellStyle name="SAPBEXaggItemX 6 5" xfId="45373"/>
    <cellStyle name="SAPBEXaggItemX 7" xfId="45374"/>
    <cellStyle name="SAPBEXaggItemX 7 2" xfId="45375"/>
    <cellStyle name="SAPBEXaggItemX 7 2 2" xfId="45376"/>
    <cellStyle name="SAPBEXaggItemX 7 2 2 2" xfId="45377"/>
    <cellStyle name="SAPBEXaggItemX 7 2 3" xfId="45378"/>
    <cellStyle name="SAPBEXaggItemX 7 2 3 2" xfId="45379"/>
    <cellStyle name="SAPBEXaggItemX 7 2 3 2 2" xfId="45380"/>
    <cellStyle name="SAPBEXaggItemX 7 2 3 3" xfId="45381"/>
    <cellStyle name="SAPBEXaggItemX 7 2 4" xfId="45382"/>
    <cellStyle name="SAPBEXaggItemX 7 3" xfId="45383"/>
    <cellStyle name="SAPBEXaggItemX 7 3 2" xfId="45384"/>
    <cellStyle name="SAPBEXaggItemX 7 3 2 2" xfId="45385"/>
    <cellStyle name="SAPBEXaggItemX 7 3 3" xfId="45386"/>
    <cellStyle name="SAPBEXaggItemX 7 4" xfId="45387"/>
    <cellStyle name="SAPBEXaggItemX 7 4 2" xfId="45388"/>
    <cellStyle name="SAPBEXaggItemX 7 4 2 2" xfId="45389"/>
    <cellStyle name="SAPBEXaggItemX 7 4 3" xfId="45390"/>
    <cellStyle name="SAPBEXaggItemX 7 5" xfId="45391"/>
    <cellStyle name="SAPBEXaggItemX 7 5 2" xfId="45392"/>
    <cellStyle name="SAPBEXaggItemX 7 5 2 2" xfId="45393"/>
    <cellStyle name="SAPBEXaggItemX 7 5 3" xfId="45394"/>
    <cellStyle name="SAPBEXaggItemX 7 6" xfId="45395"/>
    <cellStyle name="SAPBEXaggItemX 8" xfId="45396"/>
    <cellStyle name="SAPBEXaggItemX 8 2" xfId="45397"/>
    <cellStyle name="SAPBEXaggItemX 8 2 2" xfId="45398"/>
    <cellStyle name="SAPBEXaggItemX 8 3" xfId="45399"/>
    <cellStyle name="SAPBEXaggItemX 9" xfId="45400"/>
    <cellStyle name="SAPBEXaggItemX 9 2" xfId="45401"/>
    <cellStyle name="SAPBEXaggItemX 9 2 2" xfId="45402"/>
    <cellStyle name="SAPBEXaggItemX 9 3" xfId="45403"/>
    <cellStyle name="SAPBEXchaText" xfId="43"/>
    <cellStyle name="SAPBEXchaText 2" xfId="45404"/>
    <cellStyle name="SAPBEXchaText 2 2" xfId="45405"/>
    <cellStyle name="SAPBEXchaText 2 3" xfId="45406"/>
    <cellStyle name="SAPBEXchaText 2 3 2" xfId="45407"/>
    <cellStyle name="SAPBEXchaText 2 3 2 2" xfId="45408"/>
    <cellStyle name="SAPBEXchaText 2 3 3" xfId="45409"/>
    <cellStyle name="SAPBEXchaText 2 4" xfId="45410"/>
    <cellStyle name="SAPBEXchaText 2 4 2" xfId="45411"/>
    <cellStyle name="SAPBEXchaText 2 4 2 2" xfId="45412"/>
    <cellStyle name="SAPBEXchaText 2 4 3" xfId="45413"/>
    <cellStyle name="SAPBEXchaText 2 5" xfId="45414"/>
    <cellStyle name="SAPBEXchaText 2 5 2" xfId="45415"/>
    <cellStyle name="SAPBEXchaText 2 5 2 2" xfId="45416"/>
    <cellStyle name="SAPBEXchaText 2 5 2 2 2" xfId="45417"/>
    <cellStyle name="SAPBEXchaText 2 5 2 3" xfId="45418"/>
    <cellStyle name="SAPBEXchaText 2 5 3" xfId="45419"/>
    <cellStyle name="SAPBEXchaText 2 5 3 2" xfId="45420"/>
    <cellStyle name="SAPBEXchaText 2 5 4" xfId="45421"/>
    <cellStyle name="SAPBEXchaText 3" xfId="45422"/>
    <cellStyle name="SAPBEXchaText 3 2" xfId="45423"/>
    <cellStyle name="SAPBEXchaText 3 2 2" xfId="45424"/>
    <cellStyle name="SAPBEXchaText 3 2 2 2" xfId="45425"/>
    <cellStyle name="SAPBEXchaText 3 2 3" xfId="45426"/>
    <cellStyle name="SAPBEXchaText 3 3" xfId="45427"/>
    <cellStyle name="SAPBEXchaText 3 3 2" xfId="45428"/>
    <cellStyle name="SAPBEXchaText 3 4" xfId="45429"/>
    <cellStyle name="SAPBEXchaText 4" xfId="45430"/>
    <cellStyle name="SAPBEXchaText 4 2" xfId="45431"/>
    <cellStyle name="SAPBEXchaText 4 2 2" xfId="45432"/>
    <cellStyle name="SAPBEXchaText 4 3" xfId="45433"/>
    <cellStyle name="SAPBEXchaText 5" xfId="45434"/>
    <cellStyle name="SAPBEXchaText 5 2" xfId="45435"/>
    <cellStyle name="SAPBEXchaText 5 2 2" xfId="45436"/>
    <cellStyle name="SAPBEXchaText 5 3" xfId="45437"/>
    <cellStyle name="SAPBEXchaText 6" xfId="45438"/>
    <cellStyle name="SAPBEXchaText 6 2" xfId="45439"/>
    <cellStyle name="SAPBEXchaText 6 2 2" xfId="45440"/>
    <cellStyle name="SAPBEXchaText 6 3" xfId="45441"/>
    <cellStyle name="SAPBEXchaText 7" xfId="45442"/>
    <cellStyle name="SAPBEXchaText 7 2" xfId="45443"/>
    <cellStyle name="SAPBEXchaText 8" xfId="45444"/>
    <cellStyle name="SAPBEXchaText 8 2" xfId="45445"/>
    <cellStyle name="SAPBEXchaText 9" xfId="45446"/>
    <cellStyle name="SAPBEXchaText_2010-2019 IP Run March 9, 2010" xfId="45447"/>
    <cellStyle name="SAPBEXexcBad7" xfId="44"/>
    <cellStyle name="SAPBEXexcBad7 10" xfId="45448"/>
    <cellStyle name="SAPBEXexcBad7 10 2" xfId="45449"/>
    <cellStyle name="SAPBEXexcBad7 11" xfId="45450"/>
    <cellStyle name="SAPBEXexcBad7 11 2" xfId="45451"/>
    <cellStyle name="SAPBEXexcBad7 12" xfId="45452"/>
    <cellStyle name="SAPBEXexcBad7 12 2" xfId="45453"/>
    <cellStyle name="SAPBEXexcBad7 13" xfId="45454"/>
    <cellStyle name="SAPBEXexcBad7 14" xfId="45455"/>
    <cellStyle name="SAPBEXexcBad7 2" xfId="45456"/>
    <cellStyle name="SAPBEXexcBad7 2 2" xfId="45457"/>
    <cellStyle name="SAPBEXexcBad7 2 2 2" xfId="45458"/>
    <cellStyle name="SAPBEXexcBad7 2 2 2 2" xfId="45459"/>
    <cellStyle name="SAPBEXexcBad7 2 2 2 2 2" xfId="45460"/>
    <cellStyle name="SAPBEXexcBad7 2 2 2 2 2 2" xfId="45461"/>
    <cellStyle name="SAPBEXexcBad7 2 2 2 2 3" xfId="45462"/>
    <cellStyle name="SAPBEXexcBad7 2 2 2 3" xfId="45463"/>
    <cellStyle name="SAPBEXexcBad7 2 2 2 3 2" xfId="45464"/>
    <cellStyle name="SAPBEXexcBad7 2 2 2 4" xfId="45465"/>
    <cellStyle name="SAPBEXexcBad7 2 2 3" xfId="45466"/>
    <cellStyle name="SAPBEXexcBad7 2 2 3 2" xfId="45467"/>
    <cellStyle name="SAPBEXexcBad7 2 2 3 2 2" xfId="45468"/>
    <cellStyle name="SAPBEXexcBad7 2 2 3 3" xfId="45469"/>
    <cellStyle name="SAPBEXexcBad7 2 2 4" xfId="45470"/>
    <cellStyle name="SAPBEXexcBad7 2 2 4 2" xfId="45471"/>
    <cellStyle name="SAPBEXexcBad7 2 2 4 2 2" xfId="45472"/>
    <cellStyle name="SAPBEXexcBad7 2 2 4 3" xfId="45473"/>
    <cellStyle name="SAPBEXexcBad7 2 2 5" xfId="45474"/>
    <cellStyle name="SAPBEXexcBad7 2 2 5 2" xfId="45475"/>
    <cellStyle name="SAPBEXexcBad7 2 2 6" xfId="45476"/>
    <cellStyle name="SAPBEXexcBad7 2 3" xfId="45477"/>
    <cellStyle name="SAPBEXexcBad7 2 3 2" xfId="45478"/>
    <cellStyle name="SAPBEXexcBad7 2 3 2 2" xfId="45479"/>
    <cellStyle name="SAPBEXexcBad7 2 3 3" xfId="45480"/>
    <cellStyle name="SAPBEXexcBad7 2 4" xfId="45481"/>
    <cellStyle name="SAPBEXexcBad7 2 4 2" xfId="45482"/>
    <cellStyle name="SAPBEXexcBad7 2 4 2 2" xfId="45483"/>
    <cellStyle name="SAPBEXexcBad7 2 4 3" xfId="45484"/>
    <cellStyle name="SAPBEXexcBad7 2 5" xfId="45485"/>
    <cellStyle name="SAPBEXexcBad7 2 5 2" xfId="45486"/>
    <cellStyle name="SAPBEXexcBad7 2 5 2 2" xfId="45487"/>
    <cellStyle name="SAPBEXexcBad7 2 5 3" xfId="45488"/>
    <cellStyle name="SAPBEXexcBad7 2 6" xfId="45489"/>
    <cellStyle name="SAPBEXexcBad7 2 6 2" xfId="45490"/>
    <cellStyle name="SAPBEXexcBad7 2 7" xfId="45491"/>
    <cellStyle name="SAPBEXexcBad7 3" xfId="45492"/>
    <cellStyle name="SAPBEXexcBad7 3 2" xfId="45493"/>
    <cellStyle name="SAPBEXexcBad7 3 2 2" xfId="45494"/>
    <cellStyle name="SAPBEXexcBad7 3 3" xfId="45495"/>
    <cellStyle name="SAPBEXexcBad7 3 3 2" xfId="45496"/>
    <cellStyle name="SAPBEXexcBad7 3 3 2 2" xfId="45497"/>
    <cellStyle name="SAPBEXexcBad7 3 3 3" xfId="45498"/>
    <cellStyle name="SAPBEXexcBad7 3 4" xfId="45499"/>
    <cellStyle name="SAPBEXexcBad7 3 4 2" xfId="45500"/>
    <cellStyle name="SAPBEXexcBad7 3 4 2 2" xfId="45501"/>
    <cellStyle name="SAPBEXexcBad7 3 4 3" xfId="45502"/>
    <cellStyle name="SAPBEXexcBad7 3 5" xfId="45503"/>
    <cellStyle name="SAPBEXexcBad7 4" xfId="45504"/>
    <cellStyle name="SAPBEXexcBad7 4 2" xfId="45505"/>
    <cellStyle name="SAPBEXexcBad7 4 2 2" xfId="45506"/>
    <cellStyle name="SAPBEXexcBad7 4 2 2 2" xfId="45507"/>
    <cellStyle name="SAPBEXexcBad7 4 2 3" xfId="45508"/>
    <cellStyle name="SAPBEXexcBad7 4 2 3 2" xfId="45509"/>
    <cellStyle name="SAPBEXexcBad7 4 2 3 2 2" xfId="45510"/>
    <cellStyle name="SAPBEXexcBad7 4 2 3 3" xfId="45511"/>
    <cellStyle name="SAPBEXexcBad7 4 2 4" xfId="45512"/>
    <cellStyle name="SAPBEXexcBad7 4 3" xfId="45513"/>
    <cellStyle name="SAPBEXexcBad7 4 3 2" xfId="45514"/>
    <cellStyle name="SAPBEXexcBad7 4 3 2 2" xfId="45515"/>
    <cellStyle name="SAPBEXexcBad7 4 3 3" xfId="45516"/>
    <cellStyle name="SAPBEXexcBad7 4 4" xfId="45517"/>
    <cellStyle name="SAPBEXexcBad7 4 4 2" xfId="45518"/>
    <cellStyle name="SAPBEXexcBad7 4 4 2 2" xfId="45519"/>
    <cellStyle name="SAPBEXexcBad7 4 4 3" xfId="45520"/>
    <cellStyle name="SAPBEXexcBad7 4 5" xfId="45521"/>
    <cellStyle name="SAPBEXexcBad7 4 5 2" xfId="45522"/>
    <cellStyle name="SAPBEXexcBad7 4 5 2 2" xfId="45523"/>
    <cellStyle name="SAPBEXexcBad7 4 5 3" xfId="45524"/>
    <cellStyle name="SAPBEXexcBad7 4 6" xfId="45525"/>
    <cellStyle name="SAPBEXexcBad7 5" xfId="45526"/>
    <cellStyle name="SAPBEXexcBad7 5 2" xfId="45527"/>
    <cellStyle name="SAPBEXexcBad7 5 2 2" xfId="45528"/>
    <cellStyle name="SAPBEXexcBad7 5 3" xfId="45529"/>
    <cellStyle name="SAPBEXexcBad7 6" xfId="45530"/>
    <cellStyle name="SAPBEXexcBad7 6 2" xfId="45531"/>
    <cellStyle name="SAPBEXexcBad7 6 2 2" xfId="45532"/>
    <cellStyle name="SAPBEXexcBad7 6 3" xfId="45533"/>
    <cellStyle name="SAPBEXexcBad7 7" xfId="45534"/>
    <cellStyle name="SAPBEXexcBad7 7 2" xfId="45535"/>
    <cellStyle name="SAPBEXexcBad7 7 2 2" xfId="45536"/>
    <cellStyle name="SAPBEXexcBad7 7 3" xfId="45537"/>
    <cellStyle name="SAPBEXexcBad7 8" xfId="45538"/>
    <cellStyle name="SAPBEXexcBad7 8 2" xfId="45539"/>
    <cellStyle name="SAPBEXexcBad7 9" xfId="45540"/>
    <cellStyle name="SAPBEXexcBad7 9 2" xfId="45541"/>
    <cellStyle name="SAPBEXexcBad8" xfId="45"/>
    <cellStyle name="SAPBEXexcBad8 10" xfId="45542"/>
    <cellStyle name="SAPBEXexcBad8 10 2" xfId="45543"/>
    <cellStyle name="SAPBEXexcBad8 11" xfId="45544"/>
    <cellStyle name="SAPBEXexcBad8 11 2" xfId="45545"/>
    <cellStyle name="SAPBEXexcBad8 12" xfId="45546"/>
    <cellStyle name="SAPBEXexcBad8 12 2" xfId="45547"/>
    <cellStyle name="SAPBEXexcBad8 13" xfId="45548"/>
    <cellStyle name="SAPBEXexcBad8 14" xfId="45549"/>
    <cellStyle name="SAPBEXexcBad8 2" xfId="45550"/>
    <cellStyle name="SAPBEXexcBad8 2 2" xfId="45551"/>
    <cellStyle name="SAPBEXexcBad8 2 2 2" xfId="45552"/>
    <cellStyle name="SAPBEXexcBad8 2 2 2 2" xfId="45553"/>
    <cellStyle name="SAPBEXexcBad8 2 2 2 2 2" xfId="45554"/>
    <cellStyle name="SAPBEXexcBad8 2 2 2 2 2 2" xfId="45555"/>
    <cellStyle name="SAPBEXexcBad8 2 2 2 2 3" xfId="45556"/>
    <cellStyle name="SAPBEXexcBad8 2 2 2 3" xfId="45557"/>
    <cellStyle name="SAPBEXexcBad8 2 2 2 3 2" xfId="45558"/>
    <cellStyle name="SAPBEXexcBad8 2 2 2 4" xfId="45559"/>
    <cellStyle name="SAPBEXexcBad8 2 2 3" xfId="45560"/>
    <cellStyle name="SAPBEXexcBad8 2 2 3 2" xfId="45561"/>
    <cellStyle name="SAPBEXexcBad8 2 2 3 2 2" xfId="45562"/>
    <cellStyle name="SAPBEXexcBad8 2 2 3 3" xfId="45563"/>
    <cellStyle name="SAPBEXexcBad8 2 2 4" xfId="45564"/>
    <cellStyle name="SAPBEXexcBad8 2 2 4 2" xfId="45565"/>
    <cellStyle name="SAPBEXexcBad8 2 2 4 2 2" xfId="45566"/>
    <cellStyle name="SAPBEXexcBad8 2 2 4 3" xfId="45567"/>
    <cellStyle name="SAPBEXexcBad8 2 2 5" xfId="45568"/>
    <cellStyle name="SAPBEXexcBad8 2 2 5 2" xfId="45569"/>
    <cellStyle name="SAPBEXexcBad8 2 2 6" xfId="45570"/>
    <cellStyle name="SAPBEXexcBad8 2 3" xfId="45571"/>
    <cellStyle name="SAPBEXexcBad8 2 3 2" xfId="45572"/>
    <cellStyle name="SAPBEXexcBad8 2 3 2 2" xfId="45573"/>
    <cellStyle name="SAPBEXexcBad8 2 3 3" xfId="45574"/>
    <cellStyle name="SAPBEXexcBad8 2 4" xfId="45575"/>
    <cellStyle name="SAPBEXexcBad8 2 4 2" xfId="45576"/>
    <cellStyle name="SAPBEXexcBad8 2 4 2 2" xfId="45577"/>
    <cellStyle name="SAPBEXexcBad8 2 4 3" xfId="45578"/>
    <cellStyle name="SAPBEXexcBad8 2 5" xfId="45579"/>
    <cellStyle name="SAPBEXexcBad8 2 5 2" xfId="45580"/>
    <cellStyle name="SAPBEXexcBad8 2 5 2 2" xfId="45581"/>
    <cellStyle name="SAPBEXexcBad8 2 5 3" xfId="45582"/>
    <cellStyle name="SAPBEXexcBad8 2 6" xfId="45583"/>
    <cellStyle name="SAPBEXexcBad8 2 6 2" xfId="45584"/>
    <cellStyle name="SAPBEXexcBad8 2 7" xfId="45585"/>
    <cellStyle name="SAPBEXexcBad8 3" xfId="45586"/>
    <cellStyle name="SAPBEXexcBad8 3 2" xfId="45587"/>
    <cellStyle name="SAPBEXexcBad8 3 2 2" xfId="45588"/>
    <cellStyle name="SAPBEXexcBad8 3 3" xfId="45589"/>
    <cellStyle name="SAPBEXexcBad8 3 3 2" xfId="45590"/>
    <cellStyle name="SAPBEXexcBad8 3 3 2 2" xfId="45591"/>
    <cellStyle name="SAPBEXexcBad8 3 3 3" xfId="45592"/>
    <cellStyle name="SAPBEXexcBad8 3 4" xfId="45593"/>
    <cellStyle name="SAPBEXexcBad8 3 4 2" xfId="45594"/>
    <cellStyle name="SAPBEXexcBad8 3 4 2 2" xfId="45595"/>
    <cellStyle name="SAPBEXexcBad8 3 4 3" xfId="45596"/>
    <cellStyle name="SAPBEXexcBad8 3 5" xfId="45597"/>
    <cellStyle name="SAPBEXexcBad8 4" xfId="45598"/>
    <cellStyle name="SAPBEXexcBad8 4 2" xfId="45599"/>
    <cellStyle name="SAPBEXexcBad8 4 2 2" xfId="45600"/>
    <cellStyle name="SAPBEXexcBad8 4 2 2 2" xfId="45601"/>
    <cellStyle name="SAPBEXexcBad8 4 2 3" xfId="45602"/>
    <cellStyle name="SAPBEXexcBad8 4 2 3 2" xfId="45603"/>
    <cellStyle name="SAPBEXexcBad8 4 2 3 2 2" xfId="45604"/>
    <cellStyle name="SAPBEXexcBad8 4 2 3 3" xfId="45605"/>
    <cellStyle name="SAPBEXexcBad8 4 2 4" xfId="45606"/>
    <cellStyle name="SAPBEXexcBad8 4 3" xfId="45607"/>
    <cellStyle name="SAPBEXexcBad8 4 3 2" xfId="45608"/>
    <cellStyle name="SAPBEXexcBad8 4 3 2 2" xfId="45609"/>
    <cellStyle name="SAPBEXexcBad8 4 3 3" xfId="45610"/>
    <cellStyle name="SAPBEXexcBad8 4 4" xfId="45611"/>
    <cellStyle name="SAPBEXexcBad8 4 4 2" xfId="45612"/>
    <cellStyle name="SAPBEXexcBad8 4 4 2 2" xfId="45613"/>
    <cellStyle name="SAPBEXexcBad8 4 4 3" xfId="45614"/>
    <cellStyle name="SAPBEXexcBad8 4 5" xfId="45615"/>
    <cellStyle name="SAPBEXexcBad8 4 5 2" xfId="45616"/>
    <cellStyle name="SAPBEXexcBad8 4 5 2 2" xfId="45617"/>
    <cellStyle name="SAPBEXexcBad8 4 5 3" xfId="45618"/>
    <cellStyle name="SAPBEXexcBad8 4 6" xfId="45619"/>
    <cellStyle name="SAPBEXexcBad8 5" xfId="45620"/>
    <cellStyle name="SAPBEXexcBad8 5 2" xfId="45621"/>
    <cellStyle name="SAPBEXexcBad8 5 2 2" xfId="45622"/>
    <cellStyle name="SAPBEXexcBad8 5 3" xfId="45623"/>
    <cellStyle name="SAPBEXexcBad8 6" xfId="45624"/>
    <cellStyle name="SAPBEXexcBad8 6 2" xfId="45625"/>
    <cellStyle name="SAPBEXexcBad8 6 2 2" xfId="45626"/>
    <cellStyle name="SAPBEXexcBad8 6 3" xfId="45627"/>
    <cellStyle name="SAPBEXexcBad8 7" xfId="45628"/>
    <cellStyle name="SAPBEXexcBad8 7 2" xfId="45629"/>
    <cellStyle name="SAPBEXexcBad8 7 2 2" xfId="45630"/>
    <cellStyle name="SAPBEXexcBad8 7 3" xfId="45631"/>
    <cellStyle name="SAPBEXexcBad8 8" xfId="45632"/>
    <cellStyle name="SAPBEXexcBad8 8 2" xfId="45633"/>
    <cellStyle name="SAPBEXexcBad8 9" xfId="45634"/>
    <cellStyle name="SAPBEXexcBad8 9 2" xfId="45635"/>
    <cellStyle name="SAPBEXexcBad9" xfId="46"/>
    <cellStyle name="SAPBEXexcBad9 10" xfId="45636"/>
    <cellStyle name="SAPBEXexcBad9 10 2" xfId="45637"/>
    <cellStyle name="SAPBEXexcBad9 11" xfId="45638"/>
    <cellStyle name="SAPBEXexcBad9 11 2" xfId="45639"/>
    <cellStyle name="SAPBEXexcBad9 12" xfId="45640"/>
    <cellStyle name="SAPBEXexcBad9 12 2" xfId="45641"/>
    <cellStyle name="SAPBEXexcBad9 13" xfId="45642"/>
    <cellStyle name="SAPBEXexcBad9 2" xfId="45643"/>
    <cellStyle name="SAPBEXexcBad9 2 2" xfId="45644"/>
    <cellStyle name="SAPBEXexcBad9 2 2 2" xfId="45645"/>
    <cellStyle name="SAPBEXexcBad9 2 2 2 2" xfId="45646"/>
    <cellStyle name="SAPBEXexcBad9 2 2 2 2 2" xfId="45647"/>
    <cellStyle name="SAPBEXexcBad9 2 2 2 2 2 2" xfId="45648"/>
    <cellStyle name="SAPBEXexcBad9 2 2 2 2 3" xfId="45649"/>
    <cellStyle name="SAPBEXexcBad9 2 2 2 3" xfId="45650"/>
    <cellStyle name="SAPBEXexcBad9 2 2 2 3 2" xfId="45651"/>
    <cellStyle name="SAPBEXexcBad9 2 2 2 4" xfId="45652"/>
    <cellStyle name="SAPBEXexcBad9 2 2 3" xfId="45653"/>
    <cellStyle name="SAPBEXexcBad9 2 2 3 2" xfId="45654"/>
    <cellStyle name="SAPBEXexcBad9 2 2 3 2 2" xfId="45655"/>
    <cellStyle name="SAPBEXexcBad9 2 2 3 3" xfId="45656"/>
    <cellStyle name="SAPBEXexcBad9 2 2 4" xfId="45657"/>
    <cellStyle name="SAPBEXexcBad9 2 2 4 2" xfId="45658"/>
    <cellStyle name="SAPBEXexcBad9 2 2 4 2 2" xfId="45659"/>
    <cellStyle name="SAPBEXexcBad9 2 2 4 3" xfId="45660"/>
    <cellStyle name="SAPBEXexcBad9 2 2 5" xfId="45661"/>
    <cellStyle name="SAPBEXexcBad9 2 2 5 2" xfId="45662"/>
    <cellStyle name="SAPBEXexcBad9 2 2 6" xfId="45663"/>
    <cellStyle name="SAPBEXexcBad9 2 3" xfId="45664"/>
    <cellStyle name="SAPBEXexcBad9 2 3 2" xfId="45665"/>
    <cellStyle name="SAPBEXexcBad9 2 3 2 2" xfId="45666"/>
    <cellStyle name="SAPBEXexcBad9 2 3 3" xfId="45667"/>
    <cellStyle name="SAPBEXexcBad9 2 4" xfId="45668"/>
    <cellStyle name="SAPBEXexcBad9 2 4 2" xfId="45669"/>
    <cellStyle name="SAPBEXexcBad9 2 4 2 2" xfId="45670"/>
    <cellStyle name="SAPBEXexcBad9 2 4 3" xfId="45671"/>
    <cellStyle name="SAPBEXexcBad9 2 5" xfId="45672"/>
    <cellStyle name="SAPBEXexcBad9 2 5 2" xfId="45673"/>
    <cellStyle name="SAPBEXexcBad9 2 5 2 2" xfId="45674"/>
    <cellStyle name="SAPBEXexcBad9 2 5 3" xfId="45675"/>
    <cellStyle name="SAPBEXexcBad9 2 6" xfId="45676"/>
    <cellStyle name="SAPBEXexcBad9 2 6 2" xfId="45677"/>
    <cellStyle name="SAPBEXexcBad9 2 7" xfId="45678"/>
    <cellStyle name="SAPBEXexcBad9 3" xfId="45679"/>
    <cellStyle name="SAPBEXexcBad9 3 2" xfId="45680"/>
    <cellStyle name="SAPBEXexcBad9 3 2 2" xfId="45681"/>
    <cellStyle name="SAPBEXexcBad9 3 3" xfId="45682"/>
    <cellStyle name="SAPBEXexcBad9 3 3 2" xfId="45683"/>
    <cellStyle name="SAPBEXexcBad9 3 3 2 2" xfId="45684"/>
    <cellStyle name="SAPBEXexcBad9 3 3 3" xfId="45685"/>
    <cellStyle name="SAPBEXexcBad9 3 4" xfId="45686"/>
    <cellStyle name="SAPBEXexcBad9 3 4 2" xfId="45687"/>
    <cellStyle name="SAPBEXexcBad9 3 4 2 2" xfId="45688"/>
    <cellStyle name="SAPBEXexcBad9 3 4 3" xfId="45689"/>
    <cellStyle name="SAPBEXexcBad9 3 5" xfId="45690"/>
    <cellStyle name="SAPBEXexcBad9 4" xfId="45691"/>
    <cellStyle name="SAPBEXexcBad9 4 2" xfId="45692"/>
    <cellStyle name="SAPBEXexcBad9 4 2 2" xfId="45693"/>
    <cellStyle name="SAPBEXexcBad9 4 2 2 2" xfId="45694"/>
    <cellStyle name="SAPBEXexcBad9 4 2 3" xfId="45695"/>
    <cellStyle name="SAPBEXexcBad9 4 2 3 2" xfId="45696"/>
    <cellStyle name="SAPBEXexcBad9 4 2 3 2 2" xfId="45697"/>
    <cellStyle name="SAPBEXexcBad9 4 2 3 3" xfId="45698"/>
    <cellStyle name="SAPBEXexcBad9 4 2 4" xfId="45699"/>
    <cellStyle name="SAPBEXexcBad9 4 3" xfId="45700"/>
    <cellStyle name="SAPBEXexcBad9 4 3 2" xfId="45701"/>
    <cellStyle name="SAPBEXexcBad9 4 3 2 2" xfId="45702"/>
    <cellStyle name="SAPBEXexcBad9 4 3 3" xfId="45703"/>
    <cellStyle name="SAPBEXexcBad9 4 4" xfId="45704"/>
    <cellStyle name="SAPBEXexcBad9 4 4 2" xfId="45705"/>
    <cellStyle name="SAPBEXexcBad9 4 4 2 2" xfId="45706"/>
    <cellStyle name="SAPBEXexcBad9 4 4 3" xfId="45707"/>
    <cellStyle name="SAPBEXexcBad9 4 5" xfId="45708"/>
    <cellStyle name="SAPBEXexcBad9 4 5 2" xfId="45709"/>
    <cellStyle name="SAPBEXexcBad9 4 5 2 2" xfId="45710"/>
    <cellStyle name="SAPBEXexcBad9 4 5 3" xfId="45711"/>
    <cellStyle name="SAPBEXexcBad9 4 6" xfId="45712"/>
    <cellStyle name="SAPBEXexcBad9 5" xfId="45713"/>
    <cellStyle name="SAPBEXexcBad9 5 2" xfId="45714"/>
    <cellStyle name="SAPBEXexcBad9 5 2 2" xfId="45715"/>
    <cellStyle name="SAPBEXexcBad9 5 3" xfId="45716"/>
    <cellStyle name="SAPBEXexcBad9 6" xfId="45717"/>
    <cellStyle name="SAPBEXexcBad9 6 2" xfId="45718"/>
    <cellStyle name="SAPBEXexcBad9 6 2 2" xfId="45719"/>
    <cellStyle name="SAPBEXexcBad9 6 3" xfId="45720"/>
    <cellStyle name="SAPBEXexcBad9 7" xfId="45721"/>
    <cellStyle name="SAPBEXexcBad9 7 2" xfId="45722"/>
    <cellStyle name="SAPBEXexcBad9 7 2 2" xfId="45723"/>
    <cellStyle name="SAPBEXexcBad9 7 3" xfId="45724"/>
    <cellStyle name="SAPBEXexcBad9 8" xfId="45725"/>
    <cellStyle name="SAPBEXexcBad9 8 2" xfId="45726"/>
    <cellStyle name="SAPBEXexcBad9 9" xfId="45727"/>
    <cellStyle name="SAPBEXexcBad9 9 2" xfId="45728"/>
    <cellStyle name="SAPBEXexcCritical4" xfId="47"/>
    <cellStyle name="SAPBEXexcCritical4 10" xfId="45729"/>
    <cellStyle name="SAPBEXexcCritical4 10 2" xfId="45730"/>
    <cellStyle name="SAPBEXexcCritical4 11" xfId="45731"/>
    <cellStyle name="SAPBEXexcCritical4 11 2" xfId="45732"/>
    <cellStyle name="SAPBEXexcCritical4 12" xfId="45733"/>
    <cellStyle name="SAPBEXexcCritical4 12 2" xfId="45734"/>
    <cellStyle name="SAPBEXexcCritical4 13" xfId="45735"/>
    <cellStyle name="SAPBEXexcCritical4 14" xfId="45736"/>
    <cellStyle name="SAPBEXexcCritical4 2" xfId="45737"/>
    <cellStyle name="SAPBEXexcCritical4 2 2" xfId="45738"/>
    <cellStyle name="SAPBEXexcCritical4 2 2 2" xfId="45739"/>
    <cellStyle name="SAPBEXexcCritical4 2 2 2 2" xfId="45740"/>
    <cellStyle name="SAPBEXexcCritical4 2 2 2 2 2" xfId="45741"/>
    <cellStyle name="SAPBEXexcCritical4 2 2 2 2 2 2" xfId="45742"/>
    <cellStyle name="SAPBEXexcCritical4 2 2 2 2 3" xfId="45743"/>
    <cellStyle name="SAPBEXexcCritical4 2 2 2 3" xfId="45744"/>
    <cellStyle name="SAPBEXexcCritical4 2 2 2 3 2" xfId="45745"/>
    <cellStyle name="SAPBEXexcCritical4 2 2 2 4" xfId="45746"/>
    <cellStyle name="SAPBEXexcCritical4 2 2 3" xfId="45747"/>
    <cellStyle name="SAPBEXexcCritical4 2 2 3 2" xfId="45748"/>
    <cellStyle name="SAPBEXexcCritical4 2 2 3 2 2" xfId="45749"/>
    <cellStyle name="SAPBEXexcCritical4 2 2 3 3" xfId="45750"/>
    <cellStyle name="SAPBEXexcCritical4 2 2 4" xfId="45751"/>
    <cellStyle name="SAPBEXexcCritical4 2 2 4 2" xfId="45752"/>
    <cellStyle name="SAPBEXexcCritical4 2 2 4 2 2" xfId="45753"/>
    <cellStyle name="SAPBEXexcCritical4 2 2 4 3" xfId="45754"/>
    <cellStyle name="SAPBEXexcCritical4 2 2 5" xfId="45755"/>
    <cellStyle name="SAPBEXexcCritical4 2 2 5 2" xfId="45756"/>
    <cellStyle name="SAPBEXexcCritical4 2 2 6" xfId="45757"/>
    <cellStyle name="SAPBEXexcCritical4 2 3" xfId="45758"/>
    <cellStyle name="SAPBEXexcCritical4 2 3 2" xfId="45759"/>
    <cellStyle name="SAPBEXexcCritical4 2 3 2 2" xfId="45760"/>
    <cellStyle name="SAPBEXexcCritical4 2 3 3" xfId="45761"/>
    <cellStyle name="SAPBEXexcCritical4 2 4" xfId="45762"/>
    <cellStyle name="SAPBEXexcCritical4 2 4 2" xfId="45763"/>
    <cellStyle name="SAPBEXexcCritical4 2 4 2 2" xfId="45764"/>
    <cellStyle name="SAPBEXexcCritical4 2 4 3" xfId="45765"/>
    <cellStyle name="SAPBEXexcCritical4 2 5" xfId="45766"/>
    <cellStyle name="SAPBEXexcCritical4 2 5 2" xfId="45767"/>
    <cellStyle name="SAPBEXexcCritical4 2 5 2 2" xfId="45768"/>
    <cellStyle name="SAPBEXexcCritical4 2 5 3" xfId="45769"/>
    <cellStyle name="SAPBEXexcCritical4 2 6" xfId="45770"/>
    <cellStyle name="SAPBEXexcCritical4 2 6 2" xfId="45771"/>
    <cellStyle name="SAPBEXexcCritical4 2 7" xfId="45772"/>
    <cellStyle name="SAPBEXexcCritical4 3" xfId="45773"/>
    <cellStyle name="SAPBEXexcCritical4 3 2" xfId="45774"/>
    <cellStyle name="SAPBEXexcCritical4 3 2 2" xfId="45775"/>
    <cellStyle name="SAPBEXexcCritical4 3 3" xfId="45776"/>
    <cellStyle name="SAPBEXexcCritical4 3 3 2" xfId="45777"/>
    <cellStyle name="SAPBEXexcCritical4 3 3 2 2" xfId="45778"/>
    <cellStyle name="SAPBEXexcCritical4 3 3 3" xfId="45779"/>
    <cellStyle name="SAPBEXexcCritical4 3 4" xfId="45780"/>
    <cellStyle name="SAPBEXexcCritical4 3 4 2" xfId="45781"/>
    <cellStyle name="SAPBEXexcCritical4 3 4 2 2" xfId="45782"/>
    <cellStyle name="SAPBEXexcCritical4 3 4 3" xfId="45783"/>
    <cellStyle name="SAPBEXexcCritical4 3 5" xfId="45784"/>
    <cellStyle name="SAPBEXexcCritical4 4" xfId="45785"/>
    <cellStyle name="SAPBEXexcCritical4 4 2" xfId="45786"/>
    <cellStyle name="SAPBEXexcCritical4 4 2 2" xfId="45787"/>
    <cellStyle name="SAPBEXexcCritical4 4 2 2 2" xfId="45788"/>
    <cellStyle name="SAPBEXexcCritical4 4 2 3" xfId="45789"/>
    <cellStyle name="SAPBEXexcCritical4 4 2 3 2" xfId="45790"/>
    <cellStyle name="SAPBEXexcCritical4 4 2 3 2 2" xfId="45791"/>
    <cellStyle name="SAPBEXexcCritical4 4 2 3 3" xfId="45792"/>
    <cellStyle name="SAPBEXexcCritical4 4 2 4" xfId="45793"/>
    <cellStyle name="SAPBEXexcCritical4 4 3" xfId="45794"/>
    <cellStyle name="SAPBEXexcCritical4 4 3 2" xfId="45795"/>
    <cellStyle name="SAPBEXexcCritical4 4 3 2 2" xfId="45796"/>
    <cellStyle name="SAPBEXexcCritical4 4 3 3" xfId="45797"/>
    <cellStyle name="SAPBEXexcCritical4 4 4" xfId="45798"/>
    <cellStyle name="SAPBEXexcCritical4 4 4 2" xfId="45799"/>
    <cellStyle name="SAPBEXexcCritical4 4 4 2 2" xfId="45800"/>
    <cellStyle name="SAPBEXexcCritical4 4 4 3" xfId="45801"/>
    <cellStyle name="SAPBEXexcCritical4 4 5" xfId="45802"/>
    <cellStyle name="SAPBEXexcCritical4 4 5 2" xfId="45803"/>
    <cellStyle name="SAPBEXexcCritical4 4 5 2 2" xfId="45804"/>
    <cellStyle name="SAPBEXexcCritical4 4 5 3" xfId="45805"/>
    <cellStyle name="SAPBEXexcCritical4 4 6" xfId="45806"/>
    <cellStyle name="SAPBEXexcCritical4 5" xfId="45807"/>
    <cellStyle name="SAPBEXexcCritical4 5 2" xfId="45808"/>
    <cellStyle name="SAPBEXexcCritical4 5 2 2" xfId="45809"/>
    <cellStyle name="SAPBEXexcCritical4 5 3" xfId="45810"/>
    <cellStyle name="SAPBEXexcCritical4 6" xfId="45811"/>
    <cellStyle name="SAPBEXexcCritical4 6 2" xfId="45812"/>
    <cellStyle name="SAPBEXexcCritical4 6 2 2" xfId="45813"/>
    <cellStyle name="SAPBEXexcCritical4 6 3" xfId="45814"/>
    <cellStyle name="SAPBEXexcCritical4 7" xfId="45815"/>
    <cellStyle name="SAPBEXexcCritical4 7 2" xfId="45816"/>
    <cellStyle name="SAPBEXexcCritical4 7 2 2" xfId="45817"/>
    <cellStyle name="SAPBEXexcCritical4 7 3" xfId="45818"/>
    <cellStyle name="SAPBEXexcCritical4 8" xfId="45819"/>
    <cellStyle name="SAPBEXexcCritical4 8 2" xfId="45820"/>
    <cellStyle name="SAPBEXexcCritical4 9" xfId="45821"/>
    <cellStyle name="SAPBEXexcCritical4 9 2" xfId="45822"/>
    <cellStyle name="SAPBEXexcCritical5" xfId="48"/>
    <cellStyle name="SAPBEXexcCritical5 10" xfId="45823"/>
    <cellStyle name="SAPBEXexcCritical5 10 2" xfId="45824"/>
    <cellStyle name="SAPBEXexcCritical5 11" xfId="45825"/>
    <cellStyle name="SAPBEXexcCritical5 11 2" xfId="45826"/>
    <cellStyle name="SAPBEXexcCritical5 12" xfId="45827"/>
    <cellStyle name="SAPBEXexcCritical5 12 2" xfId="45828"/>
    <cellStyle name="SAPBEXexcCritical5 13" xfId="45829"/>
    <cellStyle name="SAPBEXexcCritical5 14" xfId="45830"/>
    <cellStyle name="SAPBEXexcCritical5 2" xfId="45831"/>
    <cellStyle name="SAPBEXexcCritical5 2 2" xfId="45832"/>
    <cellStyle name="SAPBEXexcCritical5 2 2 2" xfId="45833"/>
    <cellStyle name="SAPBEXexcCritical5 2 2 2 2" xfId="45834"/>
    <cellStyle name="SAPBEXexcCritical5 2 2 2 2 2" xfId="45835"/>
    <cellStyle name="SAPBEXexcCritical5 2 2 2 2 2 2" xfId="45836"/>
    <cellStyle name="SAPBEXexcCritical5 2 2 2 2 3" xfId="45837"/>
    <cellStyle name="SAPBEXexcCritical5 2 2 2 3" xfId="45838"/>
    <cellStyle name="SAPBEXexcCritical5 2 2 2 3 2" xfId="45839"/>
    <cellStyle name="SAPBEXexcCritical5 2 2 2 4" xfId="45840"/>
    <cellStyle name="SAPBEXexcCritical5 2 2 3" xfId="45841"/>
    <cellStyle name="SAPBEXexcCritical5 2 2 3 2" xfId="45842"/>
    <cellStyle name="SAPBEXexcCritical5 2 2 3 2 2" xfId="45843"/>
    <cellStyle name="SAPBEXexcCritical5 2 2 3 3" xfId="45844"/>
    <cellStyle name="SAPBEXexcCritical5 2 2 4" xfId="45845"/>
    <cellStyle name="SAPBEXexcCritical5 2 2 4 2" xfId="45846"/>
    <cellStyle name="SAPBEXexcCritical5 2 2 4 2 2" xfId="45847"/>
    <cellStyle name="SAPBEXexcCritical5 2 2 4 3" xfId="45848"/>
    <cellStyle name="SAPBEXexcCritical5 2 2 5" xfId="45849"/>
    <cellStyle name="SAPBEXexcCritical5 2 2 5 2" xfId="45850"/>
    <cellStyle name="SAPBEXexcCritical5 2 2 6" xfId="45851"/>
    <cellStyle name="SAPBEXexcCritical5 2 3" xfId="45852"/>
    <cellStyle name="SAPBEXexcCritical5 2 3 2" xfId="45853"/>
    <cellStyle name="SAPBEXexcCritical5 2 3 2 2" xfId="45854"/>
    <cellStyle name="SAPBEXexcCritical5 2 3 3" xfId="45855"/>
    <cellStyle name="SAPBEXexcCritical5 2 4" xfId="45856"/>
    <cellStyle name="SAPBEXexcCritical5 2 4 2" xfId="45857"/>
    <cellStyle name="SAPBEXexcCritical5 2 4 2 2" xfId="45858"/>
    <cellStyle name="SAPBEXexcCritical5 2 4 3" xfId="45859"/>
    <cellStyle name="SAPBEXexcCritical5 2 5" xfId="45860"/>
    <cellStyle name="SAPBEXexcCritical5 2 5 2" xfId="45861"/>
    <cellStyle name="SAPBEXexcCritical5 2 5 2 2" xfId="45862"/>
    <cellStyle name="SAPBEXexcCritical5 2 5 3" xfId="45863"/>
    <cellStyle name="SAPBEXexcCritical5 2 6" xfId="45864"/>
    <cellStyle name="SAPBEXexcCritical5 2 6 2" xfId="45865"/>
    <cellStyle name="SAPBEXexcCritical5 2 7" xfId="45866"/>
    <cellStyle name="SAPBEXexcCritical5 3" xfId="45867"/>
    <cellStyle name="SAPBEXexcCritical5 3 2" xfId="45868"/>
    <cellStyle name="SAPBEXexcCritical5 3 2 2" xfId="45869"/>
    <cellStyle name="SAPBEXexcCritical5 3 3" xfId="45870"/>
    <cellStyle name="SAPBEXexcCritical5 3 3 2" xfId="45871"/>
    <cellStyle name="SAPBEXexcCritical5 3 3 2 2" xfId="45872"/>
    <cellStyle name="SAPBEXexcCritical5 3 3 3" xfId="45873"/>
    <cellStyle name="SAPBEXexcCritical5 3 4" xfId="45874"/>
    <cellStyle name="SAPBEXexcCritical5 3 4 2" xfId="45875"/>
    <cellStyle name="SAPBEXexcCritical5 3 4 2 2" xfId="45876"/>
    <cellStyle name="SAPBEXexcCritical5 3 4 3" xfId="45877"/>
    <cellStyle name="SAPBEXexcCritical5 3 5" xfId="45878"/>
    <cellStyle name="SAPBEXexcCritical5 4" xfId="45879"/>
    <cellStyle name="SAPBEXexcCritical5 4 2" xfId="45880"/>
    <cellStyle name="SAPBEXexcCritical5 4 2 2" xfId="45881"/>
    <cellStyle name="SAPBEXexcCritical5 4 2 2 2" xfId="45882"/>
    <cellStyle name="SAPBEXexcCritical5 4 2 3" xfId="45883"/>
    <cellStyle name="SAPBEXexcCritical5 4 2 3 2" xfId="45884"/>
    <cellStyle name="SAPBEXexcCritical5 4 2 3 2 2" xfId="45885"/>
    <cellStyle name="SAPBEXexcCritical5 4 2 3 3" xfId="45886"/>
    <cellStyle name="SAPBEXexcCritical5 4 2 4" xfId="45887"/>
    <cellStyle name="SAPBEXexcCritical5 4 3" xfId="45888"/>
    <cellStyle name="SAPBEXexcCritical5 4 3 2" xfId="45889"/>
    <cellStyle name="SAPBEXexcCritical5 4 3 2 2" xfId="45890"/>
    <cellStyle name="SAPBEXexcCritical5 4 3 3" xfId="45891"/>
    <cellStyle name="SAPBEXexcCritical5 4 4" xfId="45892"/>
    <cellStyle name="SAPBEXexcCritical5 4 4 2" xfId="45893"/>
    <cellStyle name="SAPBEXexcCritical5 4 4 2 2" xfId="45894"/>
    <cellStyle name="SAPBEXexcCritical5 4 4 3" xfId="45895"/>
    <cellStyle name="SAPBEXexcCritical5 4 5" xfId="45896"/>
    <cellStyle name="SAPBEXexcCritical5 4 5 2" xfId="45897"/>
    <cellStyle name="SAPBEXexcCritical5 4 5 2 2" xfId="45898"/>
    <cellStyle name="SAPBEXexcCritical5 4 5 3" xfId="45899"/>
    <cellStyle name="SAPBEXexcCritical5 4 6" xfId="45900"/>
    <cellStyle name="SAPBEXexcCritical5 5" xfId="45901"/>
    <cellStyle name="SAPBEXexcCritical5 5 2" xfId="45902"/>
    <cellStyle name="SAPBEXexcCritical5 5 2 2" xfId="45903"/>
    <cellStyle name="SAPBEXexcCritical5 5 3" xfId="45904"/>
    <cellStyle name="SAPBEXexcCritical5 6" xfId="45905"/>
    <cellStyle name="SAPBEXexcCritical5 6 2" xfId="45906"/>
    <cellStyle name="SAPBEXexcCritical5 6 2 2" xfId="45907"/>
    <cellStyle name="SAPBEXexcCritical5 6 3" xfId="45908"/>
    <cellStyle name="SAPBEXexcCritical5 7" xfId="45909"/>
    <cellStyle name="SAPBEXexcCritical5 7 2" xfId="45910"/>
    <cellStyle name="SAPBEXexcCritical5 7 2 2" xfId="45911"/>
    <cellStyle name="SAPBEXexcCritical5 7 3" xfId="45912"/>
    <cellStyle name="SAPBEXexcCritical5 8" xfId="45913"/>
    <cellStyle name="SAPBEXexcCritical5 8 2" xfId="45914"/>
    <cellStyle name="SAPBEXexcCritical5 9" xfId="45915"/>
    <cellStyle name="SAPBEXexcCritical5 9 2" xfId="45916"/>
    <cellStyle name="SAPBEXexcCritical6" xfId="49"/>
    <cellStyle name="SAPBEXexcCritical6 10" xfId="45917"/>
    <cellStyle name="SAPBEXexcCritical6 10 2" xfId="45918"/>
    <cellStyle name="SAPBEXexcCritical6 11" xfId="45919"/>
    <cellStyle name="SAPBEXexcCritical6 11 2" xfId="45920"/>
    <cellStyle name="SAPBEXexcCritical6 12" xfId="45921"/>
    <cellStyle name="SAPBEXexcCritical6 12 2" xfId="45922"/>
    <cellStyle name="SAPBEXexcCritical6 13" xfId="45923"/>
    <cellStyle name="SAPBEXexcCritical6 14" xfId="45924"/>
    <cellStyle name="SAPBEXexcCritical6 2" xfId="45925"/>
    <cellStyle name="SAPBEXexcCritical6 2 2" xfId="45926"/>
    <cellStyle name="SAPBEXexcCritical6 2 2 2" xfId="45927"/>
    <cellStyle name="SAPBEXexcCritical6 2 2 2 2" xfId="45928"/>
    <cellStyle name="SAPBEXexcCritical6 2 2 2 2 2" xfId="45929"/>
    <cellStyle name="SAPBEXexcCritical6 2 2 2 2 2 2" xfId="45930"/>
    <cellStyle name="SAPBEXexcCritical6 2 2 2 2 3" xfId="45931"/>
    <cellStyle name="SAPBEXexcCritical6 2 2 2 3" xfId="45932"/>
    <cellStyle name="SAPBEXexcCritical6 2 2 2 3 2" xfId="45933"/>
    <cellStyle name="SAPBEXexcCritical6 2 2 2 4" xfId="45934"/>
    <cellStyle name="SAPBEXexcCritical6 2 2 3" xfId="45935"/>
    <cellStyle name="SAPBEXexcCritical6 2 2 3 2" xfId="45936"/>
    <cellStyle name="SAPBEXexcCritical6 2 2 3 2 2" xfId="45937"/>
    <cellStyle name="SAPBEXexcCritical6 2 2 3 3" xfId="45938"/>
    <cellStyle name="SAPBEXexcCritical6 2 2 4" xfId="45939"/>
    <cellStyle name="SAPBEXexcCritical6 2 2 4 2" xfId="45940"/>
    <cellStyle name="SAPBEXexcCritical6 2 2 4 2 2" xfId="45941"/>
    <cellStyle name="SAPBEXexcCritical6 2 2 4 3" xfId="45942"/>
    <cellStyle name="SAPBEXexcCritical6 2 2 5" xfId="45943"/>
    <cellStyle name="SAPBEXexcCritical6 2 2 5 2" xfId="45944"/>
    <cellStyle name="SAPBEXexcCritical6 2 2 6" xfId="45945"/>
    <cellStyle name="SAPBEXexcCritical6 2 3" xfId="45946"/>
    <cellStyle name="SAPBEXexcCritical6 2 3 2" xfId="45947"/>
    <cellStyle name="SAPBEXexcCritical6 2 3 2 2" xfId="45948"/>
    <cellStyle name="SAPBEXexcCritical6 2 3 3" xfId="45949"/>
    <cellStyle name="SAPBEXexcCritical6 2 4" xfId="45950"/>
    <cellStyle name="SAPBEXexcCritical6 2 4 2" xfId="45951"/>
    <cellStyle name="SAPBEXexcCritical6 2 4 2 2" xfId="45952"/>
    <cellStyle name="SAPBEXexcCritical6 2 4 3" xfId="45953"/>
    <cellStyle name="SAPBEXexcCritical6 2 5" xfId="45954"/>
    <cellStyle name="SAPBEXexcCritical6 2 5 2" xfId="45955"/>
    <cellStyle name="SAPBEXexcCritical6 2 5 2 2" xfId="45956"/>
    <cellStyle name="SAPBEXexcCritical6 2 5 3" xfId="45957"/>
    <cellStyle name="SAPBEXexcCritical6 2 6" xfId="45958"/>
    <cellStyle name="SAPBEXexcCritical6 2 6 2" xfId="45959"/>
    <cellStyle name="SAPBEXexcCritical6 2 7" xfId="45960"/>
    <cellStyle name="SAPBEXexcCritical6 3" xfId="45961"/>
    <cellStyle name="SAPBEXexcCritical6 3 2" xfId="45962"/>
    <cellStyle name="SAPBEXexcCritical6 3 2 2" xfId="45963"/>
    <cellStyle name="SAPBEXexcCritical6 3 3" xfId="45964"/>
    <cellStyle name="SAPBEXexcCritical6 3 3 2" xfId="45965"/>
    <cellStyle name="SAPBEXexcCritical6 3 3 2 2" xfId="45966"/>
    <cellStyle name="SAPBEXexcCritical6 3 3 3" xfId="45967"/>
    <cellStyle name="SAPBEXexcCritical6 3 4" xfId="45968"/>
    <cellStyle name="SAPBEXexcCritical6 3 4 2" xfId="45969"/>
    <cellStyle name="SAPBEXexcCritical6 3 4 2 2" xfId="45970"/>
    <cellStyle name="SAPBEXexcCritical6 3 4 3" xfId="45971"/>
    <cellStyle name="SAPBEXexcCritical6 3 5" xfId="45972"/>
    <cellStyle name="SAPBEXexcCritical6 4" xfId="45973"/>
    <cellStyle name="SAPBEXexcCritical6 4 2" xfId="45974"/>
    <cellStyle name="SAPBEXexcCritical6 4 2 2" xfId="45975"/>
    <cellStyle name="SAPBEXexcCritical6 4 2 2 2" xfId="45976"/>
    <cellStyle name="SAPBEXexcCritical6 4 2 3" xfId="45977"/>
    <cellStyle name="SAPBEXexcCritical6 4 2 3 2" xfId="45978"/>
    <cellStyle name="SAPBEXexcCritical6 4 2 3 2 2" xfId="45979"/>
    <cellStyle name="SAPBEXexcCritical6 4 2 3 3" xfId="45980"/>
    <cellStyle name="SAPBEXexcCritical6 4 2 4" xfId="45981"/>
    <cellStyle name="SAPBEXexcCritical6 4 3" xfId="45982"/>
    <cellStyle name="SAPBEXexcCritical6 4 3 2" xfId="45983"/>
    <cellStyle name="SAPBEXexcCritical6 4 3 2 2" xfId="45984"/>
    <cellStyle name="SAPBEXexcCritical6 4 3 3" xfId="45985"/>
    <cellStyle name="SAPBEXexcCritical6 4 4" xfId="45986"/>
    <cellStyle name="SAPBEXexcCritical6 4 4 2" xfId="45987"/>
    <cellStyle name="SAPBEXexcCritical6 4 4 2 2" xfId="45988"/>
    <cellStyle name="SAPBEXexcCritical6 4 4 3" xfId="45989"/>
    <cellStyle name="SAPBEXexcCritical6 4 5" xfId="45990"/>
    <cellStyle name="SAPBEXexcCritical6 4 5 2" xfId="45991"/>
    <cellStyle name="SAPBEXexcCritical6 4 5 2 2" xfId="45992"/>
    <cellStyle name="SAPBEXexcCritical6 4 5 3" xfId="45993"/>
    <cellStyle name="SAPBEXexcCritical6 4 6" xfId="45994"/>
    <cellStyle name="SAPBEXexcCritical6 5" xfId="45995"/>
    <cellStyle name="SAPBEXexcCritical6 5 2" xfId="45996"/>
    <cellStyle name="SAPBEXexcCritical6 5 2 2" xfId="45997"/>
    <cellStyle name="SAPBEXexcCritical6 5 3" xfId="45998"/>
    <cellStyle name="SAPBEXexcCritical6 6" xfId="45999"/>
    <cellStyle name="SAPBEXexcCritical6 6 2" xfId="46000"/>
    <cellStyle name="SAPBEXexcCritical6 6 2 2" xfId="46001"/>
    <cellStyle name="SAPBEXexcCritical6 6 3" xfId="46002"/>
    <cellStyle name="SAPBEXexcCritical6 7" xfId="46003"/>
    <cellStyle name="SAPBEXexcCritical6 7 2" xfId="46004"/>
    <cellStyle name="SAPBEXexcCritical6 7 2 2" xfId="46005"/>
    <cellStyle name="SAPBEXexcCritical6 7 3" xfId="46006"/>
    <cellStyle name="SAPBEXexcCritical6 8" xfId="46007"/>
    <cellStyle name="SAPBEXexcCritical6 8 2" xfId="46008"/>
    <cellStyle name="SAPBEXexcCritical6 9" xfId="46009"/>
    <cellStyle name="SAPBEXexcCritical6 9 2" xfId="46010"/>
    <cellStyle name="SAPBEXexcGood1" xfId="50"/>
    <cellStyle name="SAPBEXexcGood1 10" xfId="46011"/>
    <cellStyle name="SAPBEXexcGood1 10 2" xfId="46012"/>
    <cellStyle name="SAPBEXexcGood1 11" xfId="46013"/>
    <cellStyle name="SAPBEXexcGood1 11 2" xfId="46014"/>
    <cellStyle name="SAPBEXexcGood1 12" xfId="46015"/>
    <cellStyle name="SAPBEXexcGood1 12 2" xfId="46016"/>
    <cellStyle name="SAPBEXexcGood1 13" xfId="46017"/>
    <cellStyle name="SAPBEXexcGood1 14" xfId="46018"/>
    <cellStyle name="SAPBEXexcGood1 2" xfId="46019"/>
    <cellStyle name="SAPBEXexcGood1 2 2" xfId="46020"/>
    <cellStyle name="SAPBEXexcGood1 2 2 2" xfId="46021"/>
    <cellStyle name="SAPBEXexcGood1 2 2 2 2" xfId="46022"/>
    <cellStyle name="SAPBEXexcGood1 2 2 2 2 2" xfId="46023"/>
    <cellStyle name="SAPBEXexcGood1 2 2 2 2 2 2" xfId="46024"/>
    <cellStyle name="SAPBEXexcGood1 2 2 2 2 3" xfId="46025"/>
    <cellStyle name="SAPBEXexcGood1 2 2 2 3" xfId="46026"/>
    <cellStyle name="SAPBEXexcGood1 2 2 2 3 2" xfId="46027"/>
    <cellStyle name="SAPBEXexcGood1 2 2 2 4" xfId="46028"/>
    <cellStyle name="SAPBEXexcGood1 2 2 3" xfId="46029"/>
    <cellStyle name="SAPBEXexcGood1 2 2 3 2" xfId="46030"/>
    <cellStyle name="SAPBEXexcGood1 2 2 3 2 2" xfId="46031"/>
    <cellStyle name="SAPBEXexcGood1 2 2 3 3" xfId="46032"/>
    <cellStyle name="SAPBEXexcGood1 2 2 4" xfId="46033"/>
    <cellStyle name="SAPBEXexcGood1 2 2 4 2" xfId="46034"/>
    <cellStyle name="SAPBEXexcGood1 2 2 4 2 2" xfId="46035"/>
    <cellStyle name="SAPBEXexcGood1 2 2 4 3" xfId="46036"/>
    <cellStyle name="SAPBEXexcGood1 2 2 5" xfId="46037"/>
    <cellStyle name="SAPBEXexcGood1 2 2 5 2" xfId="46038"/>
    <cellStyle name="SAPBEXexcGood1 2 2 6" xfId="46039"/>
    <cellStyle name="SAPBEXexcGood1 2 3" xfId="46040"/>
    <cellStyle name="SAPBEXexcGood1 2 3 2" xfId="46041"/>
    <cellStyle name="SAPBEXexcGood1 2 3 2 2" xfId="46042"/>
    <cellStyle name="SAPBEXexcGood1 2 3 3" xfId="46043"/>
    <cellStyle name="SAPBEXexcGood1 2 4" xfId="46044"/>
    <cellStyle name="SAPBEXexcGood1 2 4 2" xfId="46045"/>
    <cellStyle name="SAPBEXexcGood1 2 4 2 2" xfId="46046"/>
    <cellStyle name="SAPBEXexcGood1 2 4 3" xfId="46047"/>
    <cellStyle name="SAPBEXexcGood1 2 5" xfId="46048"/>
    <cellStyle name="SAPBEXexcGood1 2 5 2" xfId="46049"/>
    <cellStyle name="SAPBEXexcGood1 2 5 2 2" xfId="46050"/>
    <cellStyle name="SAPBEXexcGood1 2 5 3" xfId="46051"/>
    <cellStyle name="SAPBEXexcGood1 2 6" xfId="46052"/>
    <cellStyle name="SAPBEXexcGood1 2 6 2" xfId="46053"/>
    <cellStyle name="SAPBEXexcGood1 2 7" xfId="46054"/>
    <cellStyle name="SAPBEXexcGood1 3" xfId="46055"/>
    <cellStyle name="SAPBEXexcGood1 3 2" xfId="46056"/>
    <cellStyle name="SAPBEXexcGood1 3 2 2" xfId="46057"/>
    <cellStyle name="SAPBEXexcGood1 3 3" xfId="46058"/>
    <cellStyle name="SAPBEXexcGood1 3 3 2" xfId="46059"/>
    <cellStyle name="SAPBEXexcGood1 3 3 2 2" xfId="46060"/>
    <cellStyle name="SAPBEXexcGood1 3 3 3" xfId="46061"/>
    <cellStyle name="SAPBEXexcGood1 3 4" xfId="46062"/>
    <cellStyle name="SAPBEXexcGood1 3 4 2" xfId="46063"/>
    <cellStyle name="SAPBEXexcGood1 3 4 2 2" xfId="46064"/>
    <cellStyle name="SAPBEXexcGood1 3 4 3" xfId="46065"/>
    <cellStyle name="SAPBEXexcGood1 3 5" xfId="46066"/>
    <cellStyle name="SAPBEXexcGood1 4" xfId="46067"/>
    <cellStyle name="SAPBEXexcGood1 4 2" xfId="46068"/>
    <cellStyle name="SAPBEXexcGood1 4 2 2" xfId="46069"/>
    <cellStyle name="SAPBEXexcGood1 4 2 2 2" xfId="46070"/>
    <cellStyle name="SAPBEXexcGood1 4 2 3" xfId="46071"/>
    <cellStyle name="SAPBEXexcGood1 4 2 3 2" xfId="46072"/>
    <cellStyle name="SAPBEXexcGood1 4 2 3 2 2" xfId="46073"/>
    <cellStyle name="SAPBEXexcGood1 4 2 3 3" xfId="46074"/>
    <cellStyle name="SAPBEXexcGood1 4 2 4" xfId="46075"/>
    <cellStyle name="SAPBEXexcGood1 4 3" xfId="46076"/>
    <cellStyle name="SAPBEXexcGood1 4 3 2" xfId="46077"/>
    <cellStyle name="SAPBEXexcGood1 4 3 2 2" xfId="46078"/>
    <cellStyle name="SAPBEXexcGood1 4 3 3" xfId="46079"/>
    <cellStyle name="SAPBEXexcGood1 4 4" xfId="46080"/>
    <cellStyle name="SAPBEXexcGood1 4 4 2" xfId="46081"/>
    <cellStyle name="SAPBEXexcGood1 4 4 2 2" xfId="46082"/>
    <cellStyle name="SAPBEXexcGood1 4 4 3" xfId="46083"/>
    <cellStyle name="SAPBEXexcGood1 4 5" xfId="46084"/>
    <cellStyle name="SAPBEXexcGood1 4 5 2" xfId="46085"/>
    <cellStyle name="SAPBEXexcGood1 4 5 2 2" xfId="46086"/>
    <cellStyle name="SAPBEXexcGood1 4 5 3" xfId="46087"/>
    <cellStyle name="SAPBEXexcGood1 4 6" xfId="46088"/>
    <cellStyle name="SAPBEXexcGood1 5" xfId="46089"/>
    <cellStyle name="SAPBEXexcGood1 5 2" xfId="46090"/>
    <cellStyle name="SAPBEXexcGood1 5 2 2" xfId="46091"/>
    <cellStyle name="SAPBEXexcGood1 5 3" xfId="46092"/>
    <cellStyle name="SAPBEXexcGood1 6" xfId="46093"/>
    <cellStyle name="SAPBEXexcGood1 6 2" xfId="46094"/>
    <cellStyle name="SAPBEXexcGood1 6 2 2" xfId="46095"/>
    <cellStyle name="SAPBEXexcGood1 6 3" xfId="46096"/>
    <cellStyle name="SAPBEXexcGood1 7" xfId="46097"/>
    <cellStyle name="SAPBEXexcGood1 7 2" xfId="46098"/>
    <cellStyle name="SAPBEXexcGood1 7 2 2" xfId="46099"/>
    <cellStyle name="SAPBEXexcGood1 7 3" xfId="46100"/>
    <cellStyle name="SAPBEXexcGood1 8" xfId="46101"/>
    <cellStyle name="SAPBEXexcGood1 8 2" xfId="46102"/>
    <cellStyle name="SAPBEXexcGood1 9" xfId="46103"/>
    <cellStyle name="SAPBEXexcGood1 9 2" xfId="46104"/>
    <cellStyle name="SAPBEXexcGood2" xfId="51"/>
    <cellStyle name="SAPBEXexcGood2 10" xfId="46105"/>
    <cellStyle name="SAPBEXexcGood2 10 2" xfId="46106"/>
    <cellStyle name="SAPBEXexcGood2 11" xfId="46107"/>
    <cellStyle name="SAPBEXexcGood2 11 2" xfId="46108"/>
    <cellStyle name="SAPBEXexcGood2 12" xfId="46109"/>
    <cellStyle name="SAPBEXexcGood2 12 2" xfId="46110"/>
    <cellStyle name="SAPBEXexcGood2 13" xfId="46111"/>
    <cellStyle name="SAPBEXexcGood2 14" xfId="46112"/>
    <cellStyle name="SAPBEXexcGood2 2" xfId="46113"/>
    <cellStyle name="SAPBEXexcGood2 2 2" xfId="46114"/>
    <cellStyle name="SAPBEXexcGood2 2 2 2" xfId="46115"/>
    <cellStyle name="SAPBEXexcGood2 2 2 2 2" xfId="46116"/>
    <cellStyle name="SAPBEXexcGood2 2 2 2 2 2" xfId="46117"/>
    <cellStyle name="SAPBEXexcGood2 2 2 2 2 2 2" xfId="46118"/>
    <cellStyle name="SAPBEXexcGood2 2 2 2 2 3" xfId="46119"/>
    <cellStyle name="SAPBEXexcGood2 2 2 2 3" xfId="46120"/>
    <cellStyle name="SAPBEXexcGood2 2 2 2 3 2" xfId="46121"/>
    <cellStyle name="SAPBEXexcGood2 2 2 2 4" xfId="46122"/>
    <cellStyle name="SAPBEXexcGood2 2 2 3" xfId="46123"/>
    <cellStyle name="SAPBEXexcGood2 2 2 3 2" xfId="46124"/>
    <cellStyle name="SAPBEXexcGood2 2 2 3 2 2" xfId="46125"/>
    <cellStyle name="SAPBEXexcGood2 2 2 3 3" xfId="46126"/>
    <cellStyle name="SAPBEXexcGood2 2 2 4" xfId="46127"/>
    <cellStyle name="SAPBEXexcGood2 2 2 4 2" xfId="46128"/>
    <cellStyle name="SAPBEXexcGood2 2 2 4 2 2" xfId="46129"/>
    <cellStyle name="SAPBEXexcGood2 2 2 4 3" xfId="46130"/>
    <cellStyle name="SAPBEXexcGood2 2 2 5" xfId="46131"/>
    <cellStyle name="SAPBEXexcGood2 2 2 5 2" xfId="46132"/>
    <cellStyle name="SAPBEXexcGood2 2 2 6" xfId="46133"/>
    <cellStyle name="SAPBEXexcGood2 2 3" xfId="46134"/>
    <cellStyle name="SAPBEXexcGood2 2 3 2" xfId="46135"/>
    <cellStyle name="SAPBEXexcGood2 2 3 2 2" xfId="46136"/>
    <cellStyle name="SAPBEXexcGood2 2 3 3" xfId="46137"/>
    <cellStyle name="SAPBEXexcGood2 2 4" xfId="46138"/>
    <cellStyle name="SAPBEXexcGood2 2 4 2" xfId="46139"/>
    <cellStyle name="SAPBEXexcGood2 2 4 2 2" xfId="46140"/>
    <cellStyle name="SAPBEXexcGood2 2 4 3" xfId="46141"/>
    <cellStyle name="SAPBEXexcGood2 2 5" xfId="46142"/>
    <cellStyle name="SAPBEXexcGood2 2 5 2" xfId="46143"/>
    <cellStyle name="SAPBEXexcGood2 2 5 2 2" xfId="46144"/>
    <cellStyle name="SAPBEXexcGood2 2 5 3" xfId="46145"/>
    <cellStyle name="SAPBEXexcGood2 2 6" xfId="46146"/>
    <cellStyle name="SAPBEXexcGood2 2 6 2" xfId="46147"/>
    <cellStyle name="SAPBEXexcGood2 2 7" xfId="46148"/>
    <cellStyle name="SAPBEXexcGood2 3" xfId="46149"/>
    <cellStyle name="SAPBEXexcGood2 3 2" xfId="46150"/>
    <cellStyle name="SAPBEXexcGood2 3 2 2" xfId="46151"/>
    <cellStyle name="SAPBEXexcGood2 3 3" xfId="46152"/>
    <cellStyle name="SAPBEXexcGood2 3 3 2" xfId="46153"/>
    <cellStyle name="SAPBEXexcGood2 3 3 2 2" xfId="46154"/>
    <cellStyle name="SAPBEXexcGood2 3 3 3" xfId="46155"/>
    <cellStyle name="SAPBEXexcGood2 3 4" xfId="46156"/>
    <cellStyle name="SAPBEXexcGood2 3 4 2" xfId="46157"/>
    <cellStyle name="SAPBEXexcGood2 3 4 2 2" xfId="46158"/>
    <cellStyle name="SAPBEXexcGood2 3 4 3" xfId="46159"/>
    <cellStyle name="SAPBEXexcGood2 3 5" xfId="46160"/>
    <cellStyle name="SAPBEXexcGood2 4" xfId="46161"/>
    <cellStyle name="SAPBEXexcGood2 4 2" xfId="46162"/>
    <cellStyle name="SAPBEXexcGood2 4 2 2" xfId="46163"/>
    <cellStyle name="SAPBEXexcGood2 4 2 2 2" xfId="46164"/>
    <cellStyle name="SAPBEXexcGood2 4 2 3" xfId="46165"/>
    <cellStyle name="SAPBEXexcGood2 4 2 3 2" xfId="46166"/>
    <cellStyle name="SAPBEXexcGood2 4 2 3 2 2" xfId="46167"/>
    <cellStyle name="SAPBEXexcGood2 4 2 3 3" xfId="46168"/>
    <cellStyle name="SAPBEXexcGood2 4 2 4" xfId="46169"/>
    <cellStyle name="SAPBEXexcGood2 4 3" xfId="46170"/>
    <cellStyle name="SAPBEXexcGood2 4 3 2" xfId="46171"/>
    <cellStyle name="SAPBEXexcGood2 4 3 2 2" xfId="46172"/>
    <cellStyle name="SAPBEXexcGood2 4 3 3" xfId="46173"/>
    <cellStyle name="SAPBEXexcGood2 4 4" xfId="46174"/>
    <cellStyle name="SAPBEXexcGood2 4 4 2" xfId="46175"/>
    <cellStyle name="SAPBEXexcGood2 4 4 2 2" xfId="46176"/>
    <cellStyle name="SAPBEXexcGood2 4 4 3" xfId="46177"/>
    <cellStyle name="SAPBEXexcGood2 4 5" xfId="46178"/>
    <cellStyle name="SAPBEXexcGood2 4 5 2" xfId="46179"/>
    <cellStyle name="SAPBEXexcGood2 4 5 2 2" xfId="46180"/>
    <cellStyle name="SAPBEXexcGood2 4 5 3" xfId="46181"/>
    <cellStyle name="SAPBEXexcGood2 4 6" xfId="46182"/>
    <cellStyle name="SAPBEXexcGood2 5" xfId="46183"/>
    <cellStyle name="SAPBEXexcGood2 5 2" xfId="46184"/>
    <cellStyle name="SAPBEXexcGood2 5 2 2" xfId="46185"/>
    <cellStyle name="SAPBEXexcGood2 5 3" xfId="46186"/>
    <cellStyle name="SAPBEXexcGood2 6" xfId="46187"/>
    <cellStyle name="SAPBEXexcGood2 6 2" xfId="46188"/>
    <cellStyle name="SAPBEXexcGood2 6 2 2" xfId="46189"/>
    <cellStyle name="SAPBEXexcGood2 6 3" xfId="46190"/>
    <cellStyle name="SAPBEXexcGood2 7" xfId="46191"/>
    <cellStyle name="SAPBEXexcGood2 7 2" xfId="46192"/>
    <cellStyle name="SAPBEXexcGood2 7 2 2" xfId="46193"/>
    <cellStyle name="SAPBEXexcGood2 7 3" xfId="46194"/>
    <cellStyle name="SAPBEXexcGood2 8" xfId="46195"/>
    <cellStyle name="SAPBEXexcGood2 8 2" xfId="46196"/>
    <cellStyle name="SAPBEXexcGood2 9" xfId="46197"/>
    <cellStyle name="SAPBEXexcGood2 9 2" xfId="46198"/>
    <cellStyle name="SAPBEXexcGood3" xfId="52"/>
    <cellStyle name="SAPBEXexcGood3 10" xfId="46199"/>
    <cellStyle name="SAPBEXexcGood3 10 2" xfId="46200"/>
    <cellStyle name="SAPBEXexcGood3 11" xfId="46201"/>
    <cellStyle name="SAPBEXexcGood3 11 2" xfId="46202"/>
    <cellStyle name="SAPBEXexcGood3 12" xfId="46203"/>
    <cellStyle name="SAPBEXexcGood3 12 2" xfId="46204"/>
    <cellStyle name="SAPBEXexcGood3 13" xfId="46205"/>
    <cellStyle name="SAPBEXexcGood3 14" xfId="46206"/>
    <cellStyle name="SAPBEXexcGood3 2" xfId="46207"/>
    <cellStyle name="SAPBEXexcGood3 2 2" xfId="46208"/>
    <cellStyle name="SAPBEXexcGood3 2 2 2" xfId="46209"/>
    <cellStyle name="SAPBEXexcGood3 2 2 2 2" xfId="46210"/>
    <cellStyle name="SAPBEXexcGood3 2 2 2 2 2" xfId="46211"/>
    <cellStyle name="SAPBEXexcGood3 2 2 2 2 2 2" xfId="46212"/>
    <cellStyle name="SAPBEXexcGood3 2 2 2 2 3" xfId="46213"/>
    <cellStyle name="SAPBEXexcGood3 2 2 2 3" xfId="46214"/>
    <cellStyle name="SAPBEXexcGood3 2 2 2 3 2" xfId="46215"/>
    <cellStyle name="SAPBEXexcGood3 2 2 2 4" xfId="46216"/>
    <cellStyle name="SAPBEXexcGood3 2 2 3" xfId="46217"/>
    <cellStyle name="SAPBEXexcGood3 2 2 3 2" xfId="46218"/>
    <cellStyle name="SAPBEXexcGood3 2 2 3 2 2" xfId="46219"/>
    <cellStyle name="SAPBEXexcGood3 2 2 3 3" xfId="46220"/>
    <cellStyle name="SAPBEXexcGood3 2 2 4" xfId="46221"/>
    <cellStyle name="SAPBEXexcGood3 2 2 4 2" xfId="46222"/>
    <cellStyle name="SAPBEXexcGood3 2 2 4 2 2" xfId="46223"/>
    <cellStyle name="SAPBEXexcGood3 2 2 4 3" xfId="46224"/>
    <cellStyle name="SAPBEXexcGood3 2 2 5" xfId="46225"/>
    <cellStyle name="SAPBEXexcGood3 2 2 5 2" xfId="46226"/>
    <cellStyle name="SAPBEXexcGood3 2 2 6" xfId="46227"/>
    <cellStyle name="SAPBEXexcGood3 2 3" xfId="46228"/>
    <cellStyle name="SAPBEXexcGood3 2 3 2" xfId="46229"/>
    <cellStyle name="SAPBEXexcGood3 2 3 2 2" xfId="46230"/>
    <cellStyle name="SAPBEXexcGood3 2 3 3" xfId="46231"/>
    <cellStyle name="SAPBEXexcGood3 2 4" xfId="46232"/>
    <cellStyle name="SAPBEXexcGood3 2 4 2" xfId="46233"/>
    <cellStyle name="SAPBEXexcGood3 2 4 2 2" xfId="46234"/>
    <cellStyle name="SAPBEXexcGood3 2 4 3" xfId="46235"/>
    <cellStyle name="SAPBEXexcGood3 2 5" xfId="46236"/>
    <cellStyle name="SAPBEXexcGood3 2 5 2" xfId="46237"/>
    <cellStyle name="SAPBEXexcGood3 2 5 2 2" xfId="46238"/>
    <cellStyle name="SAPBEXexcGood3 2 5 3" xfId="46239"/>
    <cellStyle name="SAPBEXexcGood3 2 6" xfId="46240"/>
    <cellStyle name="SAPBEXexcGood3 2 6 2" xfId="46241"/>
    <cellStyle name="SAPBEXexcGood3 2 7" xfId="46242"/>
    <cellStyle name="SAPBEXexcGood3 3" xfId="46243"/>
    <cellStyle name="SAPBEXexcGood3 3 2" xfId="46244"/>
    <cellStyle name="SAPBEXexcGood3 3 2 2" xfId="46245"/>
    <cellStyle name="SAPBEXexcGood3 3 3" xfId="46246"/>
    <cellStyle name="SAPBEXexcGood3 3 3 2" xfId="46247"/>
    <cellStyle name="SAPBEXexcGood3 3 3 2 2" xfId="46248"/>
    <cellStyle name="SAPBEXexcGood3 3 3 3" xfId="46249"/>
    <cellStyle name="SAPBEXexcGood3 3 4" xfId="46250"/>
    <cellStyle name="SAPBEXexcGood3 3 4 2" xfId="46251"/>
    <cellStyle name="SAPBEXexcGood3 3 4 2 2" xfId="46252"/>
    <cellStyle name="SAPBEXexcGood3 3 4 3" xfId="46253"/>
    <cellStyle name="SAPBEXexcGood3 3 5" xfId="46254"/>
    <cellStyle name="SAPBEXexcGood3 4" xfId="46255"/>
    <cellStyle name="SAPBEXexcGood3 4 2" xfId="46256"/>
    <cellStyle name="SAPBEXexcGood3 4 2 2" xfId="46257"/>
    <cellStyle name="SAPBEXexcGood3 4 2 2 2" xfId="46258"/>
    <cellStyle name="SAPBEXexcGood3 4 2 3" xfId="46259"/>
    <cellStyle name="SAPBEXexcGood3 4 2 3 2" xfId="46260"/>
    <cellStyle name="SAPBEXexcGood3 4 2 3 2 2" xfId="46261"/>
    <cellStyle name="SAPBEXexcGood3 4 2 3 3" xfId="46262"/>
    <cellStyle name="SAPBEXexcGood3 4 2 4" xfId="46263"/>
    <cellStyle name="SAPBEXexcGood3 4 3" xfId="46264"/>
    <cellStyle name="SAPBEXexcGood3 4 3 2" xfId="46265"/>
    <cellStyle name="SAPBEXexcGood3 4 3 2 2" xfId="46266"/>
    <cellStyle name="SAPBEXexcGood3 4 3 3" xfId="46267"/>
    <cellStyle name="SAPBEXexcGood3 4 4" xfId="46268"/>
    <cellStyle name="SAPBEXexcGood3 4 4 2" xfId="46269"/>
    <cellStyle name="SAPBEXexcGood3 4 4 2 2" xfId="46270"/>
    <cellStyle name="SAPBEXexcGood3 4 4 3" xfId="46271"/>
    <cellStyle name="SAPBEXexcGood3 4 5" xfId="46272"/>
    <cellStyle name="SAPBEXexcGood3 4 5 2" xfId="46273"/>
    <cellStyle name="SAPBEXexcGood3 4 5 2 2" xfId="46274"/>
    <cellStyle name="SAPBEXexcGood3 4 5 3" xfId="46275"/>
    <cellStyle name="SAPBEXexcGood3 4 6" xfId="46276"/>
    <cellStyle name="SAPBEXexcGood3 5" xfId="46277"/>
    <cellStyle name="SAPBEXexcGood3 5 2" xfId="46278"/>
    <cellStyle name="SAPBEXexcGood3 5 2 2" xfId="46279"/>
    <cellStyle name="SAPBEXexcGood3 5 3" xfId="46280"/>
    <cellStyle name="SAPBEXexcGood3 6" xfId="46281"/>
    <cellStyle name="SAPBEXexcGood3 6 2" xfId="46282"/>
    <cellStyle name="SAPBEXexcGood3 6 2 2" xfId="46283"/>
    <cellStyle name="SAPBEXexcGood3 6 3" xfId="46284"/>
    <cellStyle name="SAPBEXexcGood3 7" xfId="46285"/>
    <cellStyle name="SAPBEXexcGood3 7 2" xfId="46286"/>
    <cellStyle name="SAPBEXexcGood3 7 2 2" xfId="46287"/>
    <cellStyle name="SAPBEXexcGood3 7 3" xfId="46288"/>
    <cellStyle name="SAPBEXexcGood3 8" xfId="46289"/>
    <cellStyle name="SAPBEXexcGood3 8 2" xfId="46290"/>
    <cellStyle name="SAPBEXexcGood3 9" xfId="46291"/>
    <cellStyle name="SAPBEXexcGood3 9 2" xfId="46292"/>
    <cellStyle name="SAPBEXfilterDrill" xfId="53"/>
    <cellStyle name="SAPBEXfilterDrill 10" xfId="46293"/>
    <cellStyle name="SAPBEXfilterDrill 10 2" xfId="46294"/>
    <cellStyle name="SAPBEXfilterDrill 11" xfId="46295"/>
    <cellStyle name="SAPBEXfilterDrill 11 2" xfId="46296"/>
    <cellStyle name="SAPBEXfilterDrill 12" xfId="46297"/>
    <cellStyle name="SAPBEXfilterDrill 12 2" xfId="46298"/>
    <cellStyle name="SAPBEXfilterDrill 13" xfId="46299"/>
    <cellStyle name="SAPBEXfilterDrill 2" xfId="46300"/>
    <cellStyle name="SAPBEXfilterDrill 2 2" xfId="46301"/>
    <cellStyle name="SAPBEXfilterDrill 2 2 2" xfId="46302"/>
    <cellStyle name="SAPBEXfilterDrill 2 2 2 2" xfId="46303"/>
    <cellStyle name="SAPBEXfilterDrill 2 2 2 2 2" xfId="46304"/>
    <cellStyle name="SAPBEXfilterDrill 2 2 2 2 2 2" xfId="46305"/>
    <cellStyle name="SAPBEXfilterDrill 2 2 2 2 3" xfId="46306"/>
    <cellStyle name="SAPBEXfilterDrill 2 2 2 3" xfId="46307"/>
    <cellStyle name="SAPBEXfilterDrill 2 2 2 3 2" xfId="46308"/>
    <cellStyle name="SAPBEXfilterDrill 2 2 2 4" xfId="46309"/>
    <cellStyle name="SAPBEXfilterDrill 2 2 3" xfId="46310"/>
    <cellStyle name="SAPBEXfilterDrill 2 2 3 2" xfId="46311"/>
    <cellStyle name="SAPBEXfilterDrill 2 2 3 2 2" xfId="46312"/>
    <cellStyle name="SAPBEXfilterDrill 2 2 3 3" xfId="46313"/>
    <cellStyle name="SAPBEXfilterDrill 2 2 4" xfId="46314"/>
    <cellStyle name="SAPBEXfilterDrill 2 2 4 2" xfId="46315"/>
    <cellStyle name="SAPBEXfilterDrill 2 2 4 2 2" xfId="46316"/>
    <cellStyle name="SAPBEXfilterDrill 2 2 4 3" xfId="46317"/>
    <cellStyle name="SAPBEXfilterDrill 2 2 5" xfId="46318"/>
    <cellStyle name="SAPBEXfilterDrill 2 2 5 2" xfId="46319"/>
    <cellStyle name="SAPBEXfilterDrill 2 2 6" xfId="46320"/>
    <cellStyle name="SAPBEXfilterDrill 2 3" xfId="46321"/>
    <cellStyle name="SAPBEXfilterDrill 2 4" xfId="46322"/>
    <cellStyle name="SAPBEXfilterDrill 2 4 2" xfId="46323"/>
    <cellStyle name="SAPBEXfilterDrill 2 4 2 2" xfId="46324"/>
    <cellStyle name="SAPBEXfilterDrill 2 4 3" xfId="46325"/>
    <cellStyle name="SAPBEXfilterDrill 2 5" xfId="46326"/>
    <cellStyle name="SAPBEXfilterDrill 2 5 2" xfId="46327"/>
    <cellStyle name="SAPBEXfilterDrill 2 5 2 2" xfId="46328"/>
    <cellStyle name="SAPBEXfilterDrill 2 5 3" xfId="46329"/>
    <cellStyle name="SAPBEXfilterDrill 3" xfId="46330"/>
    <cellStyle name="SAPBEXfilterDrill 3 2" xfId="46331"/>
    <cellStyle name="SAPBEXfilterDrill 3 2 2" xfId="46332"/>
    <cellStyle name="SAPBEXfilterDrill 3 3" xfId="46333"/>
    <cellStyle name="SAPBEXfilterDrill 3 3 2" xfId="46334"/>
    <cellStyle name="SAPBEXfilterDrill 3 3 2 2" xfId="46335"/>
    <cellStyle name="SAPBEXfilterDrill 3 3 3" xfId="46336"/>
    <cellStyle name="SAPBEXfilterDrill 3 4" xfId="46337"/>
    <cellStyle name="SAPBEXfilterDrill 3 4 2" xfId="46338"/>
    <cellStyle name="SAPBEXfilterDrill 3 4 2 2" xfId="46339"/>
    <cellStyle name="SAPBEXfilterDrill 3 4 3" xfId="46340"/>
    <cellStyle name="SAPBEXfilterDrill 3 5" xfId="46341"/>
    <cellStyle name="SAPBEXfilterDrill 4" xfId="46342"/>
    <cellStyle name="SAPBEXfilterDrill 4 2" xfId="46343"/>
    <cellStyle name="SAPBEXfilterDrill 4 2 2" xfId="46344"/>
    <cellStyle name="SAPBEXfilterDrill 4 2 2 2" xfId="46345"/>
    <cellStyle name="SAPBEXfilterDrill 4 2 3" xfId="46346"/>
    <cellStyle name="SAPBEXfilterDrill 4 2 3 2" xfId="46347"/>
    <cellStyle name="SAPBEXfilterDrill 4 2 3 2 2" xfId="46348"/>
    <cellStyle name="SAPBEXfilterDrill 4 2 3 3" xfId="46349"/>
    <cellStyle name="SAPBEXfilterDrill 4 2 4" xfId="46350"/>
    <cellStyle name="SAPBEXfilterDrill 4 3" xfId="46351"/>
    <cellStyle name="SAPBEXfilterDrill 4 3 2" xfId="46352"/>
    <cellStyle name="SAPBEXfilterDrill 4 3 2 2" xfId="46353"/>
    <cellStyle name="SAPBEXfilterDrill 4 3 3" xfId="46354"/>
    <cellStyle name="SAPBEXfilterDrill 4 4" xfId="46355"/>
    <cellStyle name="SAPBEXfilterDrill 4 4 2" xfId="46356"/>
    <cellStyle name="SAPBEXfilterDrill 4 4 2 2" xfId="46357"/>
    <cellStyle name="SAPBEXfilterDrill 4 4 3" xfId="46358"/>
    <cellStyle name="SAPBEXfilterDrill 4 5" xfId="46359"/>
    <cellStyle name="SAPBEXfilterDrill 4 5 2" xfId="46360"/>
    <cellStyle name="SAPBEXfilterDrill 4 5 2 2" xfId="46361"/>
    <cellStyle name="SAPBEXfilterDrill 4 5 3" xfId="46362"/>
    <cellStyle name="SAPBEXfilterDrill 4 6" xfId="46363"/>
    <cellStyle name="SAPBEXfilterDrill 5" xfId="46364"/>
    <cellStyle name="SAPBEXfilterDrill 5 2" xfId="46365"/>
    <cellStyle name="SAPBEXfilterDrill 5 2 2" xfId="46366"/>
    <cellStyle name="SAPBEXfilterDrill 5 3" xfId="46367"/>
    <cellStyle name="SAPBEXfilterDrill 6" xfId="46368"/>
    <cellStyle name="SAPBEXfilterDrill 6 2" xfId="46369"/>
    <cellStyle name="SAPBEXfilterDrill 6 2 2" xfId="46370"/>
    <cellStyle name="SAPBEXfilterDrill 6 3" xfId="46371"/>
    <cellStyle name="SAPBEXfilterDrill 7" xfId="46372"/>
    <cellStyle name="SAPBEXfilterDrill 7 2" xfId="46373"/>
    <cellStyle name="SAPBEXfilterDrill 7 2 2" xfId="46374"/>
    <cellStyle name="SAPBEXfilterDrill 7 3" xfId="46375"/>
    <cellStyle name="SAPBEXfilterDrill 8" xfId="46376"/>
    <cellStyle name="SAPBEXfilterDrill 8 2" xfId="46377"/>
    <cellStyle name="SAPBEXfilterDrill 9" xfId="46378"/>
    <cellStyle name="SAPBEXfilterDrill 9 2" xfId="46379"/>
    <cellStyle name="SAPBEXfilterItem" xfId="54"/>
    <cellStyle name="SAPBEXfilterItem 10" xfId="46380"/>
    <cellStyle name="SAPBEXfilterItem 10 2" xfId="46381"/>
    <cellStyle name="SAPBEXfilterItem 11" xfId="46382"/>
    <cellStyle name="SAPBEXfilterItem 11 2" xfId="46383"/>
    <cellStyle name="SAPBEXfilterItem 12" xfId="46384"/>
    <cellStyle name="SAPBEXfilterItem 2" xfId="46385"/>
    <cellStyle name="SAPBEXfilterItem 2 2" xfId="46386"/>
    <cellStyle name="SAPBEXfilterItem 2 2 2" xfId="46387"/>
    <cellStyle name="SAPBEXfilterItem 2 2 2 2" xfId="46388"/>
    <cellStyle name="SAPBEXfilterItem 2 2 2 2 2" xfId="46389"/>
    <cellStyle name="SAPBEXfilterItem 2 2 2 2 2 2" xfId="46390"/>
    <cellStyle name="SAPBEXfilterItem 2 2 2 2 3" xfId="46391"/>
    <cellStyle name="SAPBEXfilterItem 2 2 2 3" xfId="46392"/>
    <cellStyle name="SAPBEXfilterItem 2 2 2 3 2" xfId="46393"/>
    <cellStyle name="SAPBEXfilterItem 2 2 2 4" xfId="46394"/>
    <cellStyle name="SAPBEXfilterItem 2 2 3" xfId="46395"/>
    <cellStyle name="SAPBEXfilterItem 2 2 3 2" xfId="46396"/>
    <cellStyle name="SAPBEXfilterItem 2 2 3 2 2" xfId="46397"/>
    <cellStyle name="SAPBEXfilterItem 2 2 3 3" xfId="46398"/>
    <cellStyle name="SAPBEXfilterItem 2 2 4" xfId="46399"/>
    <cellStyle name="SAPBEXfilterItem 2 2 4 2" xfId="46400"/>
    <cellStyle name="SAPBEXfilterItem 2 2 4 2 2" xfId="46401"/>
    <cellStyle name="SAPBEXfilterItem 2 2 4 3" xfId="46402"/>
    <cellStyle name="SAPBEXfilterItem 2 2 5" xfId="46403"/>
    <cellStyle name="SAPBEXfilterItem 2 2 5 2" xfId="46404"/>
    <cellStyle name="SAPBEXfilterItem 2 2 6" xfId="46405"/>
    <cellStyle name="SAPBEXfilterItem 2 3" xfId="46406"/>
    <cellStyle name="SAPBEXfilterItem 2 3 2" xfId="46407"/>
    <cellStyle name="SAPBEXfilterItem 2 4" xfId="46408"/>
    <cellStyle name="SAPBEXfilterItem 2 4 2" xfId="46409"/>
    <cellStyle name="SAPBEXfilterItem 2 4 2 2" xfId="46410"/>
    <cellStyle name="SAPBEXfilterItem 2 4 3" xfId="46411"/>
    <cellStyle name="SAPBEXfilterItem 2 5" xfId="46412"/>
    <cellStyle name="SAPBEXfilterItem 2 5 2" xfId="46413"/>
    <cellStyle name="SAPBEXfilterItem 2 5 2 2" xfId="46414"/>
    <cellStyle name="SAPBEXfilterItem 2 5 3" xfId="46415"/>
    <cellStyle name="SAPBEXfilterItem 2 6" xfId="46416"/>
    <cellStyle name="SAPBEXfilterItem 3" xfId="46417"/>
    <cellStyle name="SAPBEXfilterItem 3 2" xfId="46418"/>
    <cellStyle name="SAPBEXfilterItem 3 2 2" xfId="46419"/>
    <cellStyle name="SAPBEXfilterItem 3 3" xfId="46420"/>
    <cellStyle name="SAPBEXfilterItem 3 3 2" xfId="46421"/>
    <cellStyle name="SAPBEXfilterItem 3 3 2 2" xfId="46422"/>
    <cellStyle name="SAPBEXfilterItem 3 3 3" xfId="46423"/>
    <cellStyle name="SAPBEXfilterItem 3 4" xfId="46424"/>
    <cellStyle name="SAPBEXfilterItem 3 4 2" xfId="46425"/>
    <cellStyle name="SAPBEXfilterItem 3 4 2 2" xfId="46426"/>
    <cellStyle name="SAPBEXfilterItem 3 4 3" xfId="46427"/>
    <cellStyle name="SAPBEXfilterItem 3 5" xfId="46428"/>
    <cellStyle name="SAPBEXfilterItem 4" xfId="46429"/>
    <cellStyle name="SAPBEXfilterItem 4 2" xfId="46430"/>
    <cellStyle name="SAPBEXfilterItem 4 2 2" xfId="46431"/>
    <cellStyle name="SAPBEXfilterItem 4 2 2 2" xfId="46432"/>
    <cellStyle name="SAPBEXfilterItem 4 2 3" xfId="46433"/>
    <cellStyle name="SAPBEXfilterItem 4 2 3 2" xfId="46434"/>
    <cellStyle name="SAPBEXfilterItem 4 2 3 2 2" xfId="46435"/>
    <cellStyle name="SAPBEXfilterItem 4 2 3 3" xfId="46436"/>
    <cellStyle name="SAPBEXfilterItem 4 2 4" xfId="46437"/>
    <cellStyle name="SAPBEXfilterItem 4 3" xfId="46438"/>
    <cellStyle name="SAPBEXfilterItem 4 3 2" xfId="46439"/>
    <cellStyle name="SAPBEXfilterItem 4 3 2 2" xfId="46440"/>
    <cellStyle name="SAPBEXfilterItem 4 3 3" xfId="46441"/>
    <cellStyle name="SAPBEXfilterItem 4 4" xfId="46442"/>
    <cellStyle name="SAPBEXfilterItem 4 4 2" xfId="46443"/>
    <cellStyle name="SAPBEXfilterItem 4 4 2 2" xfId="46444"/>
    <cellStyle name="SAPBEXfilterItem 4 4 3" xfId="46445"/>
    <cellStyle name="SAPBEXfilterItem 4 5" xfId="46446"/>
    <cellStyle name="SAPBEXfilterItem 4 5 2" xfId="46447"/>
    <cellStyle name="SAPBEXfilterItem 4 5 2 2" xfId="46448"/>
    <cellStyle name="SAPBEXfilterItem 4 5 3" xfId="46449"/>
    <cellStyle name="SAPBEXfilterItem 4 6" xfId="46450"/>
    <cellStyle name="SAPBEXfilterItem 5" xfId="46451"/>
    <cellStyle name="SAPBEXfilterItem 5 2" xfId="46452"/>
    <cellStyle name="SAPBEXfilterItem 5 2 2" xfId="46453"/>
    <cellStyle name="SAPBEXfilterItem 5 3" xfId="46454"/>
    <cellStyle name="SAPBEXfilterItem 6" xfId="46455"/>
    <cellStyle name="SAPBEXfilterItem 6 2" xfId="46456"/>
    <cellStyle name="SAPBEXfilterItem 6 2 2" xfId="46457"/>
    <cellStyle name="SAPBEXfilterItem 6 3" xfId="46458"/>
    <cellStyle name="SAPBEXfilterItem 7" xfId="46459"/>
    <cellStyle name="SAPBEXfilterItem 7 2" xfId="46460"/>
    <cellStyle name="SAPBEXfilterItem 7 2 2" xfId="46461"/>
    <cellStyle name="SAPBEXfilterItem 7 3" xfId="46462"/>
    <cellStyle name="SAPBEXfilterItem 8" xfId="46463"/>
    <cellStyle name="SAPBEXfilterItem 8 2" xfId="46464"/>
    <cellStyle name="SAPBEXfilterItem 9" xfId="46465"/>
    <cellStyle name="SAPBEXfilterItem 9 2" xfId="46466"/>
    <cellStyle name="SAPBEXfilterText" xfId="55"/>
    <cellStyle name="SAPBEXfilterText 10" xfId="46467"/>
    <cellStyle name="SAPBEXfilterText 10 2" xfId="46468"/>
    <cellStyle name="SAPBEXfilterText 11" xfId="46469"/>
    <cellStyle name="SAPBEXfilterText 11 2" xfId="46470"/>
    <cellStyle name="SAPBEXfilterText 12" xfId="46471"/>
    <cellStyle name="SAPBEXfilterText 2" xfId="46472"/>
    <cellStyle name="SAPBEXfilterText 2 2" xfId="46473"/>
    <cellStyle name="SAPBEXfilterText 2 2 2" xfId="46474"/>
    <cellStyle name="SAPBEXfilterText 2 2 2 2" xfId="46475"/>
    <cellStyle name="SAPBEXfilterText 2 2 2 2 2" xfId="46476"/>
    <cellStyle name="SAPBEXfilterText 2 2 2 2 2 2" xfId="46477"/>
    <cellStyle name="SAPBEXfilterText 2 2 2 2 3" xfId="46478"/>
    <cellStyle name="SAPBEXfilterText 2 2 2 3" xfId="46479"/>
    <cellStyle name="SAPBEXfilterText 2 2 2 3 2" xfId="46480"/>
    <cellStyle name="SAPBEXfilterText 2 2 2 4" xfId="46481"/>
    <cellStyle name="SAPBEXfilterText 2 2 3" xfId="46482"/>
    <cellStyle name="SAPBEXfilterText 2 2 3 2" xfId="46483"/>
    <cellStyle name="SAPBEXfilterText 2 2 3 2 2" xfId="46484"/>
    <cellStyle name="SAPBEXfilterText 2 2 3 3" xfId="46485"/>
    <cellStyle name="SAPBEXfilterText 2 2 4" xfId="46486"/>
    <cellStyle name="SAPBEXfilterText 2 2 4 2" xfId="46487"/>
    <cellStyle name="SAPBEXfilterText 2 2 4 2 2" xfId="46488"/>
    <cellStyle name="SAPBEXfilterText 2 2 4 3" xfId="46489"/>
    <cellStyle name="SAPBEXfilterText 2 2 5" xfId="46490"/>
    <cellStyle name="SAPBEXfilterText 2 2 5 2" xfId="46491"/>
    <cellStyle name="SAPBEXfilterText 2 2 6" xfId="46492"/>
    <cellStyle name="SAPBEXfilterText 2 3" xfId="46493"/>
    <cellStyle name="SAPBEXfilterText 2 4" xfId="46494"/>
    <cellStyle name="SAPBEXfilterText 2 4 2" xfId="46495"/>
    <cellStyle name="SAPBEXfilterText 2 4 2 2" xfId="46496"/>
    <cellStyle name="SAPBEXfilterText 2 4 3" xfId="46497"/>
    <cellStyle name="SAPBEXfilterText 2 5" xfId="46498"/>
    <cellStyle name="SAPBEXfilterText 2 5 2" xfId="46499"/>
    <cellStyle name="SAPBEXfilterText 2 5 2 2" xfId="46500"/>
    <cellStyle name="SAPBEXfilterText 2 5 3" xfId="46501"/>
    <cellStyle name="SAPBEXfilterText 3" xfId="46502"/>
    <cellStyle name="SAPBEXfilterText 3 2" xfId="46503"/>
    <cellStyle name="SAPBEXfilterText 3 2 2" xfId="46504"/>
    <cellStyle name="SAPBEXfilterText 3 3" xfId="46505"/>
    <cellStyle name="SAPBEXfilterText 3 3 2" xfId="46506"/>
    <cellStyle name="SAPBEXfilterText 3 3 2 2" xfId="46507"/>
    <cellStyle name="SAPBEXfilterText 3 3 3" xfId="46508"/>
    <cellStyle name="SAPBEXfilterText 3 4" xfId="46509"/>
    <cellStyle name="SAPBEXfilterText 3 4 2" xfId="46510"/>
    <cellStyle name="SAPBEXfilterText 3 4 2 2" xfId="46511"/>
    <cellStyle name="SAPBEXfilterText 3 4 3" xfId="46512"/>
    <cellStyle name="SAPBEXfilterText 3 5" xfId="46513"/>
    <cellStyle name="SAPBEXfilterText 4" xfId="46514"/>
    <cellStyle name="SAPBEXfilterText 4 2" xfId="46515"/>
    <cellStyle name="SAPBEXfilterText 4 2 2" xfId="46516"/>
    <cellStyle name="SAPBEXfilterText 4 2 2 2" xfId="46517"/>
    <cellStyle name="SAPBEXfilterText 4 2 3" xfId="46518"/>
    <cellStyle name="SAPBEXfilterText 4 2 3 2" xfId="46519"/>
    <cellStyle name="SAPBEXfilterText 4 2 3 2 2" xfId="46520"/>
    <cellStyle name="SAPBEXfilterText 4 2 3 3" xfId="46521"/>
    <cellStyle name="SAPBEXfilterText 4 2 4" xfId="46522"/>
    <cellStyle name="SAPBEXfilterText 4 3" xfId="46523"/>
    <cellStyle name="SAPBEXfilterText 4 3 2" xfId="46524"/>
    <cellStyle name="SAPBEXfilterText 4 3 2 2" xfId="46525"/>
    <cellStyle name="SAPBEXfilterText 4 3 3" xfId="46526"/>
    <cellStyle name="SAPBEXfilterText 4 4" xfId="46527"/>
    <cellStyle name="SAPBEXfilterText 4 4 2" xfId="46528"/>
    <cellStyle name="SAPBEXfilterText 4 4 2 2" xfId="46529"/>
    <cellStyle name="SAPBEXfilterText 4 4 3" xfId="46530"/>
    <cellStyle name="SAPBEXfilterText 4 5" xfId="46531"/>
    <cellStyle name="SAPBEXfilterText 4 5 2" xfId="46532"/>
    <cellStyle name="SAPBEXfilterText 4 5 2 2" xfId="46533"/>
    <cellStyle name="SAPBEXfilterText 4 5 3" xfId="46534"/>
    <cellStyle name="SAPBEXfilterText 4 6" xfId="46535"/>
    <cellStyle name="SAPBEXfilterText 5" xfId="46536"/>
    <cellStyle name="SAPBEXfilterText 5 2" xfId="46537"/>
    <cellStyle name="SAPBEXfilterText 5 2 2" xfId="46538"/>
    <cellStyle name="SAPBEXfilterText 5 3" xfId="46539"/>
    <cellStyle name="SAPBEXfilterText 6" xfId="46540"/>
    <cellStyle name="SAPBEXfilterText 6 2" xfId="46541"/>
    <cellStyle name="SAPBEXfilterText 6 2 2" xfId="46542"/>
    <cellStyle name="SAPBEXfilterText 6 3" xfId="46543"/>
    <cellStyle name="SAPBEXfilterText 7" xfId="46544"/>
    <cellStyle name="SAPBEXfilterText 7 2" xfId="46545"/>
    <cellStyle name="SAPBEXfilterText 7 2 2" xfId="46546"/>
    <cellStyle name="SAPBEXfilterText 7 3" xfId="46547"/>
    <cellStyle name="SAPBEXfilterText 8" xfId="46548"/>
    <cellStyle name="SAPBEXfilterText 8 2" xfId="46549"/>
    <cellStyle name="SAPBEXfilterText 9" xfId="46550"/>
    <cellStyle name="SAPBEXfilterText 9 2" xfId="46551"/>
    <cellStyle name="SAPBEXformats" xfId="56"/>
    <cellStyle name="SAPBEXformats 10" xfId="46552"/>
    <cellStyle name="SAPBEXformats 10 2" xfId="46553"/>
    <cellStyle name="SAPBEXformats 11" xfId="46554"/>
    <cellStyle name="SAPBEXformats 11 2" xfId="46555"/>
    <cellStyle name="SAPBEXformats 12" xfId="46556"/>
    <cellStyle name="SAPBEXformats 12 2" xfId="46557"/>
    <cellStyle name="SAPBEXformats 13" xfId="46558"/>
    <cellStyle name="SAPBEXformats 14" xfId="46559"/>
    <cellStyle name="SAPBEXformats 2" xfId="46560"/>
    <cellStyle name="SAPBEXformats 2 2" xfId="46561"/>
    <cellStyle name="SAPBEXformats 2 2 2" xfId="46562"/>
    <cellStyle name="SAPBEXformats 2 2 2 2" xfId="46563"/>
    <cellStyle name="SAPBEXformats 2 2 2 2 2" xfId="46564"/>
    <cellStyle name="SAPBEXformats 2 2 2 2 2 2" xfId="46565"/>
    <cellStyle name="SAPBEXformats 2 2 2 2 3" xfId="46566"/>
    <cellStyle name="SAPBEXformats 2 2 2 3" xfId="46567"/>
    <cellStyle name="SAPBEXformats 2 2 2 3 2" xfId="46568"/>
    <cellStyle name="SAPBEXformats 2 2 2 4" xfId="46569"/>
    <cellStyle name="SAPBEXformats 2 2 3" xfId="46570"/>
    <cellStyle name="SAPBEXformats 2 2 3 2" xfId="46571"/>
    <cellStyle name="SAPBEXformats 2 2 3 2 2" xfId="46572"/>
    <cellStyle name="SAPBEXformats 2 2 3 3" xfId="46573"/>
    <cellStyle name="SAPBEXformats 2 2 4" xfId="46574"/>
    <cellStyle name="SAPBEXformats 2 2 4 2" xfId="46575"/>
    <cellStyle name="SAPBEXformats 2 2 4 2 2" xfId="46576"/>
    <cellStyle name="SAPBEXformats 2 2 4 3" xfId="46577"/>
    <cellStyle name="SAPBEXformats 2 2 5" xfId="46578"/>
    <cellStyle name="SAPBEXformats 2 2 5 2" xfId="46579"/>
    <cellStyle name="SAPBEXformats 2 2 6" xfId="46580"/>
    <cellStyle name="SAPBEXformats 2 3" xfId="46581"/>
    <cellStyle name="SAPBEXformats 2 3 2" xfId="46582"/>
    <cellStyle name="SAPBEXformats 2 3 2 2" xfId="46583"/>
    <cellStyle name="SAPBEXformats 2 3 3" xfId="46584"/>
    <cellStyle name="SAPBEXformats 2 4" xfId="46585"/>
    <cellStyle name="SAPBEXformats 2 4 2" xfId="46586"/>
    <cellStyle name="SAPBEXformats 2 4 2 2" xfId="46587"/>
    <cellStyle name="SAPBEXformats 2 4 3" xfId="46588"/>
    <cellStyle name="SAPBEXformats 2 5" xfId="46589"/>
    <cellStyle name="SAPBEXformats 2 5 2" xfId="46590"/>
    <cellStyle name="SAPBEXformats 2 5 2 2" xfId="46591"/>
    <cellStyle name="SAPBEXformats 2 5 3" xfId="46592"/>
    <cellStyle name="SAPBEXformats 2 6" xfId="46593"/>
    <cellStyle name="SAPBEXformats 2 6 2" xfId="46594"/>
    <cellStyle name="SAPBEXformats 2 7" xfId="46595"/>
    <cellStyle name="SAPBEXformats 3" xfId="46596"/>
    <cellStyle name="SAPBEXformats 3 2" xfId="46597"/>
    <cellStyle name="SAPBEXformats 3 2 2" xfId="46598"/>
    <cellStyle name="SAPBEXformats 3 3" xfId="46599"/>
    <cellStyle name="SAPBEXformats 3 3 2" xfId="46600"/>
    <cellStyle name="SAPBEXformats 3 3 2 2" xfId="46601"/>
    <cellStyle name="SAPBEXformats 3 3 3" xfId="46602"/>
    <cellStyle name="SAPBEXformats 3 4" xfId="46603"/>
    <cellStyle name="SAPBEXformats 3 4 2" xfId="46604"/>
    <cellStyle name="SAPBEXformats 3 4 2 2" xfId="46605"/>
    <cellStyle name="SAPBEXformats 3 4 3" xfId="46606"/>
    <cellStyle name="SAPBEXformats 3 5" xfId="46607"/>
    <cellStyle name="SAPBEXformats 4" xfId="46608"/>
    <cellStyle name="SAPBEXformats 4 2" xfId="46609"/>
    <cellStyle name="SAPBEXformats 4 2 2" xfId="46610"/>
    <cellStyle name="SAPBEXformats 4 2 2 2" xfId="46611"/>
    <cellStyle name="SAPBEXformats 4 2 3" xfId="46612"/>
    <cellStyle name="SAPBEXformats 4 2 3 2" xfId="46613"/>
    <cellStyle name="SAPBEXformats 4 2 3 2 2" xfId="46614"/>
    <cellStyle name="SAPBEXformats 4 2 3 3" xfId="46615"/>
    <cellStyle name="SAPBEXformats 4 2 4" xfId="46616"/>
    <cellStyle name="SAPBEXformats 4 3" xfId="46617"/>
    <cellStyle name="SAPBEXformats 4 3 2" xfId="46618"/>
    <cellStyle name="SAPBEXformats 4 3 2 2" xfId="46619"/>
    <cellStyle name="SAPBEXformats 4 3 3" xfId="46620"/>
    <cellStyle name="SAPBEXformats 4 4" xfId="46621"/>
    <cellStyle name="SAPBEXformats 4 4 2" xfId="46622"/>
    <cellStyle name="SAPBEXformats 4 4 2 2" xfId="46623"/>
    <cellStyle name="SAPBEXformats 4 4 3" xfId="46624"/>
    <cellStyle name="SAPBEXformats 4 5" xfId="46625"/>
    <cellStyle name="SAPBEXformats 4 5 2" xfId="46626"/>
    <cellStyle name="SAPBEXformats 4 5 2 2" xfId="46627"/>
    <cellStyle name="SAPBEXformats 4 5 3" xfId="46628"/>
    <cellStyle name="SAPBEXformats 4 6" xfId="46629"/>
    <cellStyle name="SAPBEXformats 5" xfId="46630"/>
    <cellStyle name="SAPBEXformats 5 2" xfId="46631"/>
    <cellStyle name="SAPBEXformats 5 2 2" xfId="46632"/>
    <cellStyle name="SAPBEXformats 5 3" xfId="46633"/>
    <cellStyle name="SAPBEXformats 6" xfId="46634"/>
    <cellStyle name="SAPBEXformats 6 2" xfId="46635"/>
    <cellStyle name="SAPBEXformats 6 2 2" xfId="46636"/>
    <cellStyle name="SAPBEXformats 6 3" xfId="46637"/>
    <cellStyle name="SAPBEXformats 7" xfId="46638"/>
    <cellStyle name="SAPBEXformats 7 2" xfId="46639"/>
    <cellStyle name="SAPBEXformats 7 2 2" xfId="46640"/>
    <cellStyle name="SAPBEXformats 7 3" xfId="46641"/>
    <cellStyle name="SAPBEXformats 8" xfId="46642"/>
    <cellStyle name="SAPBEXformats 8 2" xfId="46643"/>
    <cellStyle name="SAPBEXformats 9" xfId="46644"/>
    <cellStyle name="SAPBEXformats 9 2" xfId="46645"/>
    <cellStyle name="SAPBEXheaderItem" xfId="57"/>
    <cellStyle name="SAPBEXheaderItem 10" xfId="46646"/>
    <cellStyle name="SAPBEXheaderItem 10 2" xfId="46647"/>
    <cellStyle name="SAPBEXheaderItem 11" xfId="46648"/>
    <cellStyle name="SAPBEXheaderItem 11 2" xfId="46649"/>
    <cellStyle name="SAPBEXheaderItem 12" xfId="46650"/>
    <cellStyle name="SAPBEXheaderItem 12 2" xfId="46651"/>
    <cellStyle name="SAPBEXheaderItem 13" xfId="46652"/>
    <cellStyle name="SAPBEXheaderItem 13 2" xfId="46653"/>
    <cellStyle name="SAPBEXheaderItem 14" xfId="46654"/>
    <cellStyle name="SAPBEXheaderItem 2" xfId="46655"/>
    <cellStyle name="SAPBEXheaderItem 2 2" xfId="46656"/>
    <cellStyle name="SAPBEXheaderItem 2 2 2" xfId="46657"/>
    <cellStyle name="SAPBEXheaderItem 2 2 2 2" xfId="46658"/>
    <cellStyle name="SAPBEXheaderItem 2 2 2 2 2" xfId="46659"/>
    <cellStyle name="SAPBEXheaderItem 2 2 2 2 2 2" xfId="46660"/>
    <cellStyle name="SAPBEXheaderItem 2 2 2 2 3" xfId="46661"/>
    <cellStyle name="SAPBEXheaderItem 2 2 2 3" xfId="46662"/>
    <cellStyle name="SAPBEXheaderItem 2 2 2 3 2" xfId="46663"/>
    <cellStyle name="SAPBEXheaderItem 2 2 2 4" xfId="46664"/>
    <cellStyle name="SAPBEXheaderItem 2 2 3" xfId="46665"/>
    <cellStyle name="SAPBEXheaderItem 2 2 3 2" xfId="46666"/>
    <cellStyle name="SAPBEXheaderItem 2 2 3 2 2" xfId="46667"/>
    <cellStyle name="SAPBEXheaderItem 2 2 3 3" xfId="46668"/>
    <cellStyle name="SAPBEXheaderItem 2 2 4" xfId="46669"/>
    <cellStyle name="SAPBEXheaderItem 2 2 4 2" xfId="46670"/>
    <cellStyle name="SAPBEXheaderItem 2 2 4 2 2" xfId="46671"/>
    <cellStyle name="SAPBEXheaderItem 2 2 4 3" xfId="46672"/>
    <cellStyle name="SAPBEXheaderItem 2 2 5" xfId="46673"/>
    <cellStyle name="SAPBEXheaderItem 2 2 5 2" xfId="46674"/>
    <cellStyle name="SAPBEXheaderItem 2 2 6" xfId="46675"/>
    <cellStyle name="SAPBEXheaderItem 2 3" xfId="46676"/>
    <cellStyle name="SAPBEXheaderItem 2 3 2" xfId="46677"/>
    <cellStyle name="SAPBEXheaderItem 2 4" xfId="46678"/>
    <cellStyle name="SAPBEXheaderItem 2 4 2" xfId="46679"/>
    <cellStyle name="SAPBEXheaderItem 2 4 2 2" xfId="46680"/>
    <cellStyle name="SAPBEXheaderItem 2 4 3" xfId="46681"/>
    <cellStyle name="SAPBEXheaderItem 2 5" xfId="46682"/>
    <cellStyle name="SAPBEXheaderItem 2 5 2" xfId="46683"/>
    <cellStyle name="SAPBEXheaderItem 2 5 2 2" xfId="46684"/>
    <cellStyle name="SAPBEXheaderItem 2 5 3" xfId="46685"/>
    <cellStyle name="SAPBEXheaderItem 2 6" xfId="46686"/>
    <cellStyle name="SAPBEXheaderItem 3" xfId="46687"/>
    <cellStyle name="SAPBEXheaderItem 3 2" xfId="46688"/>
    <cellStyle name="SAPBEXheaderItem 3 2 2" xfId="46689"/>
    <cellStyle name="SAPBEXheaderItem 3 3" xfId="46690"/>
    <cellStyle name="SAPBEXheaderItem 3 3 2" xfId="46691"/>
    <cellStyle name="SAPBEXheaderItem 3 3 2 2" xfId="46692"/>
    <cellStyle name="SAPBEXheaderItem 3 3 3" xfId="46693"/>
    <cellStyle name="SAPBEXheaderItem 3 4" xfId="46694"/>
    <cellStyle name="SAPBEXheaderItem 3 4 2" xfId="46695"/>
    <cellStyle name="SAPBEXheaderItem 3 4 2 2" xfId="46696"/>
    <cellStyle name="SAPBEXheaderItem 3 4 3" xfId="46697"/>
    <cellStyle name="SAPBEXheaderItem 3 5" xfId="46698"/>
    <cellStyle name="SAPBEXheaderItem 4" xfId="46699"/>
    <cellStyle name="SAPBEXheaderItem 4 2" xfId="46700"/>
    <cellStyle name="SAPBEXheaderItem 4 2 2" xfId="46701"/>
    <cellStyle name="SAPBEXheaderItem 4 3" xfId="46702"/>
    <cellStyle name="SAPBEXheaderItem 4 3 2" xfId="46703"/>
    <cellStyle name="SAPBEXheaderItem 4 3 2 2" xfId="46704"/>
    <cellStyle name="SAPBEXheaderItem 4 3 3" xfId="46705"/>
    <cellStyle name="SAPBEXheaderItem 4 4" xfId="46706"/>
    <cellStyle name="SAPBEXheaderItem 4 4 2" xfId="46707"/>
    <cellStyle name="SAPBEXheaderItem 4 4 2 2" xfId="46708"/>
    <cellStyle name="SAPBEXheaderItem 4 4 3" xfId="46709"/>
    <cellStyle name="SAPBEXheaderItem 4 5" xfId="46710"/>
    <cellStyle name="SAPBEXheaderItem 5" xfId="46711"/>
    <cellStyle name="SAPBEXheaderItem 5 2" xfId="46712"/>
    <cellStyle name="SAPBEXheaderItem 5 2 2" xfId="46713"/>
    <cellStyle name="SAPBEXheaderItem 5 2 2 2" xfId="46714"/>
    <cellStyle name="SAPBEXheaderItem 5 2 3" xfId="46715"/>
    <cellStyle name="SAPBEXheaderItem 5 2 3 2" xfId="46716"/>
    <cellStyle name="SAPBEXheaderItem 5 2 3 2 2" xfId="46717"/>
    <cellStyle name="SAPBEXheaderItem 5 2 3 3" xfId="46718"/>
    <cellStyle name="SAPBEXheaderItem 5 2 4" xfId="46719"/>
    <cellStyle name="SAPBEXheaderItem 5 3" xfId="46720"/>
    <cellStyle name="SAPBEXheaderItem 5 3 2" xfId="46721"/>
    <cellStyle name="SAPBEXheaderItem 5 3 2 2" xfId="46722"/>
    <cellStyle name="SAPBEXheaderItem 5 3 3" xfId="46723"/>
    <cellStyle name="SAPBEXheaderItem 5 4" xfId="46724"/>
    <cellStyle name="SAPBEXheaderItem 5 4 2" xfId="46725"/>
    <cellStyle name="SAPBEXheaderItem 5 4 2 2" xfId="46726"/>
    <cellStyle name="SAPBEXheaderItem 5 4 3" xfId="46727"/>
    <cellStyle name="SAPBEXheaderItem 5 5" xfId="46728"/>
    <cellStyle name="SAPBEXheaderItem 5 5 2" xfId="46729"/>
    <cellStyle name="SAPBEXheaderItem 5 5 2 2" xfId="46730"/>
    <cellStyle name="SAPBEXheaderItem 5 5 3" xfId="46731"/>
    <cellStyle name="SAPBEXheaderItem 5 6" xfId="46732"/>
    <cellStyle name="SAPBEXheaderItem 6" xfId="46733"/>
    <cellStyle name="SAPBEXheaderItem 6 2" xfId="46734"/>
    <cellStyle name="SAPBEXheaderItem 6 2 2" xfId="46735"/>
    <cellStyle name="SAPBEXheaderItem 6 3" xfId="46736"/>
    <cellStyle name="SAPBEXheaderItem 7" xfId="46737"/>
    <cellStyle name="SAPBEXheaderItem 7 2" xfId="46738"/>
    <cellStyle name="SAPBEXheaderItem 7 2 2" xfId="46739"/>
    <cellStyle name="SAPBEXheaderItem 7 3" xfId="46740"/>
    <cellStyle name="SAPBEXheaderItem 8" xfId="46741"/>
    <cellStyle name="SAPBEXheaderItem 8 2" xfId="46742"/>
    <cellStyle name="SAPBEXheaderItem 8 2 2" xfId="46743"/>
    <cellStyle name="SAPBEXheaderItem 8 3" xfId="46744"/>
    <cellStyle name="SAPBEXheaderItem 9" xfId="46745"/>
    <cellStyle name="SAPBEXheaderItem 9 2" xfId="46746"/>
    <cellStyle name="SAPBEXheaderText" xfId="58"/>
    <cellStyle name="SAPBEXheaderText 10" xfId="46747"/>
    <cellStyle name="SAPBEXheaderText 10 2" xfId="46748"/>
    <cellStyle name="SAPBEXheaderText 11" xfId="46749"/>
    <cellStyle name="SAPBEXheaderText 11 2" xfId="46750"/>
    <cellStyle name="SAPBEXheaderText 12" xfId="46751"/>
    <cellStyle name="SAPBEXheaderText 12 2" xfId="46752"/>
    <cellStyle name="SAPBEXheaderText 13" xfId="46753"/>
    <cellStyle name="SAPBEXheaderText 13 2" xfId="46754"/>
    <cellStyle name="SAPBEXheaderText 14" xfId="46755"/>
    <cellStyle name="SAPBEXheaderText 2" xfId="46756"/>
    <cellStyle name="SAPBEXheaderText 2 2" xfId="46757"/>
    <cellStyle name="SAPBEXheaderText 2 2 2" xfId="46758"/>
    <cellStyle name="SAPBEXheaderText 2 2 2 2" xfId="46759"/>
    <cellStyle name="SAPBEXheaderText 2 2 2 2 2" xfId="46760"/>
    <cellStyle name="SAPBEXheaderText 2 2 2 2 2 2" xfId="46761"/>
    <cellStyle name="SAPBEXheaderText 2 2 2 2 3" xfId="46762"/>
    <cellStyle name="SAPBEXheaderText 2 2 2 3" xfId="46763"/>
    <cellStyle name="SAPBEXheaderText 2 2 2 3 2" xfId="46764"/>
    <cellStyle name="SAPBEXheaderText 2 2 2 4" xfId="46765"/>
    <cellStyle name="SAPBEXheaderText 2 2 3" xfId="46766"/>
    <cellStyle name="SAPBEXheaderText 2 2 3 2" xfId="46767"/>
    <cellStyle name="SAPBEXheaderText 2 2 3 2 2" xfId="46768"/>
    <cellStyle name="SAPBEXheaderText 2 2 3 3" xfId="46769"/>
    <cellStyle name="SAPBEXheaderText 2 2 4" xfId="46770"/>
    <cellStyle name="SAPBEXheaderText 2 2 4 2" xfId="46771"/>
    <cellStyle name="SAPBEXheaderText 2 2 4 2 2" xfId="46772"/>
    <cellStyle name="SAPBEXheaderText 2 2 4 3" xfId="46773"/>
    <cellStyle name="SAPBEXheaderText 2 2 5" xfId="46774"/>
    <cellStyle name="SAPBEXheaderText 2 2 5 2" xfId="46775"/>
    <cellStyle name="SAPBEXheaderText 2 2 6" xfId="46776"/>
    <cellStyle name="SAPBEXheaderText 2 3" xfId="46777"/>
    <cellStyle name="SAPBEXheaderText 2 3 2" xfId="46778"/>
    <cellStyle name="SAPBEXheaderText 2 4" xfId="46779"/>
    <cellStyle name="SAPBEXheaderText 2 4 2" xfId="46780"/>
    <cellStyle name="SAPBEXheaderText 2 4 2 2" xfId="46781"/>
    <cellStyle name="SAPBEXheaderText 2 4 3" xfId="46782"/>
    <cellStyle name="SAPBEXheaderText 2 5" xfId="46783"/>
    <cellStyle name="SAPBEXheaderText 2 5 2" xfId="46784"/>
    <cellStyle name="SAPBEXheaderText 2 5 2 2" xfId="46785"/>
    <cellStyle name="SAPBEXheaderText 2 5 3" xfId="46786"/>
    <cellStyle name="SAPBEXheaderText 2 6" xfId="46787"/>
    <cellStyle name="SAPBEXheaderText 3" xfId="46788"/>
    <cellStyle name="SAPBEXheaderText 3 2" xfId="46789"/>
    <cellStyle name="SAPBEXheaderText 3 2 2" xfId="46790"/>
    <cellStyle name="SAPBEXheaderText 3 3" xfId="46791"/>
    <cellStyle name="SAPBEXheaderText 3 3 2" xfId="46792"/>
    <cellStyle name="SAPBEXheaderText 3 3 2 2" xfId="46793"/>
    <cellStyle name="SAPBEXheaderText 3 3 3" xfId="46794"/>
    <cellStyle name="SAPBEXheaderText 3 4" xfId="46795"/>
    <cellStyle name="SAPBEXheaderText 3 4 2" xfId="46796"/>
    <cellStyle name="SAPBEXheaderText 3 4 2 2" xfId="46797"/>
    <cellStyle name="SAPBEXheaderText 3 4 3" xfId="46798"/>
    <cellStyle name="SAPBEXheaderText 3 5" xfId="46799"/>
    <cellStyle name="SAPBEXheaderText 4" xfId="46800"/>
    <cellStyle name="SAPBEXheaderText 4 2" xfId="46801"/>
    <cellStyle name="SAPBEXheaderText 4 2 2" xfId="46802"/>
    <cellStyle name="SAPBEXheaderText 4 3" xfId="46803"/>
    <cellStyle name="SAPBEXheaderText 4 3 2" xfId="46804"/>
    <cellStyle name="SAPBEXheaderText 4 3 2 2" xfId="46805"/>
    <cellStyle name="SAPBEXheaderText 4 3 3" xfId="46806"/>
    <cellStyle name="SAPBEXheaderText 4 4" xfId="46807"/>
    <cellStyle name="SAPBEXheaderText 4 4 2" xfId="46808"/>
    <cellStyle name="SAPBEXheaderText 4 4 2 2" xfId="46809"/>
    <cellStyle name="SAPBEXheaderText 4 4 3" xfId="46810"/>
    <cellStyle name="SAPBEXheaderText 4 5" xfId="46811"/>
    <cellStyle name="SAPBEXheaderText 5" xfId="46812"/>
    <cellStyle name="SAPBEXheaderText 5 2" xfId="46813"/>
    <cellStyle name="SAPBEXheaderText 5 2 2" xfId="46814"/>
    <cellStyle name="SAPBEXheaderText 5 2 2 2" xfId="46815"/>
    <cellStyle name="SAPBEXheaderText 5 2 3" xfId="46816"/>
    <cellStyle name="SAPBEXheaderText 5 2 3 2" xfId="46817"/>
    <cellStyle name="SAPBEXheaderText 5 2 3 2 2" xfId="46818"/>
    <cellStyle name="SAPBEXheaderText 5 2 3 3" xfId="46819"/>
    <cellStyle name="SAPBEXheaderText 5 2 4" xfId="46820"/>
    <cellStyle name="SAPBEXheaderText 5 3" xfId="46821"/>
    <cellStyle name="SAPBEXheaderText 5 3 2" xfId="46822"/>
    <cellStyle name="SAPBEXheaderText 5 3 2 2" xfId="46823"/>
    <cellStyle name="SAPBEXheaderText 5 3 3" xfId="46824"/>
    <cellStyle name="SAPBEXheaderText 5 4" xfId="46825"/>
    <cellStyle name="SAPBEXheaderText 5 4 2" xfId="46826"/>
    <cellStyle name="SAPBEXheaderText 5 4 2 2" xfId="46827"/>
    <cellStyle name="SAPBEXheaderText 5 4 3" xfId="46828"/>
    <cellStyle name="SAPBEXheaderText 5 5" xfId="46829"/>
    <cellStyle name="SAPBEXheaderText 5 5 2" xfId="46830"/>
    <cellStyle name="SAPBEXheaderText 5 5 2 2" xfId="46831"/>
    <cellStyle name="SAPBEXheaderText 5 5 3" xfId="46832"/>
    <cellStyle name="SAPBEXheaderText 5 6" xfId="46833"/>
    <cellStyle name="SAPBEXheaderText 6" xfId="46834"/>
    <cellStyle name="SAPBEXheaderText 6 2" xfId="46835"/>
    <cellStyle name="SAPBEXheaderText 6 2 2" xfId="46836"/>
    <cellStyle name="SAPBEXheaderText 6 3" xfId="46837"/>
    <cellStyle name="SAPBEXheaderText 7" xfId="46838"/>
    <cellStyle name="SAPBEXheaderText 7 2" xfId="46839"/>
    <cellStyle name="SAPBEXheaderText 7 2 2" xfId="46840"/>
    <cellStyle name="SAPBEXheaderText 7 3" xfId="46841"/>
    <cellStyle name="SAPBEXheaderText 8" xfId="46842"/>
    <cellStyle name="SAPBEXheaderText 8 2" xfId="46843"/>
    <cellStyle name="SAPBEXheaderText 8 2 2" xfId="46844"/>
    <cellStyle name="SAPBEXheaderText 8 3" xfId="46845"/>
    <cellStyle name="SAPBEXheaderText 9" xfId="46846"/>
    <cellStyle name="SAPBEXheaderText 9 2" xfId="46847"/>
    <cellStyle name="SAPBEXHLevel0" xfId="59"/>
    <cellStyle name="SAPBEXHLevel0 10" xfId="46848"/>
    <cellStyle name="SAPBEXHLevel0 10 2" xfId="46849"/>
    <cellStyle name="SAPBEXHLevel0 10 2 2" xfId="46850"/>
    <cellStyle name="SAPBEXHLevel0 10 3" xfId="46851"/>
    <cellStyle name="SAPBEXHLevel0 11" xfId="46852"/>
    <cellStyle name="SAPBEXHLevel0 11 2" xfId="46853"/>
    <cellStyle name="SAPBEXHLevel0 12" xfId="46854"/>
    <cellStyle name="SAPBEXHLevel0 12 2" xfId="46855"/>
    <cellStyle name="SAPBEXHLevel0 12 2 2" xfId="46856"/>
    <cellStyle name="SAPBEXHLevel0 12 3" xfId="46857"/>
    <cellStyle name="SAPBEXHLevel0 12 3 2" xfId="46858"/>
    <cellStyle name="SAPBEXHLevel0 12 4" xfId="46859"/>
    <cellStyle name="SAPBEXHLevel0 13" xfId="46860"/>
    <cellStyle name="SAPBEXHLevel0 13 2" xfId="46861"/>
    <cellStyle name="SAPBEXHLevel0 14" xfId="46862"/>
    <cellStyle name="SAPBEXHLevel0 14 2" xfId="46863"/>
    <cellStyle name="SAPBEXHLevel0 14 3" xfId="46864"/>
    <cellStyle name="SAPBEXHLevel0 15" xfId="46865"/>
    <cellStyle name="SAPBEXHLevel0 15 2" xfId="46866"/>
    <cellStyle name="SAPBEXHLevel0 16" xfId="46867"/>
    <cellStyle name="SAPBEXHLevel0 16 2" xfId="46868"/>
    <cellStyle name="SAPBEXHLevel0 17" xfId="46869"/>
    <cellStyle name="SAPBEXHLevel0 18" xfId="46870"/>
    <cellStyle name="SAPBEXHLevel0 2" xfId="83"/>
    <cellStyle name="SAPBEXHLevel0 2 10" xfId="46871"/>
    <cellStyle name="SAPBEXHLevel0 2 2" xfId="46872"/>
    <cellStyle name="SAPBEXHLevel0 2 2 2" xfId="46873"/>
    <cellStyle name="SAPBEXHLevel0 2 2 2 2" xfId="46874"/>
    <cellStyle name="SAPBEXHLevel0 2 2 2 2 2" xfId="46875"/>
    <cellStyle name="SAPBEXHLevel0 2 2 2 3" xfId="46876"/>
    <cellStyle name="SAPBEXHLevel0 2 2 3" xfId="46877"/>
    <cellStyle name="SAPBEXHLevel0 2 2 3 2" xfId="46878"/>
    <cellStyle name="SAPBEXHLevel0 2 2 3 2 2" xfId="46879"/>
    <cellStyle name="SAPBEXHLevel0 2 2 3 3" xfId="46880"/>
    <cellStyle name="SAPBEXHLevel0 2 2 4" xfId="46881"/>
    <cellStyle name="SAPBEXHLevel0 2 2 4 2" xfId="46882"/>
    <cellStyle name="SAPBEXHLevel0 2 2 4 2 2" xfId="46883"/>
    <cellStyle name="SAPBEXHLevel0 2 2 4 3" xfId="46884"/>
    <cellStyle name="SAPBEXHLevel0 2 2 5" xfId="46885"/>
    <cellStyle name="SAPBEXHLevel0 2 2 5 2" xfId="46886"/>
    <cellStyle name="SAPBEXHLevel0 2 2 6" xfId="46887"/>
    <cellStyle name="SAPBEXHLevel0 2 3" xfId="46888"/>
    <cellStyle name="SAPBEXHLevel0 2 3 2" xfId="46889"/>
    <cellStyle name="SAPBEXHLevel0 2 3 2 2" xfId="46890"/>
    <cellStyle name="SAPBEXHLevel0 2 3 2 2 2" xfId="46891"/>
    <cellStyle name="SAPBEXHLevel0 2 3 2 2 2 2" xfId="46892"/>
    <cellStyle name="SAPBEXHLevel0 2 3 2 2 3" xfId="46893"/>
    <cellStyle name="SAPBEXHLevel0 2 3 2 3" xfId="46894"/>
    <cellStyle name="SAPBEXHLevel0 2 3 2 3 2" xfId="46895"/>
    <cellStyle name="SAPBEXHLevel0 2 3 2 3 2 2" xfId="46896"/>
    <cellStyle name="SAPBEXHLevel0 2 3 2 3 3" xfId="46897"/>
    <cellStyle name="SAPBEXHLevel0 2 3 2 4" xfId="46898"/>
    <cellStyle name="SAPBEXHLevel0 2 3 2 4 2" xfId="46899"/>
    <cellStyle name="SAPBEXHLevel0 2 3 2 5" xfId="46900"/>
    <cellStyle name="SAPBEXHLevel0 2 3 3" xfId="46901"/>
    <cellStyle name="SAPBEXHLevel0 2 3 3 2" xfId="46902"/>
    <cellStyle name="SAPBEXHLevel0 2 3 3 2 2" xfId="46903"/>
    <cellStyle name="SAPBEXHLevel0 2 3 3 2 2 2" xfId="46904"/>
    <cellStyle name="SAPBEXHLevel0 2 3 3 2 3" xfId="46905"/>
    <cellStyle name="SAPBEXHLevel0 2 3 3 3" xfId="46906"/>
    <cellStyle name="SAPBEXHLevel0 2 3 3 3 2" xfId="46907"/>
    <cellStyle name="SAPBEXHLevel0 2 3 3 4" xfId="46908"/>
    <cellStyle name="SAPBEXHLevel0 2 3 4" xfId="46909"/>
    <cellStyle name="SAPBEXHLevel0 2 3 4 2" xfId="46910"/>
    <cellStyle name="SAPBEXHLevel0 2 3 4 2 2" xfId="46911"/>
    <cellStyle name="SAPBEXHLevel0 2 3 4 3" xfId="46912"/>
    <cellStyle name="SAPBEXHLevel0 2 3 5" xfId="46913"/>
    <cellStyle name="SAPBEXHLevel0 2 3 5 2" xfId="46914"/>
    <cellStyle name="SAPBEXHLevel0 2 3 5 2 2" xfId="46915"/>
    <cellStyle name="SAPBEXHLevel0 2 3 5 3" xfId="46916"/>
    <cellStyle name="SAPBEXHLevel0 2 3 6" xfId="46917"/>
    <cellStyle name="SAPBEXHLevel0 2 3 6 2" xfId="46918"/>
    <cellStyle name="SAPBEXHLevel0 2 3 7" xfId="46919"/>
    <cellStyle name="SAPBEXHLevel0 2 4" xfId="46920"/>
    <cellStyle name="SAPBEXHLevel0 2 4 2" xfId="46921"/>
    <cellStyle name="SAPBEXHLevel0 2 4 2 2" xfId="46922"/>
    <cellStyle name="SAPBEXHLevel0 2 4 2 2 2" xfId="46923"/>
    <cellStyle name="SAPBEXHLevel0 2 4 2 2 2 2" xfId="46924"/>
    <cellStyle name="SAPBEXHLevel0 2 4 2 2 2 2 2" xfId="46925"/>
    <cellStyle name="SAPBEXHLevel0 2 4 2 2 2 2 2 2" xfId="46926"/>
    <cellStyle name="SAPBEXHLevel0 2 4 2 2 2 2 3" xfId="46927"/>
    <cellStyle name="SAPBEXHLevel0 2 4 2 2 2 3" xfId="46928"/>
    <cellStyle name="SAPBEXHLevel0 2 4 2 2 2 3 2" xfId="46929"/>
    <cellStyle name="SAPBEXHLevel0 2 4 2 2 2 4" xfId="46930"/>
    <cellStyle name="SAPBEXHLevel0 2 4 2 2 3" xfId="46931"/>
    <cellStyle name="SAPBEXHLevel0 2 4 2 2 3 2" xfId="46932"/>
    <cellStyle name="SAPBEXHLevel0 2 4 2 2 3 2 2" xfId="46933"/>
    <cellStyle name="SAPBEXHLevel0 2 4 2 2 3 3" xfId="46934"/>
    <cellStyle name="SAPBEXHLevel0 2 4 2 2 4" xfId="46935"/>
    <cellStyle name="SAPBEXHLevel0 2 4 2 2 4 2" xfId="46936"/>
    <cellStyle name="SAPBEXHLevel0 2 4 2 2 5" xfId="46937"/>
    <cellStyle name="SAPBEXHLevel0 2 4 2 3" xfId="46938"/>
    <cellStyle name="SAPBEXHLevel0 2 4 2 3 2" xfId="46939"/>
    <cellStyle name="SAPBEXHLevel0 2 4 2 3 2 2" xfId="46940"/>
    <cellStyle name="SAPBEXHLevel0 2 4 2 3 3" xfId="46941"/>
    <cellStyle name="SAPBEXHLevel0 2 4 2 4" xfId="46942"/>
    <cellStyle name="SAPBEXHLevel0 2 4 2 4 2" xfId="46943"/>
    <cellStyle name="SAPBEXHLevel0 2 4 2 4 2 2" xfId="46944"/>
    <cellStyle name="SAPBEXHLevel0 2 4 2 4 2 2 2" xfId="46945"/>
    <cellStyle name="SAPBEXHLevel0 2 4 2 4 2 3" xfId="46946"/>
    <cellStyle name="SAPBEXHLevel0 2 4 2 4 3" xfId="46947"/>
    <cellStyle name="SAPBEXHLevel0 2 4 2 4 3 2" xfId="46948"/>
    <cellStyle name="SAPBEXHLevel0 2 4 2 4 4" xfId="46949"/>
    <cellStyle name="SAPBEXHLevel0 2 4 2 5" xfId="46950"/>
    <cellStyle name="SAPBEXHLevel0 2 4 2 5 2" xfId="46951"/>
    <cellStyle name="SAPBEXHLevel0 2 4 2 5 2 2" xfId="46952"/>
    <cellStyle name="SAPBEXHLevel0 2 4 2 5 3" xfId="46953"/>
    <cellStyle name="SAPBEXHLevel0 2 4 2 6" xfId="46954"/>
    <cellStyle name="SAPBEXHLevel0 2 4 2 6 2" xfId="46955"/>
    <cellStyle name="SAPBEXHLevel0 2 4 2 7" xfId="46956"/>
    <cellStyle name="SAPBEXHLevel0 2 4 3" xfId="46957"/>
    <cellStyle name="SAPBEXHLevel0 2 4 3 2" xfId="46958"/>
    <cellStyle name="SAPBEXHLevel0 2 4 3 2 2" xfId="46959"/>
    <cellStyle name="SAPBEXHLevel0 2 4 3 2 2 2" xfId="46960"/>
    <cellStyle name="SAPBEXHLevel0 2 4 3 2 2 2 2" xfId="46961"/>
    <cellStyle name="SAPBEXHLevel0 2 4 3 2 2 2 2 2" xfId="46962"/>
    <cellStyle name="SAPBEXHLevel0 2 4 3 2 2 2 3" xfId="46963"/>
    <cellStyle name="SAPBEXHLevel0 2 4 3 2 2 3" xfId="46964"/>
    <cellStyle name="SAPBEXHLevel0 2 4 3 2 2 3 2" xfId="46965"/>
    <cellStyle name="SAPBEXHLevel0 2 4 3 2 2 4" xfId="46966"/>
    <cellStyle name="SAPBEXHLevel0 2 4 3 2 3" xfId="46967"/>
    <cellStyle name="SAPBEXHLevel0 2 4 3 2 3 2" xfId="46968"/>
    <cellStyle name="SAPBEXHLevel0 2 4 3 2 3 2 2" xfId="46969"/>
    <cellStyle name="SAPBEXHLevel0 2 4 3 2 3 3" xfId="46970"/>
    <cellStyle name="SAPBEXHLevel0 2 4 3 2 4" xfId="46971"/>
    <cellStyle name="SAPBEXHLevel0 2 4 3 2 4 2" xfId="46972"/>
    <cellStyle name="SAPBEXHLevel0 2 4 3 2 5" xfId="46973"/>
    <cellStyle name="SAPBEXHLevel0 2 4 3 3" xfId="46974"/>
    <cellStyle name="SAPBEXHLevel0 2 4 3 3 2" xfId="46975"/>
    <cellStyle name="SAPBEXHLevel0 2 4 3 3 2 2" xfId="46976"/>
    <cellStyle name="SAPBEXHLevel0 2 4 3 3 2 2 2" xfId="46977"/>
    <cellStyle name="SAPBEXHLevel0 2 4 3 3 2 3" xfId="46978"/>
    <cellStyle name="SAPBEXHLevel0 2 4 3 3 3" xfId="46979"/>
    <cellStyle name="SAPBEXHLevel0 2 4 3 3 3 2" xfId="46980"/>
    <cellStyle name="SAPBEXHLevel0 2 4 3 3 4" xfId="46981"/>
    <cellStyle name="SAPBEXHLevel0 2 4 3 4" xfId="46982"/>
    <cellStyle name="SAPBEXHLevel0 2 4 3 4 2" xfId="46983"/>
    <cellStyle name="SAPBEXHLevel0 2 4 3 4 2 2" xfId="46984"/>
    <cellStyle name="SAPBEXHLevel0 2 4 3 4 3" xfId="46985"/>
    <cellStyle name="SAPBEXHLevel0 2 4 3 5" xfId="46986"/>
    <cellStyle name="SAPBEXHLevel0 2 4 3 5 2" xfId="46987"/>
    <cellStyle name="SAPBEXHLevel0 2 4 3 6" xfId="46988"/>
    <cellStyle name="SAPBEXHLevel0 2 4 4" xfId="46989"/>
    <cellStyle name="SAPBEXHLevel0 2 4 4 2" xfId="46990"/>
    <cellStyle name="SAPBEXHLevel0 2 4 4 2 2" xfId="46991"/>
    <cellStyle name="SAPBEXHLevel0 2 4 4 3" xfId="46992"/>
    <cellStyle name="SAPBEXHLevel0 2 4 5" xfId="46993"/>
    <cellStyle name="SAPBEXHLevel0 2 4 5 2" xfId="46994"/>
    <cellStyle name="SAPBEXHLevel0 2 4 5 2 2" xfId="46995"/>
    <cellStyle name="SAPBEXHLevel0 2 4 5 2 2 2" xfId="46996"/>
    <cellStyle name="SAPBEXHLevel0 2 4 5 2 3" xfId="46997"/>
    <cellStyle name="SAPBEXHLevel0 2 4 5 3" xfId="46998"/>
    <cellStyle name="SAPBEXHLevel0 2 4 5 3 2" xfId="46999"/>
    <cellStyle name="SAPBEXHLevel0 2 4 5 4" xfId="47000"/>
    <cellStyle name="SAPBEXHLevel0 2 4 6" xfId="47001"/>
    <cellStyle name="SAPBEXHLevel0 2 4 6 2" xfId="47002"/>
    <cellStyle name="SAPBEXHLevel0 2 4 6 2 2" xfId="47003"/>
    <cellStyle name="SAPBEXHLevel0 2 4 6 3" xfId="47004"/>
    <cellStyle name="SAPBEXHLevel0 2 4 7" xfId="47005"/>
    <cellStyle name="SAPBEXHLevel0 2 4 7 2" xfId="47006"/>
    <cellStyle name="SAPBEXHLevel0 2 4 8" xfId="47007"/>
    <cellStyle name="SAPBEXHLevel0 2 5" xfId="47008"/>
    <cellStyle name="SAPBEXHLevel0 2 5 2" xfId="47009"/>
    <cellStyle name="SAPBEXHLevel0 2 5 2 2" xfId="47010"/>
    <cellStyle name="SAPBEXHLevel0 2 5 2 2 2" xfId="47011"/>
    <cellStyle name="SAPBEXHLevel0 2 5 2 3" xfId="47012"/>
    <cellStyle name="SAPBEXHLevel0 2 5 3" xfId="47013"/>
    <cellStyle name="SAPBEXHLevel0 2 5 3 2" xfId="47014"/>
    <cellStyle name="SAPBEXHLevel0 2 5 4" xfId="47015"/>
    <cellStyle name="SAPBEXHLevel0 2 6" xfId="47016"/>
    <cellStyle name="SAPBEXHLevel0 2 6 2" xfId="47017"/>
    <cellStyle name="SAPBEXHLevel0 2 6 2 2" xfId="47018"/>
    <cellStyle name="SAPBEXHLevel0 2 6 3" xfId="47019"/>
    <cellStyle name="SAPBEXHLevel0 2 7" xfId="47020"/>
    <cellStyle name="SAPBEXHLevel0 2 7 2" xfId="47021"/>
    <cellStyle name="SAPBEXHLevel0 2 7 2 2" xfId="47022"/>
    <cellStyle name="SAPBEXHLevel0 2 7 3" xfId="47023"/>
    <cellStyle name="SAPBEXHLevel0 2 8" xfId="47024"/>
    <cellStyle name="SAPBEXHLevel0 2 8 2" xfId="47025"/>
    <cellStyle name="SAPBEXHLevel0 2 8 2 2" xfId="47026"/>
    <cellStyle name="SAPBEXHLevel0 2 8 2 2 2" xfId="47027"/>
    <cellStyle name="SAPBEXHLevel0 2 8 2 2 2 2" xfId="47028"/>
    <cellStyle name="SAPBEXHLevel0 2 8 2 2 3" xfId="47029"/>
    <cellStyle name="SAPBEXHLevel0 2 8 2 3" xfId="47030"/>
    <cellStyle name="SAPBEXHLevel0 2 8 2 3 2" xfId="47031"/>
    <cellStyle name="SAPBEXHLevel0 2 8 2 4" xfId="47032"/>
    <cellStyle name="SAPBEXHLevel0 2 8 3" xfId="47033"/>
    <cellStyle name="SAPBEXHLevel0 2 8 3 2" xfId="47034"/>
    <cellStyle name="SAPBEXHLevel0 2 8 3 2 2" xfId="47035"/>
    <cellStyle name="SAPBEXHLevel0 2 8 3 3" xfId="47036"/>
    <cellStyle name="SAPBEXHLevel0 2 8 4" xfId="47037"/>
    <cellStyle name="SAPBEXHLevel0 2 8 4 2" xfId="47038"/>
    <cellStyle name="SAPBEXHLevel0 2 8 5" xfId="47039"/>
    <cellStyle name="SAPBEXHLevel0 2 9" xfId="47040"/>
    <cellStyle name="SAPBEXHLevel0 2 9 2" xfId="47041"/>
    <cellStyle name="SAPBEXHLevel0 3" xfId="47042"/>
    <cellStyle name="SAPBEXHLevel0 3 2" xfId="47043"/>
    <cellStyle name="SAPBEXHLevel0 3 2 2" xfId="47044"/>
    <cellStyle name="SAPBEXHLevel0 3 2 2 2" xfId="47045"/>
    <cellStyle name="SAPBEXHLevel0 3 2 2 2 2" xfId="47046"/>
    <cellStyle name="SAPBEXHLevel0 3 2 2 3" xfId="47047"/>
    <cellStyle name="SAPBEXHLevel0 3 2 3" xfId="47048"/>
    <cellStyle name="SAPBEXHLevel0 3 2 3 2" xfId="47049"/>
    <cellStyle name="SAPBEXHLevel0 3 2 3 2 2" xfId="47050"/>
    <cellStyle name="SAPBEXHLevel0 3 2 3 3" xfId="47051"/>
    <cellStyle name="SAPBEXHLevel0 3 2 4" xfId="47052"/>
    <cellStyle name="SAPBEXHLevel0 3 2 4 2" xfId="47053"/>
    <cellStyle name="SAPBEXHLevel0 3 2 4 2 2" xfId="47054"/>
    <cellStyle name="SAPBEXHLevel0 3 2 4 3" xfId="47055"/>
    <cellStyle name="SAPBEXHLevel0 3 2 5" xfId="47056"/>
    <cellStyle name="SAPBEXHLevel0 3 2 5 2" xfId="47057"/>
    <cellStyle name="SAPBEXHLevel0 3 2 6" xfId="47058"/>
    <cellStyle name="SAPBEXHLevel0 3 3" xfId="47059"/>
    <cellStyle name="SAPBEXHLevel0 3 3 2" xfId="47060"/>
    <cellStyle name="SAPBEXHLevel0 3 3 2 2" xfId="47061"/>
    <cellStyle name="SAPBEXHLevel0 3 3 2 2 2" xfId="47062"/>
    <cellStyle name="SAPBEXHLevel0 3 3 2 3" xfId="47063"/>
    <cellStyle name="SAPBEXHLevel0 3 3 3" xfId="47064"/>
    <cellStyle name="SAPBEXHLevel0 3 3 3 2" xfId="47065"/>
    <cellStyle name="SAPBEXHLevel0 3 3 4" xfId="47066"/>
    <cellStyle name="SAPBEXHLevel0 3 4" xfId="47067"/>
    <cellStyle name="SAPBEXHLevel0 3 4 2" xfId="47068"/>
    <cellStyle name="SAPBEXHLevel0 3 4 2 2" xfId="47069"/>
    <cellStyle name="SAPBEXHLevel0 3 4 3" xfId="47070"/>
    <cellStyle name="SAPBEXHLevel0 3 5" xfId="47071"/>
    <cellStyle name="SAPBEXHLevel0 3 5 2" xfId="47072"/>
    <cellStyle name="SAPBEXHLevel0 3 5 2 2" xfId="47073"/>
    <cellStyle name="SAPBEXHLevel0 3 5 3" xfId="47074"/>
    <cellStyle name="SAPBEXHLevel0 3 6" xfId="47075"/>
    <cellStyle name="SAPBEXHLevel0 3 6 2" xfId="47076"/>
    <cellStyle name="SAPBEXHLevel0 3 6 2 2" xfId="47077"/>
    <cellStyle name="SAPBEXHLevel0 3 6 2 2 2" xfId="47078"/>
    <cellStyle name="SAPBEXHLevel0 3 6 2 2 2 2" xfId="47079"/>
    <cellStyle name="SAPBEXHLevel0 3 6 2 2 3" xfId="47080"/>
    <cellStyle name="SAPBEXHLevel0 3 6 2 3" xfId="47081"/>
    <cellStyle name="SAPBEXHLevel0 3 6 2 3 2" xfId="47082"/>
    <cellStyle name="SAPBEXHLevel0 3 6 2 4" xfId="47083"/>
    <cellStyle name="SAPBEXHLevel0 3 6 3" xfId="47084"/>
    <cellStyle name="SAPBEXHLevel0 3 6 3 2" xfId="47085"/>
    <cellStyle name="SAPBEXHLevel0 3 6 3 2 2" xfId="47086"/>
    <cellStyle name="SAPBEXHLevel0 3 6 3 3" xfId="47087"/>
    <cellStyle name="SAPBEXHLevel0 3 6 4" xfId="47088"/>
    <cellStyle name="SAPBEXHLevel0 3 6 4 2" xfId="47089"/>
    <cellStyle name="SAPBEXHLevel0 3 6 5" xfId="47090"/>
    <cellStyle name="SAPBEXHLevel0 3 7" xfId="47091"/>
    <cellStyle name="SAPBEXHLevel0 3 7 2" xfId="47092"/>
    <cellStyle name="SAPBEXHLevel0 3 8" xfId="47093"/>
    <cellStyle name="SAPBEXHLevel0 4" xfId="47094"/>
    <cellStyle name="SAPBEXHLevel0 4 2" xfId="47095"/>
    <cellStyle name="SAPBEXHLevel0 4 2 2" xfId="47096"/>
    <cellStyle name="SAPBEXHLevel0 4 2 2 2" xfId="47097"/>
    <cellStyle name="SAPBEXHLevel0 4 2 2 2 2" xfId="47098"/>
    <cellStyle name="SAPBEXHLevel0 4 2 2 3" xfId="47099"/>
    <cellStyle name="SAPBEXHLevel0 4 2 3" xfId="47100"/>
    <cellStyle name="SAPBEXHLevel0 4 2 3 2" xfId="47101"/>
    <cellStyle name="SAPBEXHLevel0 4 2 3 2 2" xfId="47102"/>
    <cellStyle name="SAPBEXHLevel0 4 2 3 3" xfId="47103"/>
    <cellStyle name="SAPBEXHLevel0 4 2 4" xfId="47104"/>
    <cellStyle name="SAPBEXHLevel0 4 2 4 2" xfId="47105"/>
    <cellStyle name="SAPBEXHLevel0 4 2 4 2 2" xfId="47106"/>
    <cellStyle name="SAPBEXHLevel0 4 2 4 3" xfId="47107"/>
    <cellStyle name="SAPBEXHLevel0 4 2 5" xfId="47108"/>
    <cellStyle name="SAPBEXHLevel0 4 2 5 2" xfId="47109"/>
    <cellStyle name="SAPBEXHLevel0 4 2 6" xfId="47110"/>
    <cellStyle name="SAPBEXHLevel0 4 3" xfId="47111"/>
    <cellStyle name="SAPBEXHLevel0 4 3 2" xfId="47112"/>
    <cellStyle name="SAPBEXHLevel0 4 3 2 2" xfId="47113"/>
    <cellStyle name="SAPBEXHLevel0 4 3 2 2 2" xfId="47114"/>
    <cellStyle name="SAPBEXHLevel0 4 3 2 2 2 2" xfId="47115"/>
    <cellStyle name="SAPBEXHLevel0 4 3 2 2 3" xfId="47116"/>
    <cellStyle name="SAPBEXHLevel0 4 3 2 3" xfId="47117"/>
    <cellStyle name="SAPBEXHLevel0 4 3 2 3 2" xfId="47118"/>
    <cellStyle name="SAPBEXHLevel0 4 3 2 3 2 2" xfId="47119"/>
    <cellStyle name="SAPBEXHLevel0 4 3 2 3 3" xfId="47120"/>
    <cellStyle name="SAPBEXHLevel0 4 3 2 4" xfId="47121"/>
    <cellStyle name="SAPBEXHLevel0 4 3 2 4 2" xfId="47122"/>
    <cellStyle name="SAPBEXHLevel0 4 3 2 5" xfId="47123"/>
    <cellStyle name="SAPBEXHLevel0 4 3 3" xfId="47124"/>
    <cellStyle name="SAPBEXHLevel0 4 3 3 2" xfId="47125"/>
    <cellStyle name="SAPBEXHLevel0 4 3 3 2 2" xfId="47126"/>
    <cellStyle name="SAPBEXHLevel0 4 3 3 2 2 2" xfId="47127"/>
    <cellStyle name="SAPBEXHLevel0 4 3 3 2 3" xfId="47128"/>
    <cellStyle name="SAPBEXHLevel0 4 3 3 3" xfId="47129"/>
    <cellStyle name="SAPBEXHLevel0 4 3 3 3 2" xfId="47130"/>
    <cellStyle name="SAPBEXHLevel0 4 3 3 4" xfId="47131"/>
    <cellStyle name="SAPBEXHLevel0 4 3 4" xfId="47132"/>
    <cellStyle name="SAPBEXHLevel0 4 3 4 2" xfId="47133"/>
    <cellStyle name="SAPBEXHLevel0 4 3 4 2 2" xfId="47134"/>
    <cellStyle name="SAPBEXHLevel0 4 3 4 3" xfId="47135"/>
    <cellStyle name="SAPBEXHLevel0 4 3 5" xfId="47136"/>
    <cellStyle name="SAPBEXHLevel0 4 3 5 2" xfId="47137"/>
    <cellStyle name="SAPBEXHLevel0 4 3 5 2 2" xfId="47138"/>
    <cellStyle name="SAPBEXHLevel0 4 3 5 3" xfId="47139"/>
    <cellStyle name="SAPBEXHLevel0 4 3 6" xfId="47140"/>
    <cellStyle name="SAPBEXHLevel0 4 3 6 2" xfId="47141"/>
    <cellStyle name="SAPBEXHLevel0 4 3 7" xfId="47142"/>
    <cellStyle name="SAPBEXHLevel0 4 4" xfId="47143"/>
    <cellStyle name="SAPBEXHLevel0 4 4 2" xfId="47144"/>
    <cellStyle name="SAPBEXHLevel0 4 4 2 2" xfId="47145"/>
    <cellStyle name="SAPBEXHLevel0 4 4 2 2 2" xfId="47146"/>
    <cellStyle name="SAPBEXHLevel0 4 4 2 3" xfId="47147"/>
    <cellStyle name="SAPBEXHLevel0 4 4 3" xfId="47148"/>
    <cellStyle name="SAPBEXHLevel0 4 4 3 2" xfId="47149"/>
    <cellStyle name="SAPBEXHLevel0 4 4 4" xfId="47150"/>
    <cellStyle name="SAPBEXHLevel0 4 5" xfId="47151"/>
    <cellStyle name="SAPBEXHLevel0 4 5 2" xfId="47152"/>
    <cellStyle name="SAPBEXHLevel0 4 5 2 2" xfId="47153"/>
    <cellStyle name="SAPBEXHLevel0 4 5 3" xfId="47154"/>
    <cellStyle name="SAPBEXHLevel0 4 6" xfId="47155"/>
    <cellStyle name="SAPBEXHLevel0 4 6 2" xfId="47156"/>
    <cellStyle name="SAPBEXHLevel0 4 6 2 2" xfId="47157"/>
    <cellStyle name="SAPBEXHLevel0 4 6 3" xfId="47158"/>
    <cellStyle name="SAPBEXHLevel0 4 7" xfId="47159"/>
    <cellStyle name="SAPBEXHLevel0 4 7 2" xfId="47160"/>
    <cellStyle name="SAPBEXHLevel0 4 8" xfId="47161"/>
    <cellStyle name="SAPBEXHLevel0 5" xfId="47162"/>
    <cellStyle name="SAPBEXHLevel0 5 2" xfId="47163"/>
    <cellStyle name="SAPBEXHLevel0 5 2 2" xfId="47164"/>
    <cellStyle name="SAPBEXHLevel0 5 2 2 2" xfId="47165"/>
    <cellStyle name="SAPBEXHLevel0 5 2 3" xfId="47166"/>
    <cellStyle name="SAPBEXHLevel0 5 3" xfId="47167"/>
    <cellStyle name="SAPBEXHLevel0 5 3 2" xfId="47168"/>
    <cellStyle name="SAPBEXHLevel0 5 3 2 2" xfId="47169"/>
    <cellStyle name="SAPBEXHLevel0 5 3 3" xfId="47170"/>
    <cellStyle name="SAPBEXHLevel0 5 4" xfId="47171"/>
    <cellStyle name="SAPBEXHLevel0 5 4 2" xfId="47172"/>
    <cellStyle name="SAPBEXHLevel0 5 4 2 2" xfId="47173"/>
    <cellStyle name="SAPBEXHLevel0 5 4 3" xfId="47174"/>
    <cellStyle name="SAPBEXHLevel0 5 5" xfId="47175"/>
    <cellStyle name="SAPBEXHLevel0 5 5 2" xfId="47176"/>
    <cellStyle name="SAPBEXHLevel0 5 6" xfId="47177"/>
    <cellStyle name="SAPBEXHLevel0 6" xfId="47178"/>
    <cellStyle name="SAPBEXHLevel0 6 2" xfId="47179"/>
    <cellStyle name="SAPBEXHLevel0 6 2 2" xfId="47180"/>
    <cellStyle name="SAPBEXHLevel0 6 3" xfId="47181"/>
    <cellStyle name="SAPBEXHLevel0 6 3 2" xfId="47182"/>
    <cellStyle name="SAPBEXHLevel0 6 3 2 2" xfId="47183"/>
    <cellStyle name="SAPBEXHLevel0 6 3 3" xfId="47184"/>
    <cellStyle name="SAPBEXHLevel0 6 4" xfId="47185"/>
    <cellStyle name="SAPBEXHLevel0 6 4 2" xfId="47186"/>
    <cellStyle name="SAPBEXHLevel0 6 4 2 2" xfId="47187"/>
    <cellStyle name="SAPBEXHLevel0 6 4 3" xfId="47188"/>
    <cellStyle name="SAPBEXHLevel0 6 5" xfId="47189"/>
    <cellStyle name="SAPBEXHLevel0 7" xfId="47190"/>
    <cellStyle name="SAPBEXHLevel0 7 2" xfId="47191"/>
    <cellStyle name="SAPBEXHLevel0 7 2 2" xfId="47192"/>
    <cellStyle name="SAPBEXHLevel0 7 2 2 2" xfId="47193"/>
    <cellStyle name="SAPBEXHLevel0 7 2 3" xfId="47194"/>
    <cellStyle name="SAPBEXHLevel0 7 2 3 2" xfId="47195"/>
    <cellStyle name="SAPBEXHLevel0 7 2 3 2 2" xfId="47196"/>
    <cellStyle name="SAPBEXHLevel0 7 2 3 3" xfId="47197"/>
    <cellStyle name="SAPBEXHLevel0 7 2 4" xfId="47198"/>
    <cellStyle name="SAPBEXHLevel0 7 3" xfId="47199"/>
    <cellStyle name="SAPBEXHLevel0 7 3 2" xfId="47200"/>
    <cellStyle name="SAPBEXHLevel0 7 3 2 2" xfId="47201"/>
    <cellStyle name="SAPBEXHLevel0 7 3 3" xfId="47202"/>
    <cellStyle name="SAPBEXHLevel0 7 4" xfId="47203"/>
    <cellStyle name="SAPBEXHLevel0 7 4 2" xfId="47204"/>
    <cellStyle name="SAPBEXHLevel0 7 4 2 2" xfId="47205"/>
    <cellStyle name="SAPBEXHLevel0 7 4 3" xfId="47206"/>
    <cellStyle name="SAPBEXHLevel0 7 5" xfId="47207"/>
    <cellStyle name="SAPBEXHLevel0 7 5 2" xfId="47208"/>
    <cellStyle name="SAPBEXHLevel0 7 5 2 2" xfId="47209"/>
    <cellStyle name="SAPBEXHLevel0 7 5 3" xfId="47210"/>
    <cellStyle name="SAPBEXHLevel0 7 6" xfId="47211"/>
    <cellStyle name="SAPBEXHLevel0 8" xfId="47212"/>
    <cellStyle name="SAPBEXHLevel0 8 2" xfId="47213"/>
    <cellStyle name="SAPBEXHLevel0 8 2 2" xfId="47214"/>
    <cellStyle name="SAPBEXHLevel0 8 3" xfId="47215"/>
    <cellStyle name="SAPBEXHLevel0 9" xfId="47216"/>
    <cellStyle name="SAPBEXHLevel0 9 2" xfId="47217"/>
    <cellStyle name="SAPBEXHLevel0 9 2 2" xfId="47218"/>
    <cellStyle name="SAPBEXHLevel0 9 3" xfId="47219"/>
    <cellStyle name="SAPBEXHLevel0X" xfId="60"/>
    <cellStyle name="SAPBEXHLevel0X 10" xfId="47220"/>
    <cellStyle name="SAPBEXHLevel0X 10 2" xfId="47221"/>
    <cellStyle name="SAPBEXHLevel0X 10 2 2" xfId="47222"/>
    <cellStyle name="SAPBEXHLevel0X 10 2 2 2" xfId="47223"/>
    <cellStyle name="SAPBEXHLevel0X 10 2 3" xfId="47224"/>
    <cellStyle name="SAPBEXHLevel0X 10 3" xfId="47225"/>
    <cellStyle name="SAPBEXHLevel0X 10 3 2" xfId="47226"/>
    <cellStyle name="SAPBEXHLevel0X 10 4" xfId="47227"/>
    <cellStyle name="SAPBEXHLevel0X 11" xfId="47228"/>
    <cellStyle name="SAPBEXHLevel0X 11 2" xfId="47229"/>
    <cellStyle name="SAPBEXHLevel0X 11 2 2" xfId="47230"/>
    <cellStyle name="SAPBEXHLevel0X 11 3" xfId="47231"/>
    <cellStyle name="SAPBEXHLevel0X 12" xfId="47232"/>
    <cellStyle name="SAPBEXHLevel0X 12 2" xfId="47233"/>
    <cellStyle name="SAPBEXHLevel0X 12 2 2" xfId="47234"/>
    <cellStyle name="SAPBEXHLevel0X 12 3" xfId="47235"/>
    <cellStyle name="SAPBEXHLevel0X 13" xfId="47236"/>
    <cellStyle name="SAPBEXHLevel0X 13 2" xfId="47237"/>
    <cellStyle name="SAPBEXHLevel0X 13 2 2" xfId="47238"/>
    <cellStyle name="SAPBEXHLevel0X 13 3" xfId="47239"/>
    <cellStyle name="SAPBEXHLevel0X 14" xfId="47240"/>
    <cellStyle name="SAPBEXHLevel0X 14 2" xfId="47241"/>
    <cellStyle name="SAPBEXHLevel0X 14 2 2" xfId="47242"/>
    <cellStyle name="SAPBEXHLevel0X 14 3" xfId="47243"/>
    <cellStyle name="SAPBEXHLevel0X 15" xfId="47244"/>
    <cellStyle name="SAPBEXHLevel0X 15 2" xfId="47245"/>
    <cellStyle name="SAPBEXHLevel0X 15 2 2" xfId="47246"/>
    <cellStyle name="SAPBEXHLevel0X 15 2 2 2" xfId="47247"/>
    <cellStyle name="SAPBEXHLevel0X 15 2 3" xfId="47248"/>
    <cellStyle name="SAPBEXHLevel0X 15 3" xfId="47249"/>
    <cellStyle name="SAPBEXHLevel0X 15 3 2" xfId="47250"/>
    <cellStyle name="SAPBEXHLevel0X 15 4" xfId="47251"/>
    <cellStyle name="SAPBEXHLevel0X 16" xfId="47252"/>
    <cellStyle name="SAPBEXHLevel0X 16 2" xfId="47253"/>
    <cellStyle name="SAPBEXHLevel0X 16 3" xfId="47254"/>
    <cellStyle name="SAPBEXHLevel0X 17" xfId="47255"/>
    <cellStyle name="SAPBEXHLevel0X 17 2" xfId="47256"/>
    <cellStyle name="SAPBEXHLevel0X 17 3" xfId="47257"/>
    <cellStyle name="SAPBEXHLevel0X 18" xfId="47258"/>
    <cellStyle name="SAPBEXHLevel0X 18 2" xfId="47259"/>
    <cellStyle name="SAPBEXHLevel0X 19" xfId="47260"/>
    <cellStyle name="SAPBEXHLevel0X 2" xfId="84"/>
    <cellStyle name="SAPBEXHLevel0X 2 2" xfId="47261"/>
    <cellStyle name="SAPBEXHLevel0X 2 2 2" xfId="47262"/>
    <cellStyle name="SAPBEXHLevel0X 2 2 2 2" xfId="47263"/>
    <cellStyle name="SAPBEXHLevel0X 2 2 2 2 2" xfId="47264"/>
    <cellStyle name="SAPBEXHLevel0X 2 2 2 3" xfId="47265"/>
    <cellStyle name="SAPBEXHLevel0X 2 2 3" xfId="47266"/>
    <cellStyle name="SAPBEXHLevel0X 2 2 3 2" xfId="47267"/>
    <cellStyle name="SAPBEXHLevel0X 2 2 3 2 2" xfId="47268"/>
    <cellStyle name="SAPBEXHLevel0X 2 2 3 3" xfId="47269"/>
    <cellStyle name="SAPBEXHLevel0X 2 2 4" xfId="47270"/>
    <cellStyle name="SAPBEXHLevel0X 2 2 4 2" xfId="47271"/>
    <cellStyle name="SAPBEXHLevel0X 2 2 4 2 2" xfId="47272"/>
    <cellStyle name="SAPBEXHLevel0X 2 2 4 3" xfId="47273"/>
    <cellStyle name="SAPBEXHLevel0X 2 2 5" xfId="47274"/>
    <cellStyle name="SAPBEXHLevel0X 2 2 5 2" xfId="47275"/>
    <cellStyle name="SAPBEXHLevel0X 2 2 6" xfId="47276"/>
    <cellStyle name="SAPBEXHLevel0X 2 3" xfId="47277"/>
    <cellStyle name="SAPBEXHLevel0X 2 3 2" xfId="47278"/>
    <cellStyle name="SAPBEXHLevel0X 2 3 2 2" xfId="47279"/>
    <cellStyle name="SAPBEXHLevel0X 2 3 2 2 2" xfId="47280"/>
    <cellStyle name="SAPBEXHLevel0X 2 3 2 2 2 2" xfId="47281"/>
    <cellStyle name="SAPBEXHLevel0X 2 3 2 2 3" xfId="47282"/>
    <cellStyle name="SAPBEXHLevel0X 2 3 2 3" xfId="47283"/>
    <cellStyle name="SAPBEXHLevel0X 2 3 2 3 2" xfId="47284"/>
    <cellStyle name="SAPBEXHLevel0X 2 3 2 3 2 2" xfId="47285"/>
    <cellStyle name="SAPBEXHLevel0X 2 3 2 3 3" xfId="47286"/>
    <cellStyle name="SAPBEXHLevel0X 2 3 2 4" xfId="47287"/>
    <cellStyle name="SAPBEXHLevel0X 2 3 2 4 2" xfId="47288"/>
    <cellStyle name="SAPBEXHLevel0X 2 3 2 5" xfId="47289"/>
    <cellStyle name="SAPBEXHLevel0X 2 3 3" xfId="47290"/>
    <cellStyle name="SAPBEXHLevel0X 2 3 3 2" xfId="47291"/>
    <cellStyle name="SAPBEXHLevel0X 2 3 3 2 2" xfId="47292"/>
    <cellStyle name="SAPBEXHLevel0X 2 3 3 2 2 2" xfId="47293"/>
    <cellStyle name="SAPBEXHLevel0X 2 3 3 2 3" xfId="47294"/>
    <cellStyle name="SAPBEXHLevel0X 2 3 3 3" xfId="47295"/>
    <cellStyle name="SAPBEXHLevel0X 2 3 3 3 2" xfId="47296"/>
    <cellStyle name="SAPBEXHLevel0X 2 3 3 4" xfId="47297"/>
    <cellStyle name="SAPBEXHLevel0X 2 3 4" xfId="47298"/>
    <cellStyle name="SAPBEXHLevel0X 2 3 4 2" xfId="47299"/>
    <cellStyle name="SAPBEXHLevel0X 2 3 4 2 2" xfId="47300"/>
    <cellStyle name="SAPBEXHLevel0X 2 3 4 3" xfId="47301"/>
    <cellStyle name="SAPBEXHLevel0X 2 3 5" xfId="47302"/>
    <cellStyle name="SAPBEXHLevel0X 2 3 5 2" xfId="47303"/>
    <cellStyle name="SAPBEXHLevel0X 2 3 5 2 2" xfId="47304"/>
    <cellStyle name="SAPBEXHLevel0X 2 3 5 3" xfId="47305"/>
    <cellStyle name="SAPBEXHLevel0X 2 3 6" xfId="47306"/>
    <cellStyle name="SAPBEXHLevel0X 2 3 6 2" xfId="47307"/>
    <cellStyle name="SAPBEXHLevel0X 2 3 7" xfId="47308"/>
    <cellStyle name="SAPBEXHLevel0X 2 4" xfId="47309"/>
    <cellStyle name="SAPBEXHLevel0X 2 4 2" xfId="47310"/>
    <cellStyle name="SAPBEXHLevel0X 2 4 2 2" xfId="47311"/>
    <cellStyle name="SAPBEXHLevel0X 2 4 2 2 2" xfId="47312"/>
    <cellStyle name="SAPBEXHLevel0X 2 4 2 3" xfId="47313"/>
    <cellStyle name="SAPBEXHLevel0X 2 4 3" xfId="47314"/>
    <cellStyle name="SAPBEXHLevel0X 2 4 3 2" xfId="47315"/>
    <cellStyle name="SAPBEXHLevel0X 2 4 4" xfId="47316"/>
    <cellStyle name="SAPBEXHLevel0X 2 5" xfId="47317"/>
    <cellStyle name="SAPBEXHLevel0X 2 5 2" xfId="47318"/>
    <cellStyle name="SAPBEXHLevel0X 2 5 2 2" xfId="47319"/>
    <cellStyle name="SAPBEXHLevel0X 2 5 3" xfId="47320"/>
    <cellStyle name="SAPBEXHLevel0X 2 6" xfId="47321"/>
    <cellStyle name="SAPBEXHLevel0X 2 6 2" xfId="47322"/>
    <cellStyle name="SAPBEXHLevel0X 2 6 2 2" xfId="47323"/>
    <cellStyle name="SAPBEXHLevel0X 2 6 3" xfId="47324"/>
    <cellStyle name="SAPBEXHLevel0X 2 7" xfId="47325"/>
    <cellStyle name="SAPBEXHLevel0X 2 7 2" xfId="47326"/>
    <cellStyle name="SAPBEXHLevel0X 2 8" xfId="47327"/>
    <cellStyle name="SAPBEXHLevel0X 20" xfId="47328"/>
    <cellStyle name="SAPBEXHLevel0X 21" xfId="47329"/>
    <cellStyle name="SAPBEXHLevel0X 22" xfId="47330"/>
    <cellStyle name="SAPBEXHLevel0X 3" xfId="47331"/>
    <cellStyle name="SAPBEXHLevel0X 3 2" xfId="47332"/>
    <cellStyle name="SAPBEXHLevel0X 3 2 2" xfId="47333"/>
    <cellStyle name="SAPBEXHLevel0X 3 2 2 2" xfId="47334"/>
    <cellStyle name="SAPBEXHLevel0X 3 2 2 2 2" xfId="47335"/>
    <cellStyle name="SAPBEXHLevel0X 3 2 2 3" xfId="47336"/>
    <cellStyle name="SAPBEXHLevel0X 3 2 3" xfId="47337"/>
    <cellStyle name="SAPBEXHLevel0X 3 2 3 2" xfId="47338"/>
    <cellStyle name="SAPBEXHLevel0X 3 2 3 2 2" xfId="47339"/>
    <cellStyle name="SAPBEXHLevel0X 3 2 3 3" xfId="47340"/>
    <cellStyle name="SAPBEXHLevel0X 3 2 4" xfId="47341"/>
    <cellStyle name="SAPBEXHLevel0X 3 2 4 2" xfId="47342"/>
    <cellStyle name="SAPBEXHLevel0X 3 2 4 2 2" xfId="47343"/>
    <cellStyle name="SAPBEXHLevel0X 3 2 4 3" xfId="47344"/>
    <cellStyle name="SAPBEXHLevel0X 3 2 5" xfId="47345"/>
    <cellStyle name="SAPBEXHLevel0X 3 2 5 2" xfId="47346"/>
    <cellStyle name="SAPBEXHLevel0X 3 2 6" xfId="47347"/>
    <cellStyle name="SAPBEXHLevel0X 3 3" xfId="47348"/>
    <cellStyle name="SAPBEXHLevel0X 3 3 2" xfId="47349"/>
    <cellStyle name="SAPBEXHLevel0X 3 3 2 2" xfId="47350"/>
    <cellStyle name="SAPBEXHLevel0X 3 3 2 2 2" xfId="47351"/>
    <cellStyle name="SAPBEXHLevel0X 3 3 2 3" xfId="47352"/>
    <cellStyle name="SAPBEXHLevel0X 3 3 3" xfId="47353"/>
    <cellStyle name="SAPBEXHLevel0X 3 3 3 2" xfId="47354"/>
    <cellStyle name="SAPBEXHLevel0X 3 3 4" xfId="47355"/>
    <cellStyle name="SAPBEXHLevel0X 3 4" xfId="47356"/>
    <cellStyle name="SAPBEXHLevel0X 3 4 2" xfId="47357"/>
    <cellStyle name="SAPBEXHLevel0X 3 4 2 2" xfId="47358"/>
    <cellStyle name="SAPBEXHLevel0X 3 4 3" xfId="47359"/>
    <cellStyle name="SAPBEXHLevel0X 3 5" xfId="47360"/>
    <cellStyle name="SAPBEXHLevel0X 3 5 2" xfId="47361"/>
    <cellStyle name="SAPBEXHLevel0X 3 5 2 2" xfId="47362"/>
    <cellStyle name="SAPBEXHLevel0X 3 5 3" xfId="47363"/>
    <cellStyle name="SAPBEXHLevel0X 3 6" xfId="47364"/>
    <cellStyle name="SAPBEXHLevel0X 3 6 2" xfId="47365"/>
    <cellStyle name="SAPBEXHLevel0X 3 7" xfId="47366"/>
    <cellStyle name="SAPBEXHLevel0X 4" xfId="47367"/>
    <cellStyle name="SAPBEXHLevel0X 4 2" xfId="47368"/>
    <cellStyle name="SAPBEXHLevel0X 4 2 2" xfId="47369"/>
    <cellStyle name="SAPBEXHLevel0X 4 2 2 2" xfId="47370"/>
    <cellStyle name="SAPBEXHLevel0X 4 2 2 2 2" xfId="47371"/>
    <cellStyle name="SAPBEXHLevel0X 4 2 2 3" xfId="47372"/>
    <cellStyle name="SAPBEXHLevel0X 4 2 3" xfId="47373"/>
    <cellStyle name="SAPBEXHLevel0X 4 2 3 2" xfId="47374"/>
    <cellStyle name="SAPBEXHLevel0X 4 2 3 2 2" xfId="47375"/>
    <cellStyle name="SAPBEXHLevel0X 4 2 3 3" xfId="47376"/>
    <cellStyle name="SAPBEXHLevel0X 4 2 4" xfId="47377"/>
    <cellStyle name="SAPBEXHLevel0X 4 2 4 2" xfId="47378"/>
    <cellStyle name="SAPBEXHLevel0X 4 2 4 2 2" xfId="47379"/>
    <cellStyle name="SAPBEXHLevel0X 4 2 4 3" xfId="47380"/>
    <cellStyle name="SAPBEXHLevel0X 4 2 5" xfId="47381"/>
    <cellStyle name="SAPBEXHLevel0X 4 2 5 2" xfId="47382"/>
    <cellStyle name="SAPBEXHLevel0X 4 2 6" xfId="47383"/>
    <cellStyle name="SAPBEXHLevel0X 4 3" xfId="47384"/>
    <cellStyle name="SAPBEXHLevel0X 4 3 2" xfId="47385"/>
    <cellStyle name="SAPBEXHLevel0X 4 3 2 2" xfId="47386"/>
    <cellStyle name="SAPBEXHLevel0X 4 3 2 2 2" xfId="47387"/>
    <cellStyle name="SAPBEXHLevel0X 4 3 2 2 2 2" xfId="47388"/>
    <cellStyle name="SAPBEXHLevel0X 4 3 2 2 3" xfId="47389"/>
    <cellStyle name="SAPBEXHLevel0X 4 3 2 3" xfId="47390"/>
    <cellStyle name="SAPBEXHLevel0X 4 3 2 3 2" xfId="47391"/>
    <cellStyle name="SAPBEXHLevel0X 4 3 2 3 2 2" xfId="47392"/>
    <cellStyle name="SAPBEXHLevel0X 4 3 2 3 3" xfId="47393"/>
    <cellStyle name="SAPBEXHLevel0X 4 3 2 4" xfId="47394"/>
    <cellStyle name="SAPBEXHLevel0X 4 3 2 4 2" xfId="47395"/>
    <cellStyle name="SAPBEXHLevel0X 4 3 2 5" xfId="47396"/>
    <cellStyle name="SAPBEXHLevel0X 4 3 3" xfId="47397"/>
    <cellStyle name="SAPBEXHLevel0X 4 3 3 2" xfId="47398"/>
    <cellStyle name="SAPBEXHLevel0X 4 3 3 2 2" xfId="47399"/>
    <cellStyle name="SAPBEXHLevel0X 4 3 3 2 2 2" xfId="47400"/>
    <cellStyle name="SAPBEXHLevel0X 4 3 3 2 3" xfId="47401"/>
    <cellStyle name="SAPBEXHLevel0X 4 3 3 3" xfId="47402"/>
    <cellStyle name="SAPBEXHLevel0X 4 3 3 3 2" xfId="47403"/>
    <cellStyle name="SAPBEXHLevel0X 4 3 3 4" xfId="47404"/>
    <cellStyle name="SAPBEXHLevel0X 4 3 4" xfId="47405"/>
    <cellStyle name="SAPBEXHLevel0X 4 3 4 2" xfId="47406"/>
    <cellStyle name="SAPBEXHLevel0X 4 3 4 2 2" xfId="47407"/>
    <cellStyle name="SAPBEXHLevel0X 4 3 4 3" xfId="47408"/>
    <cellStyle name="SAPBEXHLevel0X 4 3 5" xfId="47409"/>
    <cellStyle name="SAPBEXHLevel0X 4 3 5 2" xfId="47410"/>
    <cellStyle name="SAPBEXHLevel0X 4 3 5 2 2" xfId="47411"/>
    <cellStyle name="SAPBEXHLevel0X 4 3 5 3" xfId="47412"/>
    <cellStyle name="SAPBEXHLevel0X 4 3 6" xfId="47413"/>
    <cellStyle name="SAPBEXHLevel0X 4 3 6 2" xfId="47414"/>
    <cellStyle name="SAPBEXHLevel0X 4 3 7" xfId="47415"/>
    <cellStyle name="SAPBEXHLevel0X 4 4" xfId="47416"/>
    <cellStyle name="SAPBEXHLevel0X 4 4 2" xfId="47417"/>
    <cellStyle name="SAPBEXHLevel0X 4 4 2 2" xfId="47418"/>
    <cellStyle name="SAPBEXHLevel0X 4 4 2 2 2" xfId="47419"/>
    <cellStyle name="SAPBEXHLevel0X 4 4 2 3" xfId="47420"/>
    <cellStyle name="SAPBEXHLevel0X 4 4 3" xfId="47421"/>
    <cellStyle name="SAPBEXHLevel0X 4 4 3 2" xfId="47422"/>
    <cellStyle name="SAPBEXHLevel0X 4 4 4" xfId="47423"/>
    <cellStyle name="SAPBEXHLevel0X 4 5" xfId="47424"/>
    <cellStyle name="SAPBEXHLevel0X 4 5 2" xfId="47425"/>
    <cellStyle name="SAPBEXHLevel0X 4 5 2 2" xfId="47426"/>
    <cellStyle name="SAPBEXHLevel0X 4 5 3" xfId="47427"/>
    <cellStyle name="SAPBEXHLevel0X 4 6" xfId="47428"/>
    <cellStyle name="SAPBEXHLevel0X 4 6 2" xfId="47429"/>
    <cellStyle name="SAPBEXHLevel0X 4 6 2 2" xfId="47430"/>
    <cellStyle name="SAPBEXHLevel0X 4 6 3" xfId="47431"/>
    <cellStyle name="SAPBEXHLevel0X 4 7" xfId="47432"/>
    <cellStyle name="SAPBEXHLevel0X 4 7 2" xfId="47433"/>
    <cellStyle name="SAPBEXHLevel0X 4 8" xfId="47434"/>
    <cellStyle name="SAPBEXHLevel0X 5" xfId="47435"/>
    <cellStyle name="SAPBEXHLevel0X 5 2" xfId="47436"/>
    <cellStyle name="SAPBEXHLevel0X 5 2 2" xfId="47437"/>
    <cellStyle name="SAPBEXHLevel0X 5 2 2 2" xfId="47438"/>
    <cellStyle name="SAPBEXHLevel0X 5 2 3" xfId="47439"/>
    <cellStyle name="SAPBEXHLevel0X 5 3" xfId="47440"/>
    <cellStyle name="SAPBEXHLevel0X 5 3 2" xfId="47441"/>
    <cellStyle name="SAPBEXHLevel0X 5 3 2 2" xfId="47442"/>
    <cellStyle name="SAPBEXHLevel0X 5 3 3" xfId="47443"/>
    <cellStyle name="SAPBEXHLevel0X 5 4" xfId="47444"/>
    <cellStyle name="SAPBEXHLevel0X 5 4 2" xfId="47445"/>
    <cellStyle name="SAPBEXHLevel0X 5 4 2 2" xfId="47446"/>
    <cellStyle name="SAPBEXHLevel0X 5 4 3" xfId="47447"/>
    <cellStyle name="SAPBEXHLevel0X 5 5" xfId="47448"/>
    <cellStyle name="SAPBEXHLevel0X 5 5 2" xfId="47449"/>
    <cellStyle name="SAPBEXHLevel0X 5 6" xfId="47450"/>
    <cellStyle name="SAPBEXHLevel0X 6" xfId="47451"/>
    <cellStyle name="SAPBEXHLevel0X 6 2" xfId="47452"/>
    <cellStyle name="SAPBEXHLevel0X 6 2 2" xfId="47453"/>
    <cellStyle name="SAPBEXHLevel0X 6 2 2 2" xfId="47454"/>
    <cellStyle name="SAPBEXHLevel0X 6 2 3" xfId="47455"/>
    <cellStyle name="SAPBEXHLevel0X 6 3" xfId="47456"/>
    <cellStyle name="SAPBEXHLevel0X 6 3 2" xfId="47457"/>
    <cellStyle name="SAPBEXHLevel0X 6 3 2 2" xfId="47458"/>
    <cellStyle name="SAPBEXHLevel0X 6 3 3" xfId="47459"/>
    <cellStyle name="SAPBEXHLevel0X 6 4" xfId="47460"/>
    <cellStyle name="SAPBEXHLevel0X 6 4 2" xfId="47461"/>
    <cellStyle name="SAPBEXHLevel0X 6 4 2 2" xfId="47462"/>
    <cellStyle name="SAPBEXHLevel0X 6 4 3" xfId="47463"/>
    <cellStyle name="SAPBEXHLevel0X 6 5" xfId="47464"/>
    <cellStyle name="SAPBEXHLevel0X 6 5 2" xfId="47465"/>
    <cellStyle name="SAPBEXHLevel0X 6 6" xfId="47466"/>
    <cellStyle name="SAPBEXHLevel0X 7" xfId="47467"/>
    <cellStyle name="SAPBEXHLevel0X 7 2" xfId="47468"/>
    <cellStyle name="SAPBEXHLevel0X 7 2 2" xfId="47469"/>
    <cellStyle name="SAPBEXHLevel0X 7 2 2 2" xfId="47470"/>
    <cellStyle name="SAPBEXHLevel0X 7 2 2 2 2" xfId="47471"/>
    <cellStyle name="SAPBEXHLevel0X 7 2 2 3" xfId="47472"/>
    <cellStyle name="SAPBEXHLevel0X 7 2 3" xfId="47473"/>
    <cellStyle name="SAPBEXHLevel0X 7 2 3 2" xfId="47474"/>
    <cellStyle name="SAPBEXHLevel0X 7 2 3 2 2" xfId="47475"/>
    <cellStyle name="SAPBEXHLevel0X 7 2 3 3" xfId="47476"/>
    <cellStyle name="SAPBEXHLevel0X 7 2 4" xfId="47477"/>
    <cellStyle name="SAPBEXHLevel0X 7 2 4 2" xfId="47478"/>
    <cellStyle name="SAPBEXHLevel0X 7 2 5" xfId="47479"/>
    <cellStyle name="SAPBEXHLevel0X 7 3" xfId="47480"/>
    <cellStyle name="SAPBEXHLevel0X 7 3 2" xfId="47481"/>
    <cellStyle name="SAPBEXHLevel0X 7 3 2 2" xfId="47482"/>
    <cellStyle name="SAPBEXHLevel0X 7 3 2 2 2" xfId="47483"/>
    <cellStyle name="SAPBEXHLevel0X 7 3 2 3" xfId="47484"/>
    <cellStyle name="SAPBEXHLevel0X 7 3 3" xfId="47485"/>
    <cellStyle name="SAPBEXHLevel0X 7 3 3 2" xfId="47486"/>
    <cellStyle name="SAPBEXHLevel0X 7 3 4" xfId="47487"/>
    <cellStyle name="SAPBEXHLevel0X 7 4" xfId="47488"/>
    <cellStyle name="SAPBEXHLevel0X 7 4 2" xfId="47489"/>
    <cellStyle name="SAPBEXHLevel0X 7 4 2 2" xfId="47490"/>
    <cellStyle name="SAPBEXHLevel0X 7 4 3" xfId="47491"/>
    <cellStyle name="SAPBEXHLevel0X 7 5" xfId="47492"/>
    <cellStyle name="SAPBEXHLevel0X 7 5 2" xfId="47493"/>
    <cellStyle name="SAPBEXHLevel0X 7 5 2 2" xfId="47494"/>
    <cellStyle name="SAPBEXHLevel0X 7 5 3" xfId="47495"/>
    <cellStyle name="SAPBEXHLevel0X 7 6" xfId="47496"/>
    <cellStyle name="SAPBEXHLevel0X 7 6 2" xfId="47497"/>
    <cellStyle name="SAPBEXHLevel0X 7 7" xfId="47498"/>
    <cellStyle name="SAPBEXHLevel0X 8" xfId="47499"/>
    <cellStyle name="SAPBEXHLevel0X 8 2" xfId="47500"/>
    <cellStyle name="SAPBEXHLevel0X 8 2 2" xfId="47501"/>
    <cellStyle name="SAPBEXHLevel0X 8 2 2 2" xfId="47502"/>
    <cellStyle name="SAPBEXHLevel0X 8 2 3" xfId="47503"/>
    <cellStyle name="SAPBEXHLevel0X 8 3" xfId="47504"/>
    <cellStyle name="SAPBEXHLevel0X 8 3 2" xfId="47505"/>
    <cellStyle name="SAPBEXHLevel0X 8 3 2 2" xfId="47506"/>
    <cellStyle name="SAPBEXHLevel0X 8 3 3" xfId="47507"/>
    <cellStyle name="SAPBEXHLevel0X 8 4" xfId="47508"/>
    <cellStyle name="SAPBEXHLevel0X 8 4 2" xfId="47509"/>
    <cellStyle name="SAPBEXHLevel0X 8 5" xfId="47510"/>
    <cellStyle name="SAPBEXHLevel0X 9" xfId="47511"/>
    <cellStyle name="SAPBEXHLevel0X 9 2" xfId="47512"/>
    <cellStyle name="SAPBEXHLevel0X 9 2 2" xfId="47513"/>
    <cellStyle name="SAPBEXHLevel0X 9 2 2 2" xfId="47514"/>
    <cellStyle name="SAPBEXHLevel0X 9 2 2 2 2" xfId="47515"/>
    <cellStyle name="SAPBEXHLevel0X 9 2 2 3" xfId="47516"/>
    <cellStyle name="SAPBEXHLevel0X 9 2 3" xfId="47517"/>
    <cellStyle name="SAPBEXHLevel0X 9 2 3 2" xfId="47518"/>
    <cellStyle name="SAPBEXHLevel0X 9 2 4" xfId="47519"/>
    <cellStyle name="SAPBEXHLevel0X 9 3" xfId="47520"/>
    <cellStyle name="SAPBEXHLevel0X 9 3 2" xfId="47521"/>
    <cellStyle name="SAPBEXHLevel0X 9 3 2 2" xfId="47522"/>
    <cellStyle name="SAPBEXHLevel0X 9 3 2 2 2" xfId="47523"/>
    <cellStyle name="SAPBEXHLevel0X 9 3 2 2 2 2" xfId="47524"/>
    <cellStyle name="SAPBEXHLevel0X 9 3 2 2 3" xfId="47525"/>
    <cellStyle name="SAPBEXHLevel0X 9 3 2 3" xfId="47526"/>
    <cellStyle name="SAPBEXHLevel0X 9 3 2 3 2" xfId="47527"/>
    <cellStyle name="SAPBEXHLevel0X 9 3 2 4" xfId="47528"/>
    <cellStyle name="SAPBEXHLevel0X 9 3 3" xfId="47529"/>
    <cellStyle name="SAPBEXHLevel0X 9 3 3 2" xfId="47530"/>
    <cellStyle name="SAPBEXHLevel0X 9 3 3 2 2" xfId="47531"/>
    <cellStyle name="SAPBEXHLevel0X 9 3 3 3" xfId="47532"/>
    <cellStyle name="SAPBEXHLevel0X 9 3 4" xfId="47533"/>
    <cellStyle name="SAPBEXHLevel0X 9 3 4 2" xfId="47534"/>
    <cellStyle name="SAPBEXHLevel0X 9 3 5" xfId="47535"/>
    <cellStyle name="SAPBEXHLevel0X 9 4" xfId="47536"/>
    <cellStyle name="SAPBEXHLevel0X 9 4 2" xfId="47537"/>
    <cellStyle name="SAPBEXHLevel0X 9 4 2 2" xfId="47538"/>
    <cellStyle name="SAPBEXHLevel0X 9 4 3" xfId="47539"/>
    <cellStyle name="SAPBEXHLevel0X 9 5" xfId="47540"/>
    <cellStyle name="SAPBEXHLevel0X 9 5 2" xfId="47541"/>
    <cellStyle name="SAPBEXHLevel0X 9 5 2 2" xfId="47542"/>
    <cellStyle name="SAPBEXHLevel0X 9 5 3" xfId="47543"/>
    <cellStyle name="SAPBEXHLevel0X 9 6" xfId="47544"/>
    <cellStyle name="SAPBEXHLevel0X 9 6 2" xfId="47545"/>
    <cellStyle name="SAPBEXHLevel0X 9 7" xfId="47546"/>
    <cellStyle name="SAPBEXHLevel1" xfId="61"/>
    <cellStyle name="SAPBEXHLevel1 10" xfId="47547"/>
    <cellStyle name="SAPBEXHLevel1 10 2" xfId="47548"/>
    <cellStyle name="SAPBEXHLevel1 10 2 2" xfId="47549"/>
    <cellStyle name="SAPBEXHLevel1 10 3" xfId="47550"/>
    <cellStyle name="SAPBEXHLevel1 11" xfId="47551"/>
    <cellStyle name="SAPBEXHLevel1 11 2" xfId="47552"/>
    <cellStyle name="SAPBEXHLevel1 12" xfId="47553"/>
    <cellStyle name="SAPBEXHLevel1 12 2" xfId="47554"/>
    <cellStyle name="SAPBEXHLevel1 12 2 2" xfId="47555"/>
    <cellStyle name="SAPBEXHLevel1 12 3" xfId="47556"/>
    <cellStyle name="SAPBEXHLevel1 12 3 2" xfId="47557"/>
    <cellStyle name="SAPBEXHLevel1 12 4" xfId="47558"/>
    <cellStyle name="SAPBEXHLevel1 13" xfId="47559"/>
    <cellStyle name="SAPBEXHLevel1 13 2" xfId="47560"/>
    <cellStyle name="SAPBEXHLevel1 14" xfId="47561"/>
    <cellStyle name="SAPBEXHLevel1 14 2" xfId="47562"/>
    <cellStyle name="SAPBEXHLevel1 14 3" xfId="47563"/>
    <cellStyle name="SAPBEXHLevel1 15" xfId="47564"/>
    <cellStyle name="SAPBEXHLevel1 15 2" xfId="47565"/>
    <cellStyle name="SAPBEXHLevel1 16" xfId="47566"/>
    <cellStyle name="SAPBEXHLevel1 16 2" xfId="47567"/>
    <cellStyle name="SAPBEXHLevel1 17" xfId="47568"/>
    <cellStyle name="SAPBEXHLevel1 18" xfId="47569"/>
    <cellStyle name="SAPBEXHLevel1 2" xfId="85"/>
    <cellStyle name="SAPBEXHLevel1 2 10" xfId="47570"/>
    <cellStyle name="SAPBEXHLevel1 2 2" xfId="47571"/>
    <cellStyle name="SAPBEXHLevel1 2 2 2" xfId="47572"/>
    <cellStyle name="SAPBEXHLevel1 2 2 2 2" xfId="47573"/>
    <cellStyle name="SAPBEXHLevel1 2 2 2 2 2" xfId="47574"/>
    <cellStyle name="SAPBEXHLevel1 2 2 2 3" xfId="47575"/>
    <cellStyle name="SAPBEXHLevel1 2 2 3" xfId="47576"/>
    <cellStyle name="SAPBEXHLevel1 2 2 3 2" xfId="47577"/>
    <cellStyle name="SAPBEXHLevel1 2 2 3 2 2" xfId="47578"/>
    <cellStyle name="SAPBEXHLevel1 2 2 3 3" xfId="47579"/>
    <cellStyle name="SAPBEXHLevel1 2 2 4" xfId="47580"/>
    <cellStyle name="SAPBEXHLevel1 2 2 4 2" xfId="47581"/>
    <cellStyle name="SAPBEXHLevel1 2 2 4 2 2" xfId="47582"/>
    <cellStyle name="SAPBEXHLevel1 2 2 4 3" xfId="47583"/>
    <cellStyle name="SAPBEXHLevel1 2 2 5" xfId="47584"/>
    <cellStyle name="SAPBEXHLevel1 2 2 5 2" xfId="47585"/>
    <cellStyle name="SAPBEXHLevel1 2 2 6" xfId="47586"/>
    <cellStyle name="SAPBEXHLevel1 2 3" xfId="47587"/>
    <cellStyle name="SAPBEXHLevel1 2 3 2" xfId="47588"/>
    <cellStyle name="SAPBEXHLevel1 2 3 2 2" xfId="47589"/>
    <cellStyle name="SAPBEXHLevel1 2 3 2 2 2" xfId="47590"/>
    <cellStyle name="SAPBEXHLevel1 2 3 2 2 2 2" xfId="47591"/>
    <cellStyle name="SAPBEXHLevel1 2 3 2 2 3" xfId="47592"/>
    <cellStyle name="SAPBEXHLevel1 2 3 2 3" xfId="47593"/>
    <cellStyle name="SAPBEXHLevel1 2 3 2 3 2" xfId="47594"/>
    <cellStyle name="SAPBEXHLevel1 2 3 2 3 2 2" xfId="47595"/>
    <cellStyle name="SAPBEXHLevel1 2 3 2 3 3" xfId="47596"/>
    <cellStyle name="SAPBEXHLevel1 2 3 2 4" xfId="47597"/>
    <cellStyle name="SAPBEXHLevel1 2 3 2 4 2" xfId="47598"/>
    <cellStyle name="SAPBEXHLevel1 2 3 2 5" xfId="47599"/>
    <cellStyle name="SAPBEXHLevel1 2 3 3" xfId="47600"/>
    <cellStyle name="SAPBEXHLevel1 2 3 3 2" xfId="47601"/>
    <cellStyle name="SAPBEXHLevel1 2 3 3 2 2" xfId="47602"/>
    <cellStyle name="SAPBEXHLevel1 2 3 3 2 2 2" xfId="47603"/>
    <cellStyle name="SAPBEXHLevel1 2 3 3 2 3" xfId="47604"/>
    <cellStyle name="SAPBEXHLevel1 2 3 3 3" xfId="47605"/>
    <cellStyle name="SAPBEXHLevel1 2 3 3 3 2" xfId="47606"/>
    <cellStyle name="SAPBEXHLevel1 2 3 3 4" xfId="47607"/>
    <cellStyle name="SAPBEXHLevel1 2 3 4" xfId="47608"/>
    <cellStyle name="SAPBEXHLevel1 2 3 4 2" xfId="47609"/>
    <cellStyle name="SAPBEXHLevel1 2 3 4 2 2" xfId="47610"/>
    <cellStyle name="SAPBEXHLevel1 2 3 4 3" xfId="47611"/>
    <cellStyle name="SAPBEXHLevel1 2 3 5" xfId="47612"/>
    <cellStyle name="SAPBEXHLevel1 2 3 5 2" xfId="47613"/>
    <cellStyle name="SAPBEXHLevel1 2 3 5 2 2" xfId="47614"/>
    <cellStyle name="SAPBEXHLevel1 2 3 5 3" xfId="47615"/>
    <cellStyle name="SAPBEXHLevel1 2 3 6" xfId="47616"/>
    <cellStyle name="SAPBEXHLevel1 2 3 6 2" xfId="47617"/>
    <cellStyle name="SAPBEXHLevel1 2 3 7" xfId="47618"/>
    <cellStyle name="SAPBEXHLevel1 2 4" xfId="47619"/>
    <cellStyle name="SAPBEXHLevel1 2 4 2" xfId="47620"/>
    <cellStyle name="SAPBEXHLevel1 2 4 2 2" xfId="47621"/>
    <cellStyle name="SAPBEXHLevel1 2 4 2 2 2" xfId="47622"/>
    <cellStyle name="SAPBEXHLevel1 2 4 2 2 2 2" xfId="47623"/>
    <cellStyle name="SAPBEXHLevel1 2 4 2 2 2 2 2" xfId="47624"/>
    <cellStyle name="SAPBEXHLevel1 2 4 2 2 2 2 2 2" xfId="47625"/>
    <cellStyle name="SAPBEXHLevel1 2 4 2 2 2 2 3" xfId="47626"/>
    <cellStyle name="SAPBEXHLevel1 2 4 2 2 2 3" xfId="47627"/>
    <cellStyle name="SAPBEXHLevel1 2 4 2 2 2 3 2" xfId="47628"/>
    <cellStyle name="SAPBEXHLevel1 2 4 2 2 2 4" xfId="47629"/>
    <cellStyle name="SAPBEXHLevel1 2 4 2 2 3" xfId="47630"/>
    <cellStyle name="SAPBEXHLevel1 2 4 2 2 3 2" xfId="47631"/>
    <cellStyle name="SAPBEXHLevel1 2 4 2 2 3 2 2" xfId="47632"/>
    <cellStyle name="SAPBEXHLevel1 2 4 2 2 3 3" xfId="47633"/>
    <cellStyle name="SAPBEXHLevel1 2 4 2 2 4" xfId="47634"/>
    <cellStyle name="SAPBEXHLevel1 2 4 2 2 4 2" xfId="47635"/>
    <cellStyle name="SAPBEXHLevel1 2 4 2 2 5" xfId="47636"/>
    <cellStyle name="SAPBEXHLevel1 2 4 2 3" xfId="47637"/>
    <cellStyle name="SAPBEXHLevel1 2 4 2 3 2" xfId="47638"/>
    <cellStyle name="SAPBEXHLevel1 2 4 2 3 2 2" xfId="47639"/>
    <cellStyle name="SAPBEXHLevel1 2 4 2 3 3" xfId="47640"/>
    <cellStyle name="SAPBEXHLevel1 2 4 2 4" xfId="47641"/>
    <cellStyle name="SAPBEXHLevel1 2 4 2 4 2" xfId="47642"/>
    <cellStyle name="SAPBEXHLevel1 2 4 2 4 2 2" xfId="47643"/>
    <cellStyle name="SAPBEXHLevel1 2 4 2 4 2 2 2" xfId="47644"/>
    <cellStyle name="SAPBEXHLevel1 2 4 2 4 2 3" xfId="47645"/>
    <cellStyle name="SAPBEXHLevel1 2 4 2 4 3" xfId="47646"/>
    <cellStyle name="SAPBEXHLevel1 2 4 2 4 3 2" xfId="47647"/>
    <cellStyle name="SAPBEXHLevel1 2 4 2 4 4" xfId="47648"/>
    <cellStyle name="SAPBEXHLevel1 2 4 2 5" xfId="47649"/>
    <cellStyle name="SAPBEXHLevel1 2 4 2 5 2" xfId="47650"/>
    <cellStyle name="SAPBEXHLevel1 2 4 2 5 2 2" xfId="47651"/>
    <cellStyle name="SAPBEXHLevel1 2 4 2 5 3" xfId="47652"/>
    <cellStyle name="SAPBEXHLevel1 2 4 2 6" xfId="47653"/>
    <cellStyle name="SAPBEXHLevel1 2 4 2 6 2" xfId="47654"/>
    <cellStyle name="SAPBEXHLevel1 2 4 2 7" xfId="47655"/>
    <cellStyle name="SAPBEXHLevel1 2 4 3" xfId="47656"/>
    <cellStyle name="SAPBEXHLevel1 2 4 3 2" xfId="47657"/>
    <cellStyle name="SAPBEXHLevel1 2 4 3 2 2" xfId="47658"/>
    <cellStyle name="SAPBEXHLevel1 2 4 3 2 2 2" xfId="47659"/>
    <cellStyle name="SAPBEXHLevel1 2 4 3 2 2 2 2" xfId="47660"/>
    <cellStyle name="SAPBEXHLevel1 2 4 3 2 2 2 2 2" xfId="47661"/>
    <cellStyle name="SAPBEXHLevel1 2 4 3 2 2 2 3" xfId="47662"/>
    <cellStyle name="SAPBEXHLevel1 2 4 3 2 2 3" xfId="47663"/>
    <cellStyle name="SAPBEXHLevel1 2 4 3 2 2 3 2" xfId="47664"/>
    <cellStyle name="SAPBEXHLevel1 2 4 3 2 2 4" xfId="47665"/>
    <cellStyle name="SAPBEXHLevel1 2 4 3 2 3" xfId="47666"/>
    <cellStyle name="SAPBEXHLevel1 2 4 3 2 3 2" xfId="47667"/>
    <cellStyle name="SAPBEXHLevel1 2 4 3 2 3 2 2" xfId="47668"/>
    <cellStyle name="SAPBEXHLevel1 2 4 3 2 3 3" xfId="47669"/>
    <cellStyle name="SAPBEXHLevel1 2 4 3 2 4" xfId="47670"/>
    <cellStyle name="SAPBEXHLevel1 2 4 3 2 4 2" xfId="47671"/>
    <cellStyle name="SAPBEXHLevel1 2 4 3 2 5" xfId="47672"/>
    <cellStyle name="SAPBEXHLevel1 2 4 3 3" xfId="47673"/>
    <cellStyle name="SAPBEXHLevel1 2 4 3 3 2" xfId="47674"/>
    <cellStyle name="SAPBEXHLevel1 2 4 3 3 2 2" xfId="47675"/>
    <cellStyle name="SAPBEXHLevel1 2 4 3 3 2 2 2" xfId="47676"/>
    <cellStyle name="SAPBEXHLevel1 2 4 3 3 2 3" xfId="47677"/>
    <cellStyle name="SAPBEXHLevel1 2 4 3 3 3" xfId="47678"/>
    <cellStyle name="SAPBEXHLevel1 2 4 3 3 3 2" xfId="47679"/>
    <cellStyle name="SAPBEXHLevel1 2 4 3 3 4" xfId="47680"/>
    <cellStyle name="SAPBEXHLevel1 2 4 3 4" xfId="47681"/>
    <cellStyle name="SAPBEXHLevel1 2 4 3 4 2" xfId="47682"/>
    <cellStyle name="SAPBEXHLevel1 2 4 3 4 2 2" xfId="47683"/>
    <cellStyle name="SAPBEXHLevel1 2 4 3 4 3" xfId="47684"/>
    <cellStyle name="SAPBEXHLevel1 2 4 3 5" xfId="47685"/>
    <cellStyle name="SAPBEXHLevel1 2 4 3 5 2" xfId="47686"/>
    <cellStyle name="SAPBEXHLevel1 2 4 3 6" xfId="47687"/>
    <cellStyle name="SAPBEXHLevel1 2 4 4" xfId="47688"/>
    <cellStyle name="SAPBEXHLevel1 2 4 4 2" xfId="47689"/>
    <cellStyle name="SAPBEXHLevel1 2 4 4 2 2" xfId="47690"/>
    <cellStyle name="SAPBEXHLevel1 2 4 4 3" xfId="47691"/>
    <cellStyle name="SAPBEXHLevel1 2 4 5" xfId="47692"/>
    <cellStyle name="SAPBEXHLevel1 2 4 5 2" xfId="47693"/>
    <cellStyle name="SAPBEXHLevel1 2 4 5 2 2" xfId="47694"/>
    <cellStyle name="SAPBEXHLevel1 2 4 5 2 2 2" xfId="47695"/>
    <cellStyle name="SAPBEXHLevel1 2 4 5 2 3" xfId="47696"/>
    <cellStyle name="SAPBEXHLevel1 2 4 5 3" xfId="47697"/>
    <cellStyle name="SAPBEXHLevel1 2 4 5 3 2" xfId="47698"/>
    <cellStyle name="SAPBEXHLevel1 2 4 5 4" xfId="47699"/>
    <cellStyle name="SAPBEXHLevel1 2 4 6" xfId="47700"/>
    <cellStyle name="SAPBEXHLevel1 2 4 6 2" xfId="47701"/>
    <cellStyle name="SAPBEXHLevel1 2 4 6 2 2" xfId="47702"/>
    <cellStyle name="SAPBEXHLevel1 2 4 6 3" xfId="47703"/>
    <cellStyle name="SAPBEXHLevel1 2 4 7" xfId="47704"/>
    <cellStyle name="SAPBEXHLevel1 2 4 7 2" xfId="47705"/>
    <cellStyle name="SAPBEXHLevel1 2 4 8" xfId="47706"/>
    <cellStyle name="SAPBEXHLevel1 2 5" xfId="47707"/>
    <cellStyle name="SAPBEXHLevel1 2 5 2" xfId="47708"/>
    <cellStyle name="SAPBEXHLevel1 2 5 2 2" xfId="47709"/>
    <cellStyle name="SAPBEXHLevel1 2 5 2 2 2" xfId="47710"/>
    <cellStyle name="SAPBEXHLevel1 2 5 2 3" xfId="47711"/>
    <cellStyle name="SAPBEXHLevel1 2 5 3" xfId="47712"/>
    <cellStyle name="SAPBEXHLevel1 2 5 3 2" xfId="47713"/>
    <cellStyle name="SAPBEXHLevel1 2 5 4" xfId="47714"/>
    <cellStyle name="SAPBEXHLevel1 2 6" xfId="47715"/>
    <cellStyle name="SAPBEXHLevel1 2 6 2" xfId="47716"/>
    <cellStyle name="SAPBEXHLevel1 2 6 2 2" xfId="47717"/>
    <cellStyle name="SAPBEXHLevel1 2 6 3" xfId="47718"/>
    <cellStyle name="SAPBEXHLevel1 2 7" xfId="47719"/>
    <cellStyle name="SAPBEXHLevel1 2 7 2" xfId="47720"/>
    <cellStyle name="SAPBEXHLevel1 2 7 2 2" xfId="47721"/>
    <cellStyle name="SAPBEXHLevel1 2 7 3" xfId="47722"/>
    <cellStyle name="SAPBEXHLevel1 2 8" xfId="47723"/>
    <cellStyle name="SAPBEXHLevel1 2 8 2" xfId="47724"/>
    <cellStyle name="SAPBEXHLevel1 2 8 2 2" xfId="47725"/>
    <cellStyle name="SAPBEXHLevel1 2 8 2 2 2" xfId="47726"/>
    <cellStyle name="SAPBEXHLevel1 2 8 2 2 2 2" xfId="47727"/>
    <cellStyle name="SAPBEXHLevel1 2 8 2 2 3" xfId="47728"/>
    <cellStyle name="SAPBEXHLevel1 2 8 2 3" xfId="47729"/>
    <cellStyle name="SAPBEXHLevel1 2 8 2 3 2" xfId="47730"/>
    <cellStyle name="SAPBEXHLevel1 2 8 2 4" xfId="47731"/>
    <cellStyle name="SAPBEXHLevel1 2 8 3" xfId="47732"/>
    <cellStyle name="SAPBEXHLevel1 2 8 3 2" xfId="47733"/>
    <cellStyle name="SAPBEXHLevel1 2 8 3 2 2" xfId="47734"/>
    <cellStyle name="SAPBEXHLevel1 2 8 3 3" xfId="47735"/>
    <cellStyle name="SAPBEXHLevel1 2 8 4" xfId="47736"/>
    <cellStyle name="SAPBEXHLevel1 2 8 4 2" xfId="47737"/>
    <cellStyle name="SAPBEXHLevel1 2 8 5" xfId="47738"/>
    <cellStyle name="SAPBEXHLevel1 2 9" xfId="47739"/>
    <cellStyle name="SAPBEXHLevel1 2 9 2" xfId="47740"/>
    <cellStyle name="SAPBEXHLevel1 3" xfId="47741"/>
    <cellStyle name="SAPBEXHLevel1 3 2" xfId="47742"/>
    <cellStyle name="SAPBEXHLevel1 3 2 2" xfId="47743"/>
    <cellStyle name="SAPBEXHLevel1 3 2 2 2" xfId="47744"/>
    <cellStyle name="SAPBEXHLevel1 3 2 2 2 2" xfId="47745"/>
    <cellStyle name="SAPBEXHLevel1 3 2 2 3" xfId="47746"/>
    <cellStyle name="SAPBEXHLevel1 3 2 3" xfId="47747"/>
    <cellStyle name="SAPBEXHLevel1 3 2 3 2" xfId="47748"/>
    <cellStyle name="SAPBEXHLevel1 3 2 3 2 2" xfId="47749"/>
    <cellStyle name="SAPBEXHLevel1 3 2 3 3" xfId="47750"/>
    <cellStyle name="SAPBEXHLevel1 3 2 4" xfId="47751"/>
    <cellStyle name="SAPBEXHLevel1 3 2 4 2" xfId="47752"/>
    <cellStyle name="SAPBEXHLevel1 3 2 4 2 2" xfId="47753"/>
    <cellStyle name="SAPBEXHLevel1 3 2 4 3" xfId="47754"/>
    <cellStyle name="SAPBEXHLevel1 3 2 5" xfId="47755"/>
    <cellStyle name="SAPBEXHLevel1 3 2 5 2" xfId="47756"/>
    <cellStyle name="SAPBEXHLevel1 3 2 6" xfId="47757"/>
    <cellStyle name="SAPBEXHLevel1 3 3" xfId="47758"/>
    <cellStyle name="SAPBEXHLevel1 3 3 2" xfId="47759"/>
    <cellStyle name="SAPBEXHLevel1 3 3 2 2" xfId="47760"/>
    <cellStyle name="SAPBEXHLevel1 3 3 2 2 2" xfId="47761"/>
    <cellStyle name="SAPBEXHLevel1 3 3 2 3" xfId="47762"/>
    <cellStyle name="SAPBEXHLevel1 3 3 3" xfId="47763"/>
    <cellStyle name="SAPBEXHLevel1 3 3 3 2" xfId="47764"/>
    <cellStyle name="SAPBEXHLevel1 3 3 4" xfId="47765"/>
    <cellStyle name="SAPBEXHLevel1 3 4" xfId="47766"/>
    <cellStyle name="SAPBEXHLevel1 3 4 2" xfId="47767"/>
    <cellStyle name="SAPBEXHLevel1 3 4 2 2" xfId="47768"/>
    <cellStyle name="SAPBEXHLevel1 3 4 3" xfId="47769"/>
    <cellStyle name="SAPBEXHLevel1 3 5" xfId="47770"/>
    <cellStyle name="SAPBEXHLevel1 3 5 2" xfId="47771"/>
    <cellStyle name="SAPBEXHLevel1 3 5 2 2" xfId="47772"/>
    <cellStyle name="SAPBEXHLevel1 3 5 3" xfId="47773"/>
    <cellStyle name="SAPBEXHLevel1 3 6" xfId="47774"/>
    <cellStyle name="SAPBEXHLevel1 3 6 2" xfId="47775"/>
    <cellStyle name="SAPBEXHLevel1 3 6 2 2" xfId="47776"/>
    <cellStyle name="SAPBEXHLevel1 3 6 2 2 2" xfId="47777"/>
    <cellStyle name="SAPBEXHLevel1 3 6 2 2 2 2" xfId="47778"/>
    <cellStyle name="SAPBEXHLevel1 3 6 2 2 3" xfId="47779"/>
    <cellStyle name="SAPBEXHLevel1 3 6 2 3" xfId="47780"/>
    <cellStyle name="SAPBEXHLevel1 3 6 2 3 2" xfId="47781"/>
    <cellStyle name="SAPBEXHLevel1 3 6 2 4" xfId="47782"/>
    <cellStyle name="SAPBEXHLevel1 3 6 3" xfId="47783"/>
    <cellStyle name="SAPBEXHLevel1 3 6 3 2" xfId="47784"/>
    <cellStyle name="SAPBEXHLevel1 3 6 3 2 2" xfId="47785"/>
    <cellStyle name="SAPBEXHLevel1 3 6 3 3" xfId="47786"/>
    <cellStyle name="SAPBEXHLevel1 3 6 4" xfId="47787"/>
    <cellStyle name="SAPBEXHLevel1 3 6 4 2" xfId="47788"/>
    <cellStyle name="SAPBEXHLevel1 3 6 5" xfId="47789"/>
    <cellStyle name="SAPBEXHLevel1 3 7" xfId="47790"/>
    <cellStyle name="SAPBEXHLevel1 3 7 2" xfId="47791"/>
    <cellStyle name="SAPBEXHLevel1 3 8" xfId="47792"/>
    <cellStyle name="SAPBEXHLevel1 4" xfId="47793"/>
    <cellStyle name="SAPBEXHLevel1 4 2" xfId="47794"/>
    <cellStyle name="SAPBEXHLevel1 4 2 2" xfId="47795"/>
    <cellStyle name="SAPBEXHLevel1 4 2 2 2" xfId="47796"/>
    <cellStyle name="SAPBEXHLevel1 4 2 2 2 2" xfId="47797"/>
    <cellStyle name="SAPBEXHLevel1 4 2 2 3" xfId="47798"/>
    <cellStyle name="SAPBEXHLevel1 4 2 3" xfId="47799"/>
    <cellStyle name="SAPBEXHLevel1 4 2 3 2" xfId="47800"/>
    <cellStyle name="SAPBEXHLevel1 4 2 3 2 2" xfId="47801"/>
    <cellStyle name="SAPBEXHLevel1 4 2 3 3" xfId="47802"/>
    <cellStyle name="SAPBEXHLevel1 4 2 4" xfId="47803"/>
    <cellStyle name="SAPBEXHLevel1 4 2 4 2" xfId="47804"/>
    <cellStyle name="SAPBEXHLevel1 4 2 4 2 2" xfId="47805"/>
    <cellStyle name="SAPBEXHLevel1 4 2 4 3" xfId="47806"/>
    <cellStyle name="SAPBEXHLevel1 4 2 5" xfId="47807"/>
    <cellStyle name="SAPBEXHLevel1 4 2 5 2" xfId="47808"/>
    <cellStyle name="SAPBEXHLevel1 4 2 6" xfId="47809"/>
    <cellStyle name="SAPBEXHLevel1 4 3" xfId="47810"/>
    <cellStyle name="SAPBEXHLevel1 4 3 2" xfId="47811"/>
    <cellStyle name="SAPBEXHLevel1 4 3 2 2" xfId="47812"/>
    <cellStyle name="SAPBEXHLevel1 4 3 2 2 2" xfId="47813"/>
    <cellStyle name="SAPBEXHLevel1 4 3 2 2 2 2" xfId="47814"/>
    <cellStyle name="SAPBEXHLevel1 4 3 2 2 3" xfId="47815"/>
    <cellStyle name="SAPBEXHLevel1 4 3 2 3" xfId="47816"/>
    <cellStyle name="SAPBEXHLevel1 4 3 2 3 2" xfId="47817"/>
    <cellStyle name="SAPBEXHLevel1 4 3 2 3 2 2" xfId="47818"/>
    <cellStyle name="SAPBEXHLevel1 4 3 2 3 3" xfId="47819"/>
    <cellStyle name="SAPBEXHLevel1 4 3 2 4" xfId="47820"/>
    <cellStyle name="SAPBEXHLevel1 4 3 2 4 2" xfId="47821"/>
    <cellStyle name="SAPBEXHLevel1 4 3 2 5" xfId="47822"/>
    <cellStyle name="SAPBEXHLevel1 4 3 3" xfId="47823"/>
    <cellStyle name="SAPBEXHLevel1 4 3 3 2" xfId="47824"/>
    <cellStyle name="SAPBEXHLevel1 4 3 3 2 2" xfId="47825"/>
    <cellStyle name="SAPBEXHLevel1 4 3 3 2 2 2" xfId="47826"/>
    <cellStyle name="SAPBEXHLevel1 4 3 3 2 3" xfId="47827"/>
    <cellStyle name="SAPBEXHLevel1 4 3 3 3" xfId="47828"/>
    <cellStyle name="SAPBEXHLevel1 4 3 3 3 2" xfId="47829"/>
    <cellStyle name="SAPBEXHLevel1 4 3 3 4" xfId="47830"/>
    <cellStyle name="SAPBEXHLevel1 4 3 4" xfId="47831"/>
    <cellStyle name="SAPBEXHLevel1 4 3 4 2" xfId="47832"/>
    <cellStyle name="SAPBEXHLevel1 4 3 4 2 2" xfId="47833"/>
    <cellStyle name="SAPBEXHLevel1 4 3 4 3" xfId="47834"/>
    <cellStyle name="SAPBEXHLevel1 4 3 5" xfId="47835"/>
    <cellStyle name="SAPBEXHLevel1 4 3 5 2" xfId="47836"/>
    <cellStyle name="SAPBEXHLevel1 4 3 5 2 2" xfId="47837"/>
    <cellStyle name="SAPBEXHLevel1 4 3 5 3" xfId="47838"/>
    <cellStyle name="SAPBEXHLevel1 4 3 6" xfId="47839"/>
    <cellStyle name="SAPBEXHLevel1 4 3 6 2" xfId="47840"/>
    <cellStyle name="SAPBEXHLevel1 4 3 7" xfId="47841"/>
    <cellStyle name="SAPBEXHLevel1 4 4" xfId="47842"/>
    <cellStyle name="SAPBEXHLevel1 4 4 2" xfId="47843"/>
    <cellStyle name="SAPBEXHLevel1 4 4 2 2" xfId="47844"/>
    <cellStyle name="SAPBEXHLevel1 4 4 2 2 2" xfId="47845"/>
    <cellStyle name="SAPBEXHLevel1 4 4 2 3" xfId="47846"/>
    <cellStyle name="SAPBEXHLevel1 4 4 3" xfId="47847"/>
    <cellStyle name="SAPBEXHLevel1 4 4 3 2" xfId="47848"/>
    <cellStyle name="SAPBEXHLevel1 4 4 4" xfId="47849"/>
    <cellStyle name="SAPBEXHLevel1 4 5" xfId="47850"/>
    <cellStyle name="SAPBEXHLevel1 4 5 2" xfId="47851"/>
    <cellStyle name="SAPBEXHLevel1 4 5 2 2" xfId="47852"/>
    <cellStyle name="SAPBEXHLevel1 4 5 3" xfId="47853"/>
    <cellStyle name="SAPBEXHLevel1 4 6" xfId="47854"/>
    <cellStyle name="SAPBEXHLevel1 4 6 2" xfId="47855"/>
    <cellStyle name="SAPBEXHLevel1 4 6 2 2" xfId="47856"/>
    <cellStyle name="SAPBEXHLevel1 4 6 3" xfId="47857"/>
    <cellStyle name="SAPBEXHLevel1 4 7" xfId="47858"/>
    <cellStyle name="SAPBEXHLevel1 4 7 2" xfId="47859"/>
    <cellStyle name="SAPBEXHLevel1 4 8" xfId="47860"/>
    <cellStyle name="SAPBEXHLevel1 5" xfId="47861"/>
    <cellStyle name="SAPBEXHLevel1 5 2" xfId="47862"/>
    <cellStyle name="SAPBEXHLevel1 5 2 2" xfId="47863"/>
    <cellStyle name="SAPBEXHLevel1 5 2 2 2" xfId="47864"/>
    <cellStyle name="SAPBEXHLevel1 5 2 3" xfId="47865"/>
    <cellStyle name="SAPBEXHLevel1 5 3" xfId="47866"/>
    <cellStyle name="SAPBEXHLevel1 5 3 2" xfId="47867"/>
    <cellStyle name="SAPBEXHLevel1 5 3 2 2" xfId="47868"/>
    <cellStyle name="SAPBEXHLevel1 5 3 3" xfId="47869"/>
    <cellStyle name="SAPBEXHLevel1 5 4" xfId="47870"/>
    <cellStyle name="SAPBEXHLevel1 5 4 2" xfId="47871"/>
    <cellStyle name="SAPBEXHLevel1 5 4 2 2" xfId="47872"/>
    <cellStyle name="SAPBEXHLevel1 5 4 3" xfId="47873"/>
    <cellStyle name="SAPBEXHLevel1 5 5" xfId="47874"/>
    <cellStyle name="SAPBEXHLevel1 5 5 2" xfId="47875"/>
    <cellStyle name="SAPBEXHLevel1 5 6" xfId="47876"/>
    <cellStyle name="SAPBEXHLevel1 6" xfId="47877"/>
    <cellStyle name="SAPBEXHLevel1 6 2" xfId="47878"/>
    <cellStyle name="SAPBEXHLevel1 6 2 2" xfId="47879"/>
    <cellStyle name="SAPBEXHLevel1 6 3" xfId="47880"/>
    <cellStyle name="SAPBEXHLevel1 6 3 2" xfId="47881"/>
    <cellStyle name="SAPBEXHLevel1 6 3 2 2" xfId="47882"/>
    <cellStyle name="SAPBEXHLevel1 6 3 3" xfId="47883"/>
    <cellStyle name="SAPBEXHLevel1 6 4" xfId="47884"/>
    <cellStyle name="SAPBEXHLevel1 6 4 2" xfId="47885"/>
    <cellStyle name="SAPBEXHLevel1 6 4 2 2" xfId="47886"/>
    <cellStyle name="SAPBEXHLevel1 6 4 3" xfId="47887"/>
    <cellStyle name="SAPBEXHLevel1 6 5" xfId="47888"/>
    <cellStyle name="SAPBEXHLevel1 7" xfId="47889"/>
    <cellStyle name="SAPBEXHLevel1 7 2" xfId="47890"/>
    <cellStyle name="SAPBEXHLevel1 7 2 2" xfId="47891"/>
    <cellStyle name="SAPBEXHLevel1 7 2 2 2" xfId="47892"/>
    <cellStyle name="SAPBEXHLevel1 7 2 3" xfId="47893"/>
    <cellStyle name="SAPBEXHLevel1 7 2 3 2" xfId="47894"/>
    <cellStyle name="SAPBEXHLevel1 7 2 3 2 2" xfId="47895"/>
    <cellStyle name="SAPBEXHLevel1 7 2 3 3" xfId="47896"/>
    <cellStyle name="SAPBEXHLevel1 7 2 4" xfId="47897"/>
    <cellStyle name="SAPBEXHLevel1 7 3" xfId="47898"/>
    <cellStyle name="SAPBEXHLevel1 7 3 2" xfId="47899"/>
    <cellStyle name="SAPBEXHLevel1 7 3 2 2" xfId="47900"/>
    <cellStyle name="SAPBEXHLevel1 7 3 3" xfId="47901"/>
    <cellStyle name="SAPBEXHLevel1 7 4" xfId="47902"/>
    <cellStyle name="SAPBEXHLevel1 7 4 2" xfId="47903"/>
    <cellStyle name="SAPBEXHLevel1 7 4 2 2" xfId="47904"/>
    <cellStyle name="SAPBEXHLevel1 7 4 3" xfId="47905"/>
    <cellStyle name="SAPBEXHLevel1 7 5" xfId="47906"/>
    <cellStyle name="SAPBEXHLevel1 7 5 2" xfId="47907"/>
    <cellStyle name="SAPBEXHLevel1 7 5 2 2" xfId="47908"/>
    <cellStyle name="SAPBEXHLevel1 7 5 3" xfId="47909"/>
    <cellStyle name="SAPBEXHLevel1 7 6" xfId="47910"/>
    <cellStyle name="SAPBEXHLevel1 8" xfId="47911"/>
    <cellStyle name="SAPBEXHLevel1 8 2" xfId="47912"/>
    <cellStyle name="SAPBEXHLevel1 8 2 2" xfId="47913"/>
    <cellStyle name="SAPBEXHLevel1 8 3" xfId="47914"/>
    <cellStyle name="SAPBEXHLevel1 9" xfId="47915"/>
    <cellStyle name="SAPBEXHLevel1 9 2" xfId="47916"/>
    <cellStyle name="SAPBEXHLevel1 9 2 2" xfId="47917"/>
    <cellStyle name="SAPBEXHLevel1 9 3" xfId="47918"/>
    <cellStyle name="SAPBEXHLevel1X" xfId="62"/>
    <cellStyle name="SAPBEXHLevel1X 10" xfId="47919"/>
    <cellStyle name="SAPBEXHLevel1X 10 2" xfId="47920"/>
    <cellStyle name="SAPBEXHLevel1X 10 2 2" xfId="47921"/>
    <cellStyle name="SAPBEXHLevel1X 10 3" xfId="47922"/>
    <cellStyle name="SAPBEXHLevel1X 11" xfId="47923"/>
    <cellStyle name="SAPBEXHLevel1X 11 2" xfId="47924"/>
    <cellStyle name="SAPBEXHLevel1X 11 2 2" xfId="47925"/>
    <cellStyle name="SAPBEXHLevel1X 11 3" xfId="47926"/>
    <cellStyle name="SAPBEXHLevel1X 12" xfId="47927"/>
    <cellStyle name="SAPBEXHLevel1X 12 2" xfId="47928"/>
    <cellStyle name="SAPBEXHLevel1X 12 2 2" xfId="47929"/>
    <cellStyle name="SAPBEXHLevel1X 12 3" xfId="47930"/>
    <cellStyle name="SAPBEXHLevel1X 13" xfId="47931"/>
    <cellStyle name="SAPBEXHLevel1X 13 2" xfId="47932"/>
    <cellStyle name="SAPBEXHLevel1X 13 2 2" xfId="47933"/>
    <cellStyle name="SAPBEXHLevel1X 13 3" xfId="47934"/>
    <cellStyle name="SAPBEXHLevel1X 14" xfId="47935"/>
    <cellStyle name="SAPBEXHLevel1X 14 2" xfId="47936"/>
    <cellStyle name="SAPBEXHLevel1X 15" xfId="47937"/>
    <cellStyle name="SAPBEXHLevel1X 15 2" xfId="47938"/>
    <cellStyle name="SAPBEXHLevel1X 15 2 2" xfId="47939"/>
    <cellStyle name="SAPBEXHLevel1X 15 3" xfId="47940"/>
    <cellStyle name="SAPBEXHLevel1X 15 3 2" xfId="47941"/>
    <cellStyle name="SAPBEXHLevel1X 15 4" xfId="47942"/>
    <cellStyle name="SAPBEXHLevel1X 16" xfId="47943"/>
    <cellStyle name="SAPBEXHLevel1X 16 2" xfId="47944"/>
    <cellStyle name="SAPBEXHLevel1X 17" xfId="47945"/>
    <cellStyle name="SAPBEXHLevel1X 17 2" xfId="47946"/>
    <cellStyle name="SAPBEXHLevel1X 17 3" xfId="47947"/>
    <cellStyle name="SAPBEXHLevel1X 18" xfId="47948"/>
    <cellStyle name="SAPBEXHLevel1X 18 2" xfId="47949"/>
    <cellStyle name="SAPBEXHLevel1X 19" xfId="47950"/>
    <cellStyle name="SAPBEXHLevel1X 19 2" xfId="47951"/>
    <cellStyle name="SAPBEXHLevel1X 2" xfId="86"/>
    <cellStyle name="SAPBEXHLevel1X 2 2" xfId="47952"/>
    <cellStyle name="SAPBEXHLevel1X 2 2 2" xfId="47953"/>
    <cellStyle name="SAPBEXHLevel1X 2 2 2 2" xfId="47954"/>
    <cellStyle name="SAPBEXHLevel1X 2 2 2 2 2" xfId="47955"/>
    <cellStyle name="SAPBEXHLevel1X 2 2 2 3" xfId="47956"/>
    <cellStyle name="SAPBEXHLevel1X 2 2 3" xfId="47957"/>
    <cellStyle name="SAPBEXHLevel1X 2 2 3 2" xfId="47958"/>
    <cellStyle name="SAPBEXHLevel1X 2 2 3 2 2" xfId="47959"/>
    <cellStyle name="SAPBEXHLevel1X 2 2 3 3" xfId="47960"/>
    <cellStyle name="SAPBEXHLevel1X 2 2 4" xfId="47961"/>
    <cellStyle name="SAPBEXHLevel1X 2 2 4 2" xfId="47962"/>
    <cellStyle name="SAPBEXHLevel1X 2 2 4 2 2" xfId="47963"/>
    <cellStyle name="SAPBEXHLevel1X 2 2 4 3" xfId="47964"/>
    <cellStyle name="SAPBEXHLevel1X 2 2 5" xfId="47965"/>
    <cellStyle name="SAPBEXHLevel1X 2 2 5 2" xfId="47966"/>
    <cellStyle name="SAPBEXHLevel1X 2 2 6" xfId="47967"/>
    <cellStyle name="SAPBEXHLevel1X 2 3" xfId="47968"/>
    <cellStyle name="SAPBEXHLevel1X 2 3 2" xfId="47969"/>
    <cellStyle name="SAPBEXHLevel1X 2 3 2 2" xfId="47970"/>
    <cellStyle name="SAPBEXHLevel1X 2 3 2 2 2" xfId="47971"/>
    <cellStyle name="SAPBEXHLevel1X 2 3 2 2 2 2" xfId="47972"/>
    <cellStyle name="SAPBEXHLevel1X 2 3 2 2 3" xfId="47973"/>
    <cellStyle name="SAPBEXHLevel1X 2 3 2 3" xfId="47974"/>
    <cellStyle name="SAPBEXHLevel1X 2 3 2 3 2" xfId="47975"/>
    <cellStyle name="SAPBEXHLevel1X 2 3 2 3 2 2" xfId="47976"/>
    <cellStyle name="SAPBEXHLevel1X 2 3 2 3 3" xfId="47977"/>
    <cellStyle name="SAPBEXHLevel1X 2 3 2 4" xfId="47978"/>
    <cellStyle name="SAPBEXHLevel1X 2 3 2 4 2" xfId="47979"/>
    <cellStyle name="SAPBEXHLevel1X 2 3 2 5" xfId="47980"/>
    <cellStyle name="SAPBEXHLevel1X 2 3 3" xfId="47981"/>
    <cellStyle name="SAPBEXHLevel1X 2 3 3 2" xfId="47982"/>
    <cellStyle name="SAPBEXHLevel1X 2 3 3 2 2" xfId="47983"/>
    <cellStyle name="SAPBEXHLevel1X 2 3 3 2 2 2" xfId="47984"/>
    <cellStyle name="SAPBEXHLevel1X 2 3 3 2 3" xfId="47985"/>
    <cellStyle name="SAPBEXHLevel1X 2 3 3 3" xfId="47986"/>
    <cellStyle name="SAPBEXHLevel1X 2 3 3 3 2" xfId="47987"/>
    <cellStyle name="SAPBEXHLevel1X 2 3 3 4" xfId="47988"/>
    <cellStyle name="SAPBEXHLevel1X 2 3 4" xfId="47989"/>
    <cellStyle name="SAPBEXHLevel1X 2 3 4 2" xfId="47990"/>
    <cellStyle name="SAPBEXHLevel1X 2 3 4 2 2" xfId="47991"/>
    <cellStyle name="SAPBEXHLevel1X 2 3 4 3" xfId="47992"/>
    <cellStyle name="SAPBEXHLevel1X 2 3 5" xfId="47993"/>
    <cellStyle name="SAPBEXHLevel1X 2 3 5 2" xfId="47994"/>
    <cellStyle name="SAPBEXHLevel1X 2 3 5 2 2" xfId="47995"/>
    <cellStyle name="SAPBEXHLevel1X 2 3 5 3" xfId="47996"/>
    <cellStyle name="SAPBEXHLevel1X 2 3 6" xfId="47997"/>
    <cellStyle name="SAPBEXHLevel1X 2 3 6 2" xfId="47998"/>
    <cellStyle name="SAPBEXHLevel1X 2 3 7" xfId="47999"/>
    <cellStyle name="SAPBEXHLevel1X 2 4" xfId="48000"/>
    <cellStyle name="SAPBEXHLevel1X 2 4 2" xfId="48001"/>
    <cellStyle name="SAPBEXHLevel1X 2 4 2 2" xfId="48002"/>
    <cellStyle name="SAPBEXHLevel1X 2 4 2 2 2" xfId="48003"/>
    <cellStyle name="SAPBEXHLevel1X 2 4 2 2 2 2" xfId="48004"/>
    <cellStyle name="SAPBEXHLevel1X 2 4 2 2 3" xfId="48005"/>
    <cellStyle name="SAPBEXHLevel1X 2 4 2 3" xfId="48006"/>
    <cellStyle name="SAPBEXHLevel1X 2 4 2 3 2" xfId="48007"/>
    <cellStyle name="SAPBEXHLevel1X 2 4 2 3 2 2" xfId="48008"/>
    <cellStyle name="SAPBEXHLevel1X 2 4 2 3 3" xfId="48009"/>
    <cellStyle name="SAPBEXHLevel1X 2 4 2 4" xfId="48010"/>
    <cellStyle name="SAPBEXHLevel1X 2 4 2 4 2" xfId="48011"/>
    <cellStyle name="SAPBEXHLevel1X 2 4 2 5" xfId="48012"/>
    <cellStyle name="SAPBEXHLevel1X 2 4 3" xfId="48013"/>
    <cellStyle name="SAPBEXHLevel1X 2 4 3 2" xfId="48014"/>
    <cellStyle name="SAPBEXHLevel1X 2 4 3 2 2" xfId="48015"/>
    <cellStyle name="SAPBEXHLevel1X 2 4 3 2 2 2" xfId="48016"/>
    <cellStyle name="SAPBEXHLevel1X 2 4 3 2 3" xfId="48017"/>
    <cellStyle name="SAPBEXHLevel1X 2 4 3 3" xfId="48018"/>
    <cellStyle name="SAPBEXHLevel1X 2 4 3 3 2" xfId="48019"/>
    <cellStyle name="SAPBEXHLevel1X 2 4 3 4" xfId="48020"/>
    <cellStyle name="SAPBEXHLevel1X 2 4 4" xfId="48021"/>
    <cellStyle name="SAPBEXHLevel1X 2 4 4 2" xfId="48022"/>
    <cellStyle name="SAPBEXHLevel1X 2 4 4 2 2" xfId="48023"/>
    <cellStyle name="SAPBEXHLevel1X 2 4 4 3" xfId="48024"/>
    <cellStyle name="SAPBEXHLevel1X 2 4 5" xfId="48025"/>
    <cellStyle name="SAPBEXHLevel1X 2 4 5 2" xfId="48026"/>
    <cellStyle name="SAPBEXHLevel1X 2 4 6" xfId="48027"/>
    <cellStyle name="SAPBEXHLevel1X 2 5" xfId="48028"/>
    <cellStyle name="SAPBEXHLevel1X 2 5 2" xfId="48029"/>
    <cellStyle name="SAPBEXHLevel1X 2 5 2 2" xfId="48030"/>
    <cellStyle name="SAPBEXHLevel1X 2 5 2 2 2" xfId="48031"/>
    <cellStyle name="SAPBEXHLevel1X 2 5 2 3" xfId="48032"/>
    <cellStyle name="SAPBEXHLevel1X 2 5 3" xfId="48033"/>
    <cellStyle name="SAPBEXHLevel1X 2 5 3 2" xfId="48034"/>
    <cellStyle name="SAPBEXHLevel1X 2 5 4" xfId="48035"/>
    <cellStyle name="SAPBEXHLevel1X 2 6" xfId="48036"/>
    <cellStyle name="SAPBEXHLevel1X 2 6 2" xfId="48037"/>
    <cellStyle name="SAPBEXHLevel1X 2 6 2 2" xfId="48038"/>
    <cellStyle name="SAPBEXHLevel1X 2 6 3" xfId="48039"/>
    <cellStyle name="SAPBEXHLevel1X 2 7" xfId="48040"/>
    <cellStyle name="SAPBEXHLevel1X 2 7 2" xfId="48041"/>
    <cellStyle name="SAPBEXHLevel1X 2 7 2 2" xfId="48042"/>
    <cellStyle name="SAPBEXHLevel1X 2 7 3" xfId="48043"/>
    <cellStyle name="SAPBEXHLevel1X 2 8" xfId="48044"/>
    <cellStyle name="SAPBEXHLevel1X 2 8 2" xfId="48045"/>
    <cellStyle name="SAPBEXHLevel1X 2 9" xfId="48046"/>
    <cellStyle name="SAPBEXHLevel1X 20" xfId="48047"/>
    <cellStyle name="SAPBEXHLevel1X 21" xfId="48048"/>
    <cellStyle name="SAPBEXHLevel1X 22" xfId="48049"/>
    <cellStyle name="SAPBEXHLevel1X 23" xfId="48050"/>
    <cellStyle name="SAPBEXHLevel1X 3" xfId="48051"/>
    <cellStyle name="SAPBEXHLevel1X 3 2" xfId="48052"/>
    <cellStyle name="SAPBEXHLevel1X 3 2 2" xfId="48053"/>
    <cellStyle name="SAPBEXHLevel1X 3 2 2 2" xfId="48054"/>
    <cellStyle name="SAPBEXHLevel1X 3 2 2 2 2" xfId="48055"/>
    <cellStyle name="SAPBEXHLevel1X 3 2 2 3" xfId="48056"/>
    <cellStyle name="SAPBEXHLevel1X 3 2 3" xfId="48057"/>
    <cellStyle name="SAPBEXHLevel1X 3 2 3 2" xfId="48058"/>
    <cellStyle name="SAPBEXHLevel1X 3 2 3 2 2" xfId="48059"/>
    <cellStyle name="SAPBEXHLevel1X 3 2 3 3" xfId="48060"/>
    <cellStyle name="SAPBEXHLevel1X 3 2 4" xfId="48061"/>
    <cellStyle name="SAPBEXHLevel1X 3 2 4 2" xfId="48062"/>
    <cellStyle name="SAPBEXHLevel1X 3 2 4 2 2" xfId="48063"/>
    <cellStyle name="SAPBEXHLevel1X 3 2 4 3" xfId="48064"/>
    <cellStyle name="SAPBEXHLevel1X 3 2 5" xfId="48065"/>
    <cellStyle name="SAPBEXHLevel1X 3 2 5 2" xfId="48066"/>
    <cellStyle name="SAPBEXHLevel1X 3 2 6" xfId="48067"/>
    <cellStyle name="SAPBEXHLevel1X 3 3" xfId="48068"/>
    <cellStyle name="SAPBEXHLevel1X 3 3 2" xfId="48069"/>
    <cellStyle name="SAPBEXHLevel1X 3 3 2 2" xfId="48070"/>
    <cellStyle name="SAPBEXHLevel1X 3 3 2 2 2" xfId="48071"/>
    <cellStyle name="SAPBEXHLevel1X 3 3 2 3" xfId="48072"/>
    <cellStyle name="SAPBEXHLevel1X 3 3 3" xfId="48073"/>
    <cellStyle name="SAPBEXHLevel1X 3 3 3 2" xfId="48074"/>
    <cellStyle name="SAPBEXHLevel1X 3 3 4" xfId="48075"/>
    <cellStyle name="SAPBEXHLevel1X 3 4" xfId="48076"/>
    <cellStyle name="SAPBEXHLevel1X 3 4 2" xfId="48077"/>
    <cellStyle name="SAPBEXHLevel1X 3 4 2 2" xfId="48078"/>
    <cellStyle name="SAPBEXHLevel1X 3 4 3" xfId="48079"/>
    <cellStyle name="SAPBEXHLevel1X 3 5" xfId="48080"/>
    <cellStyle name="SAPBEXHLevel1X 3 5 2" xfId="48081"/>
    <cellStyle name="SAPBEXHLevel1X 3 5 2 2" xfId="48082"/>
    <cellStyle name="SAPBEXHLevel1X 3 5 3" xfId="48083"/>
    <cellStyle name="SAPBEXHLevel1X 3 6" xfId="48084"/>
    <cellStyle name="SAPBEXHLevel1X 3 6 2" xfId="48085"/>
    <cellStyle name="SAPBEXHLevel1X 3 7" xfId="48086"/>
    <cellStyle name="SAPBEXHLevel1X 4" xfId="48087"/>
    <cellStyle name="SAPBEXHLevel1X 4 2" xfId="48088"/>
    <cellStyle name="SAPBEXHLevel1X 4 2 2" xfId="48089"/>
    <cellStyle name="SAPBEXHLevel1X 4 2 2 2" xfId="48090"/>
    <cellStyle name="SAPBEXHLevel1X 4 2 2 2 2" xfId="48091"/>
    <cellStyle name="SAPBEXHLevel1X 4 2 2 3" xfId="48092"/>
    <cellStyle name="SAPBEXHLevel1X 4 2 3" xfId="48093"/>
    <cellStyle name="SAPBEXHLevel1X 4 2 3 2" xfId="48094"/>
    <cellStyle name="SAPBEXHLevel1X 4 2 3 2 2" xfId="48095"/>
    <cellStyle name="SAPBEXHLevel1X 4 2 3 3" xfId="48096"/>
    <cellStyle name="SAPBEXHLevel1X 4 2 4" xfId="48097"/>
    <cellStyle name="SAPBEXHLevel1X 4 2 4 2" xfId="48098"/>
    <cellStyle name="SAPBEXHLevel1X 4 2 4 2 2" xfId="48099"/>
    <cellStyle name="SAPBEXHLevel1X 4 2 4 3" xfId="48100"/>
    <cellStyle name="SAPBEXHLevel1X 4 2 5" xfId="48101"/>
    <cellStyle name="SAPBEXHLevel1X 4 2 5 2" xfId="48102"/>
    <cellStyle name="SAPBEXHLevel1X 4 2 6" xfId="48103"/>
    <cellStyle name="SAPBEXHLevel1X 4 3" xfId="48104"/>
    <cellStyle name="SAPBEXHLevel1X 4 3 2" xfId="48105"/>
    <cellStyle name="SAPBEXHLevel1X 4 3 2 2" xfId="48106"/>
    <cellStyle name="SAPBEXHLevel1X 4 3 2 2 2" xfId="48107"/>
    <cellStyle name="SAPBEXHLevel1X 4 3 2 2 2 2" xfId="48108"/>
    <cellStyle name="SAPBEXHLevel1X 4 3 2 2 3" xfId="48109"/>
    <cellStyle name="SAPBEXHLevel1X 4 3 2 3" xfId="48110"/>
    <cellStyle name="SAPBEXHLevel1X 4 3 2 3 2" xfId="48111"/>
    <cellStyle name="SAPBEXHLevel1X 4 3 2 3 2 2" xfId="48112"/>
    <cellStyle name="SAPBEXHLevel1X 4 3 2 3 3" xfId="48113"/>
    <cellStyle name="SAPBEXHLevel1X 4 3 2 4" xfId="48114"/>
    <cellStyle name="SAPBEXHLevel1X 4 3 2 4 2" xfId="48115"/>
    <cellStyle name="SAPBEXHLevel1X 4 3 2 5" xfId="48116"/>
    <cellStyle name="SAPBEXHLevel1X 4 3 3" xfId="48117"/>
    <cellStyle name="SAPBEXHLevel1X 4 3 3 2" xfId="48118"/>
    <cellStyle name="SAPBEXHLevel1X 4 3 3 2 2" xfId="48119"/>
    <cellStyle name="SAPBEXHLevel1X 4 3 3 2 2 2" xfId="48120"/>
    <cellStyle name="SAPBEXHLevel1X 4 3 3 2 3" xfId="48121"/>
    <cellStyle name="SAPBEXHLevel1X 4 3 3 3" xfId="48122"/>
    <cellStyle name="SAPBEXHLevel1X 4 3 3 3 2" xfId="48123"/>
    <cellStyle name="SAPBEXHLevel1X 4 3 3 4" xfId="48124"/>
    <cellStyle name="SAPBEXHLevel1X 4 3 4" xfId="48125"/>
    <cellStyle name="SAPBEXHLevel1X 4 3 4 2" xfId="48126"/>
    <cellStyle name="SAPBEXHLevel1X 4 3 4 2 2" xfId="48127"/>
    <cellStyle name="SAPBEXHLevel1X 4 3 4 3" xfId="48128"/>
    <cellStyle name="SAPBEXHLevel1X 4 3 5" xfId="48129"/>
    <cellStyle name="SAPBEXHLevel1X 4 3 5 2" xfId="48130"/>
    <cellStyle name="SAPBEXHLevel1X 4 3 5 2 2" xfId="48131"/>
    <cellStyle name="SAPBEXHLevel1X 4 3 5 3" xfId="48132"/>
    <cellStyle name="SAPBEXHLevel1X 4 3 6" xfId="48133"/>
    <cellStyle name="SAPBEXHLevel1X 4 3 6 2" xfId="48134"/>
    <cellStyle name="SAPBEXHLevel1X 4 3 7" xfId="48135"/>
    <cellStyle name="SAPBEXHLevel1X 4 4" xfId="48136"/>
    <cellStyle name="SAPBEXHLevel1X 4 4 2" xfId="48137"/>
    <cellStyle name="SAPBEXHLevel1X 4 4 2 2" xfId="48138"/>
    <cellStyle name="SAPBEXHLevel1X 4 4 2 2 2" xfId="48139"/>
    <cellStyle name="SAPBEXHLevel1X 4 4 2 3" xfId="48140"/>
    <cellStyle name="SAPBEXHLevel1X 4 4 3" xfId="48141"/>
    <cellStyle name="SAPBEXHLevel1X 4 4 3 2" xfId="48142"/>
    <cellStyle name="SAPBEXHLevel1X 4 4 4" xfId="48143"/>
    <cellStyle name="SAPBEXHLevel1X 4 5" xfId="48144"/>
    <cellStyle name="SAPBEXHLevel1X 4 5 2" xfId="48145"/>
    <cellStyle name="SAPBEXHLevel1X 4 5 2 2" xfId="48146"/>
    <cellStyle name="SAPBEXHLevel1X 4 5 3" xfId="48147"/>
    <cellStyle name="SAPBEXHLevel1X 4 6" xfId="48148"/>
    <cellStyle name="SAPBEXHLevel1X 4 6 2" xfId="48149"/>
    <cellStyle name="SAPBEXHLevel1X 4 6 2 2" xfId="48150"/>
    <cellStyle name="SAPBEXHLevel1X 4 6 3" xfId="48151"/>
    <cellStyle name="SAPBEXHLevel1X 4 7" xfId="48152"/>
    <cellStyle name="SAPBEXHLevel1X 4 7 2" xfId="48153"/>
    <cellStyle name="SAPBEXHLevel1X 4 8" xfId="48154"/>
    <cellStyle name="SAPBEXHLevel1X 5" xfId="48155"/>
    <cellStyle name="SAPBEXHLevel1X 5 2" xfId="48156"/>
    <cellStyle name="SAPBEXHLevel1X 5 2 2" xfId="48157"/>
    <cellStyle name="SAPBEXHLevel1X 5 2 2 2" xfId="48158"/>
    <cellStyle name="SAPBEXHLevel1X 5 2 3" xfId="48159"/>
    <cellStyle name="SAPBEXHLevel1X 5 3" xfId="48160"/>
    <cellStyle name="SAPBEXHLevel1X 5 3 2" xfId="48161"/>
    <cellStyle name="SAPBEXHLevel1X 5 3 2 2" xfId="48162"/>
    <cellStyle name="SAPBEXHLevel1X 5 3 3" xfId="48163"/>
    <cellStyle name="SAPBEXHLevel1X 5 4" xfId="48164"/>
    <cellStyle name="SAPBEXHLevel1X 5 4 2" xfId="48165"/>
    <cellStyle name="SAPBEXHLevel1X 5 4 2 2" xfId="48166"/>
    <cellStyle name="SAPBEXHLevel1X 5 4 3" xfId="48167"/>
    <cellStyle name="SAPBEXHLevel1X 5 5" xfId="48168"/>
    <cellStyle name="SAPBEXHLevel1X 5 5 2" xfId="48169"/>
    <cellStyle name="SAPBEXHLevel1X 5 6" xfId="48170"/>
    <cellStyle name="SAPBEXHLevel1X 6" xfId="48171"/>
    <cellStyle name="SAPBEXHLevel1X 6 2" xfId="48172"/>
    <cellStyle name="SAPBEXHLevel1X 6 2 2" xfId="48173"/>
    <cellStyle name="SAPBEXHLevel1X 6 3" xfId="48174"/>
    <cellStyle name="SAPBEXHLevel1X 6 3 2" xfId="48175"/>
    <cellStyle name="SAPBEXHLevel1X 6 3 2 2" xfId="48176"/>
    <cellStyle name="SAPBEXHLevel1X 6 3 3" xfId="48177"/>
    <cellStyle name="SAPBEXHLevel1X 6 4" xfId="48178"/>
    <cellStyle name="SAPBEXHLevel1X 6 4 2" xfId="48179"/>
    <cellStyle name="SAPBEXHLevel1X 6 4 2 2" xfId="48180"/>
    <cellStyle name="SAPBEXHLevel1X 6 4 3" xfId="48181"/>
    <cellStyle name="SAPBEXHLevel1X 6 5" xfId="48182"/>
    <cellStyle name="SAPBEXHLevel1X 7" xfId="48183"/>
    <cellStyle name="SAPBEXHLevel1X 7 2" xfId="48184"/>
    <cellStyle name="SAPBEXHLevel1X 7 2 2" xfId="48185"/>
    <cellStyle name="SAPBEXHLevel1X 7 2 2 2" xfId="48186"/>
    <cellStyle name="SAPBEXHLevel1X 7 2 3" xfId="48187"/>
    <cellStyle name="SAPBEXHLevel1X 7 2 3 2" xfId="48188"/>
    <cellStyle name="SAPBEXHLevel1X 7 2 3 2 2" xfId="48189"/>
    <cellStyle name="SAPBEXHLevel1X 7 2 3 3" xfId="48190"/>
    <cellStyle name="SAPBEXHLevel1X 7 2 4" xfId="48191"/>
    <cellStyle name="SAPBEXHLevel1X 7 3" xfId="48192"/>
    <cellStyle name="SAPBEXHLevel1X 7 3 2" xfId="48193"/>
    <cellStyle name="SAPBEXHLevel1X 7 3 2 2" xfId="48194"/>
    <cellStyle name="SAPBEXHLevel1X 7 3 3" xfId="48195"/>
    <cellStyle name="SAPBEXHLevel1X 7 4" xfId="48196"/>
    <cellStyle name="SAPBEXHLevel1X 7 4 2" xfId="48197"/>
    <cellStyle name="SAPBEXHLevel1X 7 4 2 2" xfId="48198"/>
    <cellStyle name="SAPBEXHLevel1X 7 4 3" xfId="48199"/>
    <cellStyle name="SAPBEXHLevel1X 7 5" xfId="48200"/>
    <cellStyle name="SAPBEXHLevel1X 7 5 2" xfId="48201"/>
    <cellStyle name="SAPBEXHLevel1X 7 5 2 2" xfId="48202"/>
    <cellStyle name="SAPBEXHLevel1X 7 5 3" xfId="48203"/>
    <cellStyle name="SAPBEXHLevel1X 7 6" xfId="48204"/>
    <cellStyle name="SAPBEXHLevel1X 8" xfId="48205"/>
    <cellStyle name="SAPBEXHLevel1X 8 2" xfId="48206"/>
    <cellStyle name="SAPBEXHLevel1X 8 2 2" xfId="48207"/>
    <cellStyle name="SAPBEXHLevel1X 8 2 2 2" xfId="48208"/>
    <cellStyle name="SAPBEXHLevel1X 8 2 3" xfId="48209"/>
    <cellStyle name="SAPBEXHLevel1X 8 3" xfId="48210"/>
    <cellStyle name="SAPBEXHLevel1X 8 3 2" xfId="48211"/>
    <cellStyle name="SAPBEXHLevel1X 8 3 2 2" xfId="48212"/>
    <cellStyle name="SAPBEXHLevel1X 8 3 3" xfId="48213"/>
    <cellStyle name="SAPBEXHLevel1X 8 4" xfId="48214"/>
    <cellStyle name="SAPBEXHLevel1X 8 4 2" xfId="48215"/>
    <cellStyle name="SAPBEXHLevel1X 8 5" xfId="48216"/>
    <cellStyle name="SAPBEXHLevel1X 9" xfId="48217"/>
    <cellStyle name="SAPBEXHLevel1X 9 2" xfId="48218"/>
    <cellStyle name="SAPBEXHLevel1X 9 2 2" xfId="48219"/>
    <cellStyle name="SAPBEXHLevel1X 9 2 2 2" xfId="48220"/>
    <cellStyle name="SAPBEXHLevel1X 9 2 2 2 2" xfId="48221"/>
    <cellStyle name="SAPBEXHLevel1X 9 2 2 3" xfId="48222"/>
    <cellStyle name="SAPBEXHLevel1X 9 2 3" xfId="48223"/>
    <cellStyle name="SAPBEXHLevel1X 9 2 3 2" xfId="48224"/>
    <cellStyle name="SAPBEXHLevel1X 9 2 4" xfId="48225"/>
    <cellStyle name="SAPBEXHLevel1X 9 3" xfId="48226"/>
    <cellStyle name="SAPBEXHLevel1X 9 3 2" xfId="48227"/>
    <cellStyle name="SAPBEXHLevel1X 9 3 2 2" xfId="48228"/>
    <cellStyle name="SAPBEXHLevel1X 9 3 2 2 2" xfId="48229"/>
    <cellStyle name="SAPBEXHLevel1X 9 3 2 2 2 2" xfId="48230"/>
    <cellStyle name="SAPBEXHLevel1X 9 3 2 2 3" xfId="48231"/>
    <cellStyle name="SAPBEXHLevel1X 9 3 2 3" xfId="48232"/>
    <cellStyle name="SAPBEXHLevel1X 9 3 2 3 2" xfId="48233"/>
    <cellStyle name="SAPBEXHLevel1X 9 3 2 4" xfId="48234"/>
    <cellStyle name="SAPBEXHLevel1X 9 3 3" xfId="48235"/>
    <cellStyle name="SAPBEXHLevel1X 9 3 3 2" xfId="48236"/>
    <cellStyle name="SAPBEXHLevel1X 9 3 3 2 2" xfId="48237"/>
    <cellStyle name="SAPBEXHLevel1X 9 3 3 3" xfId="48238"/>
    <cellStyle name="SAPBEXHLevel1X 9 3 4" xfId="48239"/>
    <cellStyle name="SAPBEXHLevel1X 9 3 4 2" xfId="48240"/>
    <cellStyle name="SAPBEXHLevel1X 9 3 5" xfId="48241"/>
    <cellStyle name="SAPBEXHLevel1X 9 4" xfId="48242"/>
    <cellStyle name="SAPBEXHLevel1X 9 4 2" xfId="48243"/>
    <cellStyle name="SAPBEXHLevel1X 9 4 2 2" xfId="48244"/>
    <cellStyle name="SAPBEXHLevel1X 9 4 3" xfId="48245"/>
    <cellStyle name="SAPBEXHLevel1X 9 5" xfId="48246"/>
    <cellStyle name="SAPBEXHLevel1X 9 5 2" xfId="48247"/>
    <cellStyle name="SAPBEXHLevel1X 9 5 2 2" xfId="48248"/>
    <cellStyle name="SAPBEXHLevel1X 9 5 3" xfId="48249"/>
    <cellStyle name="SAPBEXHLevel1X 9 6" xfId="48250"/>
    <cellStyle name="SAPBEXHLevel1X 9 6 2" xfId="48251"/>
    <cellStyle name="SAPBEXHLevel1X 9 7" xfId="48252"/>
    <cellStyle name="SAPBEXHLevel2" xfId="63"/>
    <cellStyle name="SAPBEXHLevel2 10" xfId="48253"/>
    <cellStyle name="SAPBEXHLevel2 10 2" xfId="48254"/>
    <cellStyle name="SAPBEXHLevel2 10 2 2" xfId="48255"/>
    <cellStyle name="SAPBEXHLevel2 10 3" xfId="48256"/>
    <cellStyle name="SAPBEXHLevel2 11" xfId="48257"/>
    <cellStyle name="SAPBEXHLevel2 11 2" xfId="48258"/>
    <cellStyle name="SAPBEXHLevel2 12" xfId="48259"/>
    <cellStyle name="SAPBEXHLevel2 12 2" xfId="48260"/>
    <cellStyle name="SAPBEXHLevel2 12 2 2" xfId="48261"/>
    <cellStyle name="SAPBEXHLevel2 12 3" xfId="48262"/>
    <cellStyle name="SAPBEXHLevel2 12 3 2" xfId="48263"/>
    <cellStyle name="SAPBEXHLevel2 12 4" xfId="48264"/>
    <cellStyle name="SAPBEXHLevel2 13" xfId="48265"/>
    <cellStyle name="SAPBEXHLevel2 13 2" xfId="48266"/>
    <cellStyle name="SAPBEXHLevel2 14" xfId="48267"/>
    <cellStyle name="SAPBEXHLevel2 14 2" xfId="48268"/>
    <cellStyle name="SAPBEXHLevel2 14 3" xfId="48269"/>
    <cellStyle name="SAPBEXHLevel2 15" xfId="48270"/>
    <cellStyle name="SAPBEXHLevel2 15 2" xfId="48271"/>
    <cellStyle name="SAPBEXHLevel2 16" xfId="48272"/>
    <cellStyle name="SAPBEXHLevel2 16 2" xfId="48273"/>
    <cellStyle name="SAPBEXHLevel2 17" xfId="48274"/>
    <cellStyle name="SAPBEXHLevel2 18" xfId="48275"/>
    <cellStyle name="SAPBEXHLevel2 2" xfId="87"/>
    <cellStyle name="SAPBEXHLevel2 2 2" xfId="48276"/>
    <cellStyle name="SAPBEXHLevel2 2 2 2" xfId="48277"/>
    <cellStyle name="SAPBEXHLevel2 2 2 2 2" xfId="48278"/>
    <cellStyle name="SAPBEXHLevel2 2 2 2 2 2" xfId="48279"/>
    <cellStyle name="SAPBEXHLevel2 2 2 2 3" xfId="48280"/>
    <cellStyle name="SAPBEXHLevel2 2 2 3" xfId="48281"/>
    <cellStyle name="SAPBEXHLevel2 2 2 3 2" xfId="48282"/>
    <cellStyle name="SAPBEXHLevel2 2 2 3 2 2" xfId="48283"/>
    <cellStyle name="SAPBEXHLevel2 2 2 3 3" xfId="48284"/>
    <cellStyle name="SAPBEXHLevel2 2 2 4" xfId="48285"/>
    <cellStyle name="SAPBEXHLevel2 2 2 4 2" xfId="48286"/>
    <cellStyle name="SAPBEXHLevel2 2 2 4 2 2" xfId="48287"/>
    <cellStyle name="SAPBEXHLevel2 2 2 4 3" xfId="48288"/>
    <cellStyle name="SAPBEXHLevel2 2 2 5" xfId="48289"/>
    <cellStyle name="SAPBEXHLevel2 2 2 5 2" xfId="48290"/>
    <cellStyle name="SAPBEXHLevel2 2 2 6" xfId="48291"/>
    <cellStyle name="SAPBEXHLevel2 2 3" xfId="48292"/>
    <cellStyle name="SAPBEXHLevel2 2 3 2" xfId="48293"/>
    <cellStyle name="SAPBEXHLevel2 2 3 2 2" xfId="48294"/>
    <cellStyle name="SAPBEXHLevel2 2 3 2 2 2" xfId="48295"/>
    <cellStyle name="SAPBEXHLevel2 2 3 2 2 2 2" xfId="48296"/>
    <cellStyle name="SAPBEXHLevel2 2 3 2 2 3" xfId="48297"/>
    <cellStyle name="SAPBEXHLevel2 2 3 2 3" xfId="48298"/>
    <cellStyle name="SAPBEXHLevel2 2 3 2 3 2" xfId="48299"/>
    <cellStyle name="SAPBEXHLevel2 2 3 2 3 2 2" xfId="48300"/>
    <cellStyle name="SAPBEXHLevel2 2 3 2 3 3" xfId="48301"/>
    <cellStyle name="SAPBEXHLevel2 2 3 2 4" xfId="48302"/>
    <cellStyle name="SAPBEXHLevel2 2 3 2 4 2" xfId="48303"/>
    <cellStyle name="SAPBEXHLevel2 2 3 2 5" xfId="48304"/>
    <cellStyle name="SAPBEXHLevel2 2 3 3" xfId="48305"/>
    <cellStyle name="SAPBEXHLevel2 2 3 3 2" xfId="48306"/>
    <cellStyle name="SAPBEXHLevel2 2 3 3 2 2" xfId="48307"/>
    <cellStyle name="SAPBEXHLevel2 2 3 3 2 2 2" xfId="48308"/>
    <cellStyle name="SAPBEXHLevel2 2 3 3 2 3" xfId="48309"/>
    <cellStyle name="SAPBEXHLevel2 2 3 3 3" xfId="48310"/>
    <cellStyle name="SAPBEXHLevel2 2 3 3 3 2" xfId="48311"/>
    <cellStyle name="SAPBEXHLevel2 2 3 3 4" xfId="48312"/>
    <cellStyle name="SAPBEXHLevel2 2 3 4" xfId="48313"/>
    <cellStyle name="SAPBEXHLevel2 2 3 4 2" xfId="48314"/>
    <cellStyle name="SAPBEXHLevel2 2 3 4 2 2" xfId="48315"/>
    <cellStyle name="SAPBEXHLevel2 2 3 4 3" xfId="48316"/>
    <cellStyle name="SAPBEXHLevel2 2 3 5" xfId="48317"/>
    <cellStyle name="SAPBEXHLevel2 2 3 5 2" xfId="48318"/>
    <cellStyle name="SAPBEXHLevel2 2 3 5 2 2" xfId="48319"/>
    <cellStyle name="SAPBEXHLevel2 2 3 5 3" xfId="48320"/>
    <cellStyle name="SAPBEXHLevel2 2 3 6" xfId="48321"/>
    <cellStyle name="SAPBEXHLevel2 2 3 6 2" xfId="48322"/>
    <cellStyle name="SAPBEXHLevel2 2 3 7" xfId="48323"/>
    <cellStyle name="SAPBEXHLevel2 2 4" xfId="48324"/>
    <cellStyle name="SAPBEXHLevel2 2 4 2" xfId="48325"/>
    <cellStyle name="SAPBEXHLevel2 2 4 2 2" xfId="48326"/>
    <cellStyle name="SAPBEXHLevel2 2 4 2 2 2" xfId="48327"/>
    <cellStyle name="SAPBEXHLevel2 2 4 2 2 2 2" xfId="48328"/>
    <cellStyle name="SAPBEXHLevel2 2 4 2 2 2 2 2" xfId="48329"/>
    <cellStyle name="SAPBEXHLevel2 2 4 2 2 2 2 2 2" xfId="48330"/>
    <cellStyle name="SAPBEXHLevel2 2 4 2 2 2 2 3" xfId="48331"/>
    <cellStyle name="SAPBEXHLevel2 2 4 2 2 2 3" xfId="48332"/>
    <cellStyle name="SAPBEXHLevel2 2 4 2 2 2 3 2" xfId="48333"/>
    <cellStyle name="SAPBEXHLevel2 2 4 2 2 2 4" xfId="48334"/>
    <cellStyle name="SAPBEXHLevel2 2 4 2 2 3" xfId="48335"/>
    <cellStyle name="SAPBEXHLevel2 2 4 2 2 3 2" xfId="48336"/>
    <cellStyle name="SAPBEXHLevel2 2 4 2 2 3 2 2" xfId="48337"/>
    <cellStyle name="SAPBEXHLevel2 2 4 2 2 3 3" xfId="48338"/>
    <cellStyle name="SAPBEXHLevel2 2 4 2 2 4" xfId="48339"/>
    <cellStyle name="SAPBEXHLevel2 2 4 2 2 4 2" xfId="48340"/>
    <cellStyle name="SAPBEXHLevel2 2 4 2 2 5" xfId="48341"/>
    <cellStyle name="SAPBEXHLevel2 2 4 2 3" xfId="48342"/>
    <cellStyle name="SAPBEXHLevel2 2 4 2 3 2" xfId="48343"/>
    <cellStyle name="SAPBEXHLevel2 2 4 2 3 2 2" xfId="48344"/>
    <cellStyle name="SAPBEXHLevel2 2 4 2 3 3" xfId="48345"/>
    <cellStyle name="SAPBEXHLevel2 2 4 2 4" xfId="48346"/>
    <cellStyle name="SAPBEXHLevel2 2 4 2 4 2" xfId="48347"/>
    <cellStyle name="SAPBEXHLevel2 2 4 2 4 2 2" xfId="48348"/>
    <cellStyle name="SAPBEXHLevel2 2 4 2 4 2 2 2" xfId="48349"/>
    <cellStyle name="SAPBEXHLevel2 2 4 2 4 2 3" xfId="48350"/>
    <cellStyle name="SAPBEXHLevel2 2 4 2 4 3" xfId="48351"/>
    <cellStyle name="SAPBEXHLevel2 2 4 2 4 3 2" xfId="48352"/>
    <cellStyle name="SAPBEXHLevel2 2 4 2 4 4" xfId="48353"/>
    <cellStyle name="SAPBEXHLevel2 2 4 2 5" xfId="48354"/>
    <cellStyle name="SAPBEXHLevel2 2 4 2 5 2" xfId="48355"/>
    <cellStyle name="SAPBEXHLevel2 2 4 2 5 2 2" xfId="48356"/>
    <cellStyle name="SAPBEXHLevel2 2 4 2 5 3" xfId="48357"/>
    <cellStyle name="SAPBEXHLevel2 2 4 2 6" xfId="48358"/>
    <cellStyle name="SAPBEXHLevel2 2 4 2 6 2" xfId="48359"/>
    <cellStyle name="SAPBEXHLevel2 2 4 2 7" xfId="48360"/>
    <cellStyle name="SAPBEXHLevel2 2 4 3" xfId="48361"/>
    <cellStyle name="SAPBEXHLevel2 2 4 3 2" xfId="48362"/>
    <cellStyle name="SAPBEXHLevel2 2 4 3 2 2" xfId="48363"/>
    <cellStyle name="SAPBEXHLevel2 2 4 3 2 2 2" xfId="48364"/>
    <cellStyle name="SAPBEXHLevel2 2 4 3 2 2 2 2" xfId="48365"/>
    <cellStyle name="SAPBEXHLevel2 2 4 3 2 2 2 2 2" xfId="48366"/>
    <cellStyle name="SAPBEXHLevel2 2 4 3 2 2 2 3" xfId="48367"/>
    <cellStyle name="SAPBEXHLevel2 2 4 3 2 2 3" xfId="48368"/>
    <cellStyle name="SAPBEXHLevel2 2 4 3 2 2 3 2" xfId="48369"/>
    <cellStyle name="SAPBEXHLevel2 2 4 3 2 2 4" xfId="48370"/>
    <cellStyle name="SAPBEXHLevel2 2 4 3 2 3" xfId="48371"/>
    <cellStyle name="SAPBEXHLevel2 2 4 3 2 3 2" xfId="48372"/>
    <cellStyle name="SAPBEXHLevel2 2 4 3 2 3 2 2" xfId="48373"/>
    <cellStyle name="SAPBEXHLevel2 2 4 3 2 3 3" xfId="48374"/>
    <cellStyle name="SAPBEXHLevel2 2 4 3 2 4" xfId="48375"/>
    <cellStyle name="SAPBEXHLevel2 2 4 3 2 4 2" xfId="48376"/>
    <cellStyle name="SAPBEXHLevel2 2 4 3 2 5" xfId="48377"/>
    <cellStyle name="SAPBEXHLevel2 2 4 3 3" xfId="48378"/>
    <cellStyle name="SAPBEXHLevel2 2 4 3 3 2" xfId="48379"/>
    <cellStyle name="SAPBEXHLevel2 2 4 3 3 2 2" xfId="48380"/>
    <cellStyle name="SAPBEXHLevel2 2 4 3 3 2 2 2" xfId="48381"/>
    <cellStyle name="SAPBEXHLevel2 2 4 3 3 2 3" xfId="48382"/>
    <cellStyle name="SAPBEXHLevel2 2 4 3 3 3" xfId="48383"/>
    <cellStyle name="SAPBEXHLevel2 2 4 3 3 3 2" xfId="48384"/>
    <cellStyle name="SAPBEXHLevel2 2 4 3 3 4" xfId="48385"/>
    <cellStyle name="SAPBEXHLevel2 2 4 3 4" xfId="48386"/>
    <cellStyle name="SAPBEXHLevel2 2 4 3 4 2" xfId="48387"/>
    <cellStyle name="SAPBEXHLevel2 2 4 3 4 2 2" xfId="48388"/>
    <cellStyle name="SAPBEXHLevel2 2 4 3 4 3" xfId="48389"/>
    <cellStyle name="SAPBEXHLevel2 2 4 3 5" xfId="48390"/>
    <cellStyle name="SAPBEXHLevel2 2 4 3 5 2" xfId="48391"/>
    <cellStyle name="SAPBEXHLevel2 2 4 3 6" xfId="48392"/>
    <cellStyle name="SAPBEXHLevel2 2 4 4" xfId="48393"/>
    <cellStyle name="SAPBEXHLevel2 2 4 4 2" xfId="48394"/>
    <cellStyle name="SAPBEXHLevel2 2 4 4 2 2" xfId="48395"/>
    <cellStyle name="SAPBEXHLevel2 2 4 4 3" xfId="48396"/>
    <cellStyle name="SAPBEXHLevel2 2 4 5" xfId="48397"/>
    <cellStyle name="SAPBEXHLevel2 2 4 5 2" xfId="48398"/>
    <cellStyle name="SAPBEXHLevel2 2 4 5 2 2" xfId="48399"/>
    <cellStyle name="SAPBEXHLevel2 2 4 5 2 2 2" xfId="48400"/>
    <cellStyle name="SAPBEXHLevel2 2 4 5 2 3" xfId="48401"/>
    <cellStyle name="SAPBEXHLevel2 2 4 5 3" xfId="48402"/>
    <cellStyle name="SAPBEXHLevel2 2 4 5 3 2" xfId="48403"/>
    <cellStyle name="SAPBEXHLevel2 2 4 5 4" xfId="48404"/>
    <cellStyle name="SAPBEXHLevel2 2 4 6" xfId="48405"/>
    <cellStyle name="SAPBEXHLevel2 2 4 6 2" xfId="48406"/>
    <cellStyle name="SAPBEXHLevel2 2 4 6 2 2" xfId="48407"/>
    <cellStyle name="SAPBEXHLevel2 2 4 6 3" xfId="48408"/>
    <cellStyle name="SAPBEXHLevel2 2 4 7" xfId="48409"/>
    <cellStyle name="SAPBEXHLevel2 2 4 7 2" xfId="48410"/>
    <cellStyle name="SAPBEXHLevel2 2 4 8" xfId="48411"/>
    <cellStyle name="SAPBEXHLevel2 2 5" xfId="48412"/>
    <cellStyle name="SAPBEXHLevel2 2 5 2" xfId="48413"/>
    <cellStyle name="SAPBEXHLevel2 2 5 2 2" xfId="48414"/>
    <cellStyle name="SAPBEXHLevel2 2 5 2 2 2" xfId="48415"/>
    <cellStyle name="SAPBEXHLevel2 2 5 2 3" xfId="48416"/>
    <cellStyle name="SAPBEXHLevel2 2 5 3" xfId="48417"/>
    <cellStyle name="SAPBEXHLevel2 2 5 3 2" xfId="48418"/>
    <cellStyle name="SAPBEXHLevel2 2 5 4" xfId="48419"/>
    <cellStyle name="SAPBEXHLevel2 2 6" xfId="48420"/>
    <cellStyle name="SAPBEXHLevel2 2 6 2" xfId="48421"/>
    <cellStyle name="SAPBEXHLevel2 2 6 2 2" xfId="48422"/>
    <cellStyle name="SAPBEXHLevel2 2 6 3" xfId="48423"/>
    <cellStyle name="SAPBEXHLevel2 2 7" xfId="48424"/>
    <cellStyle name="SAPBEXHLevel2 2 7 2" xfId="48425"/>
    <cellStyle name="SAPBEXHLevel2 2 7 2 2" xfId="48426"/>
    <cellStyle name="SAPBEXHLevel2 2 7 3" xfId="48427"/>
    <cellStyle name="SAPBEXHLevel2 2 8" xfId="48428"/>
    <cellStyle name="SAPBEXHLevel2 2 8 2" xfId="48429"/>
    <cellStyle name="SAPBEXHLevel2 2 9" xfId="48430"/>
    <cellStyle name="SAPBEXHLevel2 3" xfId="48431"/>
    <cellStyle name="SAPBEXHLevel2 3 2" xfId="48432"/>
    <cellStyle name="SAPBEXHLevel2 3 2 2" xfId="48433"/>
    <cellStyle name="SAPBEXHLevel2 3 2 2 2" xfId="48434"/>
    <cellStyle name="SAPBEXHLevel2 3 2 2 2 2" xfId="48435"/>
    <cellStyle name="SAPBEXHLevel2 3 2 2 3" xfId="48436"/>
    <cellStyle name="SAPBEXHLevel2 3 2 3" xfId="48437"/>
    <cellStyle name="SAPBEXHLevel2 3 2 3 2" xfId="48438"/>
    <cellStyle name="SAPBEXHLevel2 3 2 3 2 2" xfId="48439"/>
    <cellStyle name="SAPBEXHLevel2 3 2 3 3" xfId="48440"/>
    <cellStyle name="SAPBEXHLevel2 3 2 4" xfId="48441"/>
    <cellStyle name="SAPBEXHLevel2 3 2 4 2" xfId="48442"/>
    <cellStyle name="SAPBEXHLevel2 3 2 4 2 2" xfId="48443"/>
    <cellStyle name="SAPBEXHLevel2 3 2 4 3" xfId="48444"/>
    <cellStyle name="SAPBEXHLevel2 3 2 5" xfId="48445"/>
    <cellStyle name="SAPBEXHLevel2 3 2 5 2" xfId="48446"/>
    <cellStyle name="SAPBEXHLevel2 3 2 6" xfId="48447"/>
    <cellStyle name="SAPBEXHLevel2 3 3" xfId="48448"/>
    <cellStyle name="SAPBEXHLevel2 3 3 2" xfId="48449"/>
    <cellStyle name="SAPBEXHLevel2 3 3 2 2" xfId="48450"/>
    <cellStyle name="SAPBEXHLevel2 3 3 2 2 2" xfId="48451"/>
    <cellStyle name="SAPBEXHLevel2 3 3 2 3" xfId="48452"/>
    <cellStyle name="SAPBEXHLevel2 3 3 3" xfId="48453"/>
    <cellStyle name="SAPBEXHLevel2 3 3 3 2" xfId="48454"/>
    <cellStyle name="SAPBEXHLevel2 3 3 4" xfId="48455"/>
    <cellStyle name="SAPBEXHLevel2 3 4" xfId="48456"/>
    <cellStyle name="SAPBEXHLevel2 3 4 2" xfId="48457"/>
    <cellStyle name="SAPBEXHLevel2 3 4 2 2" xfId="48458"/>
    <cellStyle name="SAPBEXHLevel2 3 4 3" xfId="48459"/>
    <cellStyle name="SAPBEXHLevel2 3 5" xfId="48460"/>
    <cellStyle name="SAPBEXHLevel2 3 5 2" xfId="48461"/>
    <cellStyle name="SAPBEXHLevel2 3 5 2 2" xfId="48462"/>
    <cellStyle name="SAPBEXHLevel2 3 5 3" xfId="48463"/>
    <cellStyle name="SAPBEXHLevel2 3 6" xfId="48464"/>
    <cellStyle name="SAPBEXHLevel2 3 6 2" xfId="48465"/>
    <cellStyle name="SAPBEXHLevel2 3 7" xfId="48466"/>
    <cellStyle name="SAPBEXHLevel2 4" xfId="48467"/>
    <cellStyle name="SAPBEXHLevel2 4 2" xfId="48468"/>
    <cellStyle name="SAPBEXHLevel2 4 2 2" xfId="48469"/>
    <cellStyle name="SAPBEXHLevel2 4 2 2 2" xfId="48470"/>
    <cellStyle name="SAPBEXHLevel2 4 2 2 2 2" xfId="48471"/>
    <cellStyle name="SAPBEXHLevel2 4 2 2 3" xfId="48472"/>
    <cellStyle name="SAPBEXHLevel2 4 2 3" xfId="48473"/>
    <cellStyle name="SAPBEXHLevel2 4 2 3 2" xfId="48474"/>
    <cellStyle name="SAPBEXHLevel2 4 2 3 2 2" xfId="48475"/>
    <cellStyle name="SAPBEXHLevel2 4 2 3 3" xfId="48476"/>
    <cellStyle name="SAPBEXHLevel2 4 2 4" xfId="48477"/>
    <cellStyle name="SAPBEXHLevel2 4 2 4 2" xfId="48478"/>
    <cellStyle name="SAPBEXHLevel2 4 2 4 2 2" xfId="48479"/>
    <cellStyle name="SAPBEXHLevel2 4 2 4 3" xfId="48480"/>
    <cellStyle name="SAPBEXHLevel2 4 2 5" xfId="48481"/>
    <cellStyle name="SAPBEXHLevel2 4 2 5 2" xfId="48482"/>
    <cellStyle name="SAPBEXHLevel2 4 2 6" xfId="48483"/>
    <cellStyle name="SAPBEXHLevel2 4 3" xfId="48484"/>
    <cellStyle name="SAPBEXHLevel2 4 3 2" xfId="48485"/>
    <cellStyle name="SAPBEXHLevel2 4 3 2 2" xfId="48486"/>
    <cellStyle name="SAPBEXHLevel2 4 3 2 2 2" xfId="48487"/>
    <cellStyle name="SAPBEXHLevel2 4 3 2 2 2 2" xfId="48488"/>
    <cellStyle name="SAPBEXHLevel2 4 3 2 2 3" xfId="48489"/>
    <cellStyle name="SAPBEXHLevel2 4 3 2 3" xfId="48490"/>
    <cellStyle name="SAPBEXHLevel2 4 3 2 3 2" xfId="48491"/>
    <cellStyle name="SAPBEXHLevel2 4 3 2 3 2 2" xfId="48492"/>
    <cellStyle name="SAPBEXHLevel2 4 3 2 3 3" xfId="48493"/>
    <cellStyle name="SAPBEXHLevel2 4 3 2 4" xfId="48494"/>
    <cellStyle name="SAPBEXHLevel2 4 3 2 4 2" xfId="48495"/>
    <cellStyle name="SAPBEXHLevel2 4 3 2 5" xfId="48496"/>
    <cellStyle name="SAPBEXHLevel2 4 3 3" xfId="48497"/>
    <cellStyle name="SAPBEXHLevel2 4 3 3 2" xfId="48498"/>
    <cellStyle name="SAPBEXHLevel2 4 3 3 2 2" xfId="48499"/>
    <cellStyle name="SAPBEXHLevel2 4 3 3 2 2 2" xfId="48500"/>
    <cellStyle name="SAPBEXHLevel2 4 3 3 2 3" xfId="48501"/>
    <cellStyle name="SAPBEXHLevel2 4 3 3 3" xfId="48502"/>
    <cellStyle name="SAPBEXHLevel2 4 3 3 3 2" xfId="48503"/>
    <cellStyle name="SAPBEXHLevel2 4 3 3 4" xfId="48504"/>
    <cellStyle name="SAPBEXHLevel2 4 3 4" xfId="48505"/>
    <cellStyle name="SAPBEXHLevel2 4 3 4 2" xfId="48506"/>
    <cellStyle name="SAPBEXHLevel2 4 3 4 2 2" xfId="48507"/>
    <cellStyle name="SAPBEXHLevel2 4 3 4 3" xfId="48508"/>
    <cellStyle name="SAPBEXHLevel2 4 3 5" xfId="48509"/>
    <cellStyle name="SAPBEXHLevel2 4 3 5 2" xfId="48510"/>
    <cellStyle name="SAPBEXHLevel2 4 3 5 2 2" xfId="48511"/>
    <cellStyle name="SAPBEXHLevel2 4 3 5 3" xfId="48512"/>
    <cellStyle name="SAPBEXHLevel2 4 3 6" xfId="48513"/>
    <cellStyle name="SAPBEXHLevel2 4 3 6 2" xfId="48514"/>
    <cellStyle name="SAPBEXHLevel2 4 3 7" xfId="48515"/>
    <cellStyle name="SAPBEXHLevel2 4 4" xfId="48516"/>
    <cellStyle name="SAPBEXHLevel2 4 4 2" xfId="48517"/>
    <cellStyle name="SAPBEXHLevel2 4 4 2 2" xfId="48518"/>
    <cellStyle name="SAPBEXHLevel2 4 4 2 2 2" xfId="48519"/>
    <cellStyle name="SAPBEXHLevel2 4 4 2 3" xfId="48520"/>
    <cellStyle name="SAPBEXHLevel2 4 4 3" xfId="48521"/>
    <cellStyle name="SAPBEXHLevel2 4 4 3 2" xfId="48522"/>
    <cellStyle name="SAPBEXHLevel2 4 4 4" xfId="48523"/>
    <cellStyle name="SAPBEXHLevel2 4 5" xfId="48524"/>
    <cellStyle name="SAPBEXHLevel2 4 5 2" xfId="48525"/>
    <cellStyle name="SAPBEXHLevel2 4 5 2 2" xfId="48526"/>
    <cellStyle name="SAPBEXHLevel2 4 5 3" xfId="48527"/>
    <cellStyle name="SAPBEXHLevel2 4 6" xfId="48528"/>
    <cellStyle name="SAPBEXHLevel2 4 6 2" xfId="48529"/>
    <cellStyle name="SAPBEXHLevel2 4 6 2 2" xfId="48530"/>
    <cellStyle name="SAPBEXHLevel2 4 6 3" xfId="48531"/>
    <cellStyle name="SAPBEXHLevel2 4 7" xfId="48532"/>
    <cellStyle name="SAPBEXHLevel2 4 7 2" xfId="48533"/>
    <cellStyle name="SAPBEXHLevel2 4 8" xfId="48534"/>
    <cellStyle name="SAPBEXHLevel2 5" xfId="48535"/>
    <cellStyle name="SAPBEXHLevel2 5 2" xfId="48536"/>
    <cellStyle name="SAPBEXHLevel2 5 2 2" xfId="48537"/>
    <cellStyle name="SAPBEXHLevel2 5 2 2 2" xfId="48538"/>
    <cellStyle name="SAPBEXHLevel2 5 2 3" xfId="48539"/>
    <cellStyle name="SAPBEXHLevel2 5 3" xfId="48540"/>
    <cellStyle name="SAPBEXHLevel2 5 3 2" xfId="48541"/>
    <cellStyle name="SAPBEXHLevel2 5 3 2 2" xfId="48542"/>
    <cellStyle name="SAPBEXHLevel2 5 3 3" xfId="48543"/>
    <cellStyle name="SAPBEXHLevel2 5 4" xfId="48544"/>
    <cellStyle name="SAPBEXHLevel2 5 4 2" xfId="48545"/>
    <cellStyle name="SAPBEXHLevel2 5 4 2 2" xfId="48546"/>
    <cellStyle name="SAPBEXHLevel2 5 4 3" xfId="48547"/>
    <cellStyle name="SAPBEXHLevel2 5 5" xfId="48548"/>
    <cellStyle name="SAPBEXHLevel2 5 5 2" xfId="48549"/>
    <cellStyle name="SAPBEXHLevel2 5 6" xfId="48550"/>
    <cellStyle name="SAPBEXHLevel2 6" xfId="48551"/>
    <cellStyle name="SAPBEXHLevel2 6 2" xfId="48552"/>
    <cellStyle name="SAPBEXHLevel2 6 2 2" xfId="48553"/>
    <cellStyle name="SAPBEXHLevel2 6 3" xfId="48554"/>
    <cellStyle name="SAPBEXHLevel2 6 3 2" xfId="48555"/>
    <cellStyle name="SAPBEXHLevel2 6 3 2 2" xfId="48556"/>
    <cellStyle name="SAPBEXHLevel2 6 3 3" xfId="48557"/>
    <cellStyle name="SAPBEXHLevel2 6 4" xfId="48558"/>
    <cellStyle name="SAPBEXHLevel2 6 4 2" xfId="48559"/>
    <cellStyle name="SAPBEXHLevel2 6 4 2 2" xfId="48560"/>
    <cellStyle name="SAPBEXHLevel2 6 4 3" xfId="48561"/>
    <cellStyle name="SAPBEXHLevel2 6 5" xfId="48562"/>
    <cellStyle name="SAPBEXHLevel2 7" xfId="48563"/>
    <cellStyle name="SAPBEXHLevel2 7 2" xfId="48564"/>
    <cellStyle name="SAPBEXHLevel2 7 2 2" xfId="48565"/>
    <cellStyle name="SAPBEXHLevel2 7 2 2 2" xfId="48566"/>
    <cellStyle name="SAPBEXHLevel2 7 2 3" xfId="48567"/>
    <cellStyle name="SAPBEXHLevel2 7 2 3 2" xfId="48568"/>
    <cellStyle name="SAPBEXHLevel2 7 2 3 2 2" xfId="48569"/>
    <cellStyle name="SAPBEXHLevel2 7 2 3 3" xfId="48570"/>
    <cellStyle name="SAPBEXHLevel2 7 2 4" xfId="48571"/>
    <cellStyle name="SAPBEXHLevel2 7 3" xfId="48572"/>
    <cellStyle name="SAPBEXHLevel2 7 3 2" xfId="48573"/>
    <cellStyle name="SAPBEXHLevel2 7 3 2 2" xfId="48574"/>
    <cellStyle name="SAPBEXHLevel2 7 3 3" xfId="48575"/>
    <cellStyle name="SAPBEXHLevel2 7 4" xfId="48576"/>
    <cellStyle name="SAPBEXHLevel2 7 4 2" xfId="48577"/>
    <cellStyle name="SAPBEXHLevel2 7 4 2 2" xfId="48578"/>
    <cellStyle name="SAPBEXHLevel2 7 4 3" xfId="48579"/>
    <cellStyle name="SAPBEXHLevel2 7 5" xfId="48580"/>
    <cellStyle name="SAPBEXHLevel2 7 5 2" xfId="48581"/>
    <cellStyle name="SAPBEXHLevel2 7 5 2 2" xfId="48582"/>
    <cellStyle name="SAPBEXHLevel2 7 5 3" xfId="48583"/>
    <cellStyle name="SAPBEXHLevel2 7 6" xfId="48584"/>
    <cellStyle name="SAPBEXHLevel2 8" xfId="48585"/>
    <cellStyle name="SAPBEXHLevel2 8 2" xfId="48586"/>
    <cellStyle name="SAPBEXHLevel2 8 2 2" xfId="48587"/>
    <cellStyle name="SAPBEXHLevel2 8 3" xfId="48588"/>
    <cellStyle name="SAPBEXHLevel2 9" xfId="48589"/>
    <cellStyle name="SAPBEXHLevel2 9 2" xfId="48590"/>
    <cellStyle name="SAPBEXHLevel2 9 2 2" xfId="48591"/>
    <cellStyle name="SAPBEXHLevel2 9 3" xfId="48592"/>
    <cellStyle name="SAPBEXHLevel2X" xfId="64"/>
    <cellStyle name="SAPBEXHLevel2X 10" xfId="48593"/>
    <cellStyle name="SAPBEXHLevel2X 10 2" xfId="48594"/>
    <cellStyle name="SAPBEXHLevel2X 10 2 2" xfId="48595"/>
    <cellStyle name="SAPBEXHLevel2X 10 3" xfId="48596"/>
    <cellStyle name="SAPBEXHLevel2X 11" xfId="48597"/>
    <cellStyle name="SAPBEXHLevel2X 11 2" xfId="48598"/>
    <cellStyle name="SAPBEXHLevel2X 11 2 2" xfId="48599"/>
    <cellStyle name="SAPBEXHLevel2X 11 3" xfId="48600"/>
    <cellStyle name="SAPBEXHLevel2X 12" xfId="48601"/>
    <cellStyle name="SAPBEXHLevel2X 12 2" xfId="48602"/>
    <cellStyle name="SAPBEXHLevel2X 12 2 2" xfId="48603"/>
    <cellStyle name="SAPBEXHLevel2X 12 3" xfId="48604"/>
    <cellStyle name="SAPBEXHLevel2X 13" xfId="48605"/>
    <cellStyle name="SAPBEXHLevel2X 13 2" xfId="48606"/>
    <cellStyle name="SAPBEXHLevel2X 13 2 2" xfId="48607"/>
    <cellStyle name="SAPBEXHLevel2X 13 3" xfId="48608"/>
    <cellStyle name="SAPBEXHLevel2X 14" xfId="48609"/>
    <cellStyle name="SAPBEXHLevel2X 14 2" xfId="48610"/>
    <cellStyle name="SAPBEXHLevel2X 15" xfId="48611"/>
    <cellStyle name="SAPBEXHLevel2X 15 2" xfId="48612"/>
    <cellStyle name="SAPBEXHLevel2X 15 2 2" xfId="48613"/>
    <cellStyle name="SAPBEXHLevel2X 15 3" xfId="48614"/>
    <cellStyle name="SAPBEXHLevel2X 15 3 2" xfId="48615"/>
    <cellStyle name="SAPBEXHLevel2X 15 4" xfId="48616"/>
    <cellStyle name="SAPBEXHLevel2X 16" xfId="48617"/>
    <cellStyle name="SAPBEXHLevel2X 16 2" xfId="48618"/>
    <cellStyle name="SAPBEXHLevel2X 17" xfId="48619"/>
    <cellStyle name="SAPBEXHLevel2X 17 2" xfId="48620"/>
    <cellStyle name="SAPBEXHLevel2X 17 3" xfId="48621"/>
    <cellStyle name="SAPBEXHLevel2X 18" xfId="48622"/>
    <cellStyle name="SAPBEXHLevel2X 18 2" xfId="48623"/>
    <cellStyle name="SAPBEXHLevel2X 19" xfId="48624"/>
    <cellStyle name="SAPBEXHLevel2X 19 2" xfId="48625"/>
    <cellStyle name="SAPBEXHLevel2X 2" xfId="88"/>
    <cellStyle name="SAPBEXHLevel2X 2 2" xfId="48626"/>
    <cellStyle name="SAPBEXHLevel2X 2 2 2" xfId="48627"/>
    <cellStyle name="SAPBEXHLevel2X 2 2 2 2" xfId="48628"/>
    <cellStyle name="SAPBEXHLevel2X 2 2 2 2 2" xfId="48629"/>
    <cellStyle name="SAPBEXHLevel2X 2 2 2 3" xfId="48630"/>
    <cellStyle name="SAPBEXHLevel2X 2 2 3" xfId="48631"/>
    <cellStyle name="SAPBEXHLevel2X 2 2 3 2" xfId="48632"/>
    <cellStyle name="SAPBEXHLevel2X 2 2 3 2 2" xfId="48633"/>
    <cellStyle name="SAPBEXHLevel2X 2 2 3 3" xfId="48634"/>
    <cellStyle name="SAPBEXHLevel2X 2 2 4" xfId="48635"/>
    <cellStyle name="SAPBEXHLevel2X 2 2 4 2" xfId="48636"/>
    <cellStyle name="SAPBEXHLevel2X 2 2 4 2 2" xfId="48637"/>
    <cellStyle name="SAPBEXHLevel2X 2 2 4 3" xfId="48638"/>
    <cellStyle name="SAPBEXHLevel2X 2 2 5" xfId="48639"/>
    <cellStyle name="SAPBEXHLevel2X 2 2 5 2" xfId="48640"/>
    <cellStyle name="SAPBEXHLevel2X 2 2 6" xfId="48641"/>
    <cellStyle name="SAPBEXHLevel2X 2 3" xfId="48642"/>
    <cellStyle name="SAPBEXHLevel2X 2 3 2" xfId="48643"/>
    <cellStyle name="SAPBEXHLevel2X 2 3 2 2" xfId="48644"/>
    <cellStyle name="SAPBEXHLevel2X 2 3 2 2 2" xfId="48645"/>
    <cellStyle name="SAPBEXHLevel2X 2 3 2 2 2 2" xfId="48646"/>
    <cellStyle name="SAPBEXHLevel2X 2 3 2 2 3" xfId="48647"/>
    <cellStyle name="SAPBEXHLevel2X 2 3 2 3" xfId="48648"/>
    <cellStyle name="SAPBEXHLevel2X 2 3 2 3 2" xfId="48649"/>
    <cellStyle name="SAPBEXHLevel2X 2 3 2 3 2 2" xfId="48650"/>
    <cellStyle name="SAPBEXHLevel2X 2 3 2 3 3" xfId="48651"/>
    <cellStyle name="SAPBEXHLevel2X 2 3 2 4" xfId="48652"/>
    <cellStyle name="SAPBEXHLevel2X 2 3 2 4 2" xfId="48653"/>
    <cellStyle name="SAPBEXHLevel2X 2 3 2 5" xfId="48654"/>
    <cellStyle name="SAPBEXHLevel2X 2 3 3" xfId="48655"/>
    <cellStyle name="SAPBEXHLevel2X 2 3 3 2" xfId="48656"/>
    <cellStyle name="SAPBEXHLevel2X 2 3 3 2 2" xfId="48657"/>
    <cellStyle name="SAPBEXHLevel2X 2 3 3 2 2 2" xfId="48658"/>
    <cellStyle name="SAPBEXHLevel2X 2 3 3 2 3" xfId="48659"/>
    <cellStyle name="SAPBEXHLevel2X 2 3 3 3" xfId="48660"/>
    <cellStyle name="SAPBEXHLevel2X 2 3 3 3 2" xfId="48661"/>
    <cellStyle name="SAPBEXHLevel2X 2 3 3 4" xfId="48662"/>
    <cellStyle name="SAPBEXHLevel2X 2 3 4" xfId="48663"/>
    <cellStyle name="SAPBEXHLevel2X 2 3 4 2" xfId="48664"/>
    <cellStyle name="SAPBEXHLevel2X 2 3 4 2 2" xfId="48665"/>
    <cellStyle name="SAPBEXHLevel2X 2 3 4 3" xfId="48666"/>
    <cellStyle name="SAPBEXHLevel2X 2 3 5" xfId="48667"/>
    <cellStyle name="SAPBEXHLevel2X 2 3 5 2" xfId="48668"/>
    <cellStyle name="SAPBEXHLevel2X 2 3 5 2 2" xfId="48669"/>
    <cellStyle name="SAPBEXHLevel2X 2 3 5 3" xfId="48670"/>
    <cellStyle name="SAPBEXHLevel2X 2 3 6" xfId="48671"/>
    <cellStyle name="SAPBEXHLevel2X 2 3 6 2" xfId="48672"/>
    <cellStyle name="SAPBEXHLevel2X 2 3 7" xfId="48673"/>
    <cellStyle name="SAPBEXHLevel2X 2 4" xfId="48674"/>
    <cellStyle name="SAPBEXHLevel2X 2 4 2" xfId="48675"/>
    <cellStyle name="SAPBEXHLevel2X 2 4 2 2" xfId="48676"/>
    <cellStyle name="SAPBEXHLevel2X 2 4 2 2 2" xfId="48677"/>
    <cellStyle name="SAPBEXHLevel2X 2 4 2 2 2 2" xfId="48678"/>
    <cellStyle name="SAPBEXHLevel2X 2 4 2 2 3" xfId="48679"/>
    <cellStyle name="SAPBEXHLevel2X 2 4 2 3" xfId="48680"/>
    <cellStyle name="SAPBEXHLevel2X 2 4 2 3 2" xfId="48681"/>
    <cellStyle name="SAPBEXHLevel2X 2 4 2 3 2 2" xfId="48682"/>
    <cellStyle name="SAPBEXHLevel2X 2 4 2 3 3" xfId="48683"/>
    <cellStyle name="SAPBEXHLevel2X 2 4 2 4" xfId="48684"/>
    <cellStyle name="SAPBEXHLevel2X 2 4 2 4 2" xfId="48685"/>
    <cellStyle name="SAPBEXHLevel2X 2 4 2 5" xfId="48686"/>
    <cellStyle name="SAPBEXHLevel2X 2 4 3" xfId="48687"/>
    <cellStyle name="SAPBEXHLevel2X 2 4 3 2" xfId="48688"/>
    <cellStyle name="SAPBEXHLevel2X 2 4 3 2 2" xfId="48689"/>
    <cellStyle name="SAPBEXHLevel2X 2 4 3 2 2 2" xfId="48690"/>
    <cellStyle name="SAPBEXHLevel2X 2 4 3 2 3" xfId="48691"/>
    <cellStyle name="SAPBEXHLevel2X 2 4 3 3" xfId="48692"/>
    <cellStyle name="SAPBEXHLevel2X 2 4 3 3 2" xfId="48693"/>
    <cellStyle name="SAPBEXHLevel2X 2 4 3 4" xfId="48694"/>
    <cellStyle name="SAPBEXHLevel2X 2 4 4" xfId="48695"/>
    <cellStyle name="SAPBEXHLevel2X 2 4 4 2" xfId="48696"/>
    <cellStyle name="SAPBEXHLevel2X 2 4 4 2 2" xfId="48697"/>
    <cellStyle name="SAPBEXHLevel2X 2 4 4 3" xfId="48698"/>
    <cellStyle name="SAPBEXHLevel2X 2 4 5" xfId="48699"/>
    <cellStyle name="SAPBEXHLevel2X 2 4 5 2" xfId="48700"/>
    <cellStyle name="SAPBEXHLevel2X 2 4 6" xfId="48701"/>
    <cellStyle name="SAPBEXHLevel2X 2 5" xfId="48702"/>
    <cellStyle name="SAPBEXHLevel2X 2 5 2" xfId="48703"/>
    <cellStyle name="SAPBEXHLevel2X 2 5 2 2" xfId="48704"/>
    <cellStyle name="SAPBEXHLevel2X 2 5 2 2 2" xfId="48705"/>
    <cellStyle name="SAPBEXHLevel2X 2 5 2 3" xfId="48706"/>
    <cellStyle name="SAPBEXHLevel2X 2 5 3" xfId="48707"/>
    <cellStyle name="SAPBEXHLevel2X 2 5 3 2" xfId="48708"/>
    <cellStyle name="SAPBEXHLevel2X 2 5 4" xfId="48709"/>
    <cellStyle name="SAPBEXHLevel2X 2 6" xfId="48710"/>
    <cellStyle name="SAPBEXHLevel2X 2 6 2" xfId="48711"/>
    <cellStyle name="SAPBEXHLevel2X 2 6 2 2" xfId="48712"/>
    <cellStyle name="SAPBEXHLevel2X 2 6 3" xfId="48713"/>
    <cellStyle name="SAPBEXHLevel2X 2 7" xfId="48714"/>
    <cellStyle name="SAPBEXHLevel2X 2 7 2" xfId="48715"/>
    <cellStyle name="SAPBEXHLevel2X 2 7 2 2" xfId="48716"/>
    <cellStyle name="SAPBEXHLevel2X 2 7 3" xfId="48717"/>
    <cellStyle name="SAPBEXHLevel2X 2 8" xfId="48718"/>
    <cellStyle name="SAPBEXHLevel2X 2 8 2" xfId="48719"/>
    <cellStyle name="SAPBEXHLevel2X 2 9" xfId="48720"/>
    <cellStyle name="SAPBEXHLevel2X 20" xfId="48721"/>
    <cellStyle name="SAPBEXHLevel2X 21" xfId="48722"/>
    <cellStyle name="SAPBEXHLevel2X 22" xfId="48723"/>
    <cellStyle name="SAPBEXHLevel2X 23" xfId="48724"/>
    <cellStyle name="SAPBEXHLevel2X 3" xfId="48725"/>
    <cellStyle name="SAPBEXHLevel2X 3 2" xfId="48726"/>
    <cellStyle name="SAPBEXHLevel2X 3 2 2" xfId="48727"/>
    <cellStyle name="SAPBEXHLevel2X 3 2 2 2" xfId="48728"/>
    <cellStyle name="SAPBEXHLevel2X 3 2 2 2 2" xfId="48729"/>
    <cellStyle name="SAPBEXHLevel2X 3 2 2 3" xfId="48730"/>
    <cellStyle name="SAPBEXHLevel2X 3 2 3" xfId="48731"/>
    <cellStyle name="SAPBEXHLevel2X 3 2 3 2" xfId="48732"/>
    <cellStyle name="SAPBEXHLevel2X 3 2 3 2 2" xfId="48733"/>
    <cellStyle name="SAPBEXHLevel2X 3 2 3 3" xfId="48734"/>
    <cellStyle name="SAPBEXHLevel2X 3 2 4" xfId="48735"/>
    <cellStyle name="SAPBEXHLevel2X 3 2 4 2" xfId="48736"/>
    <cellStyle name="SAPBEXHLevel2X 3 2 4 2 2" xfId="48737"/>
    <cellStyle name="SAPBEXHLevel2X 3 2 4 3" xfId="48738"/>
    <cellStyle name="SAPBEXHLevel2X 3 2 5" xfId="48739"/>
    <cellStyle name="SAPBEXHLevel2X 3 2 5 2" xfId="48740"/>
    <cellStyle name="SAPBEXHLevel2X 3 2 6" xfId="48741"/>
    <cellStyle name="SAPBEXHLevel2X 3 3" xfId="48742"/>
    <cellStyle name="SAPBEXHLevel2X 3 3 2" xfId="48743"/>
    <cellStyle name="SAPBEXHLevel2X 3 3 2 2" xfId="48744"/>
    <cellStyle name="SAPBEXHLevel2X 3 3 2 2 2" xfId="48745"/>
    <cellStyle name="SAPBEXHLevel2X 3 3 2 3" xfId="48746"/>
    <cellStyle name="SAPBEXHLevel2X 3 3 3" xfId="48747"/>
    <cellStyle name="SAPBEXHLevel2X 3 3 3 2" xfId="48748"/>
    <cellStyle name="SAPBEXHLevel2X 3 3 4" xfId="48749"/>
    <cellStyle name="SAPBEXHLevel2X 3 4" xfId="48750"/>
    <cellStyle name="SAPBEXHLevel2X 3 4 2" xfId="48751"/>
    <cellStyle name="SAPBEXHLevel2X 3 4 2 2" xfId="48752"/>
    <cellStyle name="SAPBEXHLevel2X 3 4 3" xfId="48753"/>
    <cellStyle name="SAPBEXHLevel2X 3 5" xfId="48754"/>
    <cellStyle name="SAPBEXHLevel2X 3 5 2" xfId="48755"/>
    <cellStyle name="SAPBEXHLevel2X 3 5 2 2" xfId="48756"/>
    <cellStyle name="SAPBEXHLevel2X 3 5 3" xfId="48757"/>
    <cellStyle name="SAPBEXHLevel2X 3 6" xfId="48758"/>
    <cellStyle name="SAPBEXHLevel2X 3 6 2" xfId="48759"/>
    <cellStyle name="SAPBEXHLevel2X 3 7" xfId="48760"/>
    <cellStyle name="SAPBEXHLevel2X 4" xfId="48761"/>
    <cellStyle name="SAPBEXHLevel2X 4 2" xfId="48762"/>
    <cellStyle name="SAPBEXHLevel2X 4 2 2" xfId="48763"/>
    <cellStyle name="SAPBEXHLevel2X 4 2 2 2" xfId="48764"/>
    <cellStyle name="SAPBEXHLevel2X 4 2 2 2 2" xfId="48765"/>
    <cellStyle name="SAPBEXHLevel2X 4 2 2 3" xfId="48766"/>
    <cellStyle name="SAPBEXHLevel2X 4 2 3" xfId="48767"/>
    <cellStyle name="SAPBEXHLevel2X 4 2 3 2" xfId="48768"/>
    <cellStyle name="SAPBEXHLevel2X 4 2 3 2 2" xfId="48769"/>
    <cellStyle name="SAPBEXHLevel2X 4 2 3 3" xfId="48770"/>
    <cellStyle name="SAPBEXHLevel2X 4 2 4" xfId="48771"/>
    <cellStyle name="SAPBEXHLevel2X 4 2 4 2" xfId="48772"/>
    <cellStyle name="SAPBEXHLevel2X 4 2 4 2 2" xfId="48773"/>
    <cellStyle name="SAPBEXHLevel2X 4 2 4 3" xfId="48774"/>
    <cellStyle name="SAPBEXHLevel2X 4 2 5" xfId="48775"/>
    <cellStyle name="SAPBEXHLevel2X 4 2 5 2" xfId="48776"/>
    <cellStyle name="SAPBEXHLevel2X 4 2 6" xfId="48777"/>
    <cellStyle name="SAPBEXHLevel2X 4 3" xfId="48778"/>
    <cellStyle name="SAPBEXHLevel2X 4 3 2" xfId="48779"/>
    <cellStyle name="SAPBEXHLevel2X 4 3 2 2" xfId="48780"/>
    <cellStyle name="SAPBEXHLevel2X 4 3 2 2 2" xfId="48781"/>
    <cellStyle name="SAPBEXHLevel2X 4 3 2 2 2 2" xfId="48782"/>
    <cellStyle name="SAPBEXHLevel2X 4 3 2 2 3" xfId="48783"/>
    <cellStyle name="SAPBEXHLevel2X 4 3 2 3" xfId="48784"/>
    <cellStyle name="SAPBEXHLevel2X 4 3 2 3 2" xfId="48785"/>
    <cellStyle name="SAPBEXHLevel2X 4 3 2 3 2 2" xfId="48786"/>
    <cellStyle name="SAPBEXHLevel2X 4 3 2 3 3" xfId="48787"/>
    <cellStyle name="SAPBEXHLevel2X 4 3 2 4" xfId="48788"/>
    <cellStyle name="SAPBEXHLevel2X 4 3 2 4 2" xfId="48789"/>
    <cellStyle name="SAPBEXHLevel2X 4 3 2 5" xfId="48790"/>
    <cellStyle name="SAPBEXHLevel2X 4 3 3" xfId="48791"/>
    <cellStyle name="SAPBEXHLevel2X 4 3 3 2" xfId="48792"/>
    <cellStyle name="SAPBEXHLevel2X 4 3 3 2 2" xfId="48793"/>
    <cellStyle name="SAPBEXHLevel2X 4 3 3 2 2 2" xfId="48794"/>
    <cellStyle name="SAPBEXHLevel2X 4 3 3 2 3" xfId="48795"/>
    <cellStyle name="SAPBEXHLevel2X 4 3 3 3" xfId="48796"/>
    <cellStyle name="SAPBEXHLevel2X 4 3 3 3 2" xfId="48797"/>
    <cellStyle name="SAPBEXHLevel2X 4 3 3 4" xfId="48798"/>
    <cellStyle name="SAPBEXHLevel2X 4 3 4" xfId="48799"/>
    <cellStyle name="SAPBEXHLevel2X 4 3 4 2" xfId="48800"/>
    <cellStyle name="SAPBEXHLevel2X 4 3 4 2 2" xfId="48801"/>
    <cellStyle name="SAPBEXHLevel2X 4 3 4 3" xfId="48802"/>
    <cellStyle name="SAPBEXHLevel2X 4 3 5" xfId="48803"/>
    <cellStyle name="SAPBEXHLevel2X 4 3 5 2" xfId="48804"/>
    <cellStyle name="SAPBEXHLevel2X 4 3 5 2 2" xfId="48805"/>
    <cellStyle name="SAPBEXHLevel2X 4 3 5 3" xfId="48806"/>
    <cellStyle name="SAPBEXHLevel2X 4 3 6" xfId="48807"/>
    <cellStyle name="SAPBEXHLevel2X 4 3 6 2" xfId="48808"/>
    <cellStyle name="SAPBEXHLevel2X 4 3 7" xfId="48809"/>
    <cellStyle name="SAPBEXHLevel2X 4 4" xfId="48810"/>
    <cellStyle name="SAPBEXHLevel2X 4 4 2" xfId="48811"/>
    <cellStyle name="SAPBEXHLevel2X 4 4 2 2" xfId="48812"/>
    <cellStyle name="SAPBEXHLevel2X 4 4 2 2 2" xfId="48813"/>
    <cellStyle name="SAPBEXHLevel2X 4 4 2 3" xfId="48814"/>
    <cellStyle name="SAPBEXHLevel2X 4 4 3" xfId="48815"/>
    <cellStyle name="SAPBEXHLevel2X 4 4 3 2" xfId="48816"/>
    <cellStyle name="SAPBEXHLevel2X 4 4 4" xfId="48817"/>
    <cellStyle name="SAPBEXHLevel2X 4 5" xfId="48818"/>
    <cellStyle name="SAPBEXHLevel2X 4 5 2" xfId="48819"/>
    <cellStyle name="SAPBEXHLevel2X 4 5 2 2" xfId="48820"/>
    <cellStyle name="SAPBEXHLevel2X 4 5 3" xfId="48821"/>
    <cellStyle name="SAPBEXHLevel2X 4 6" xfId="48822"/>
    <cellStyle name="SAPBEXHLevel2X 4 6 2" xfId="48823"/>
    <cellStyle name="SAPBEXHLevel2X 4 6 2 2" xfId="48824"/>
    <cellStyle name="SAPBEXHLevel2X 4 6 3" xfId="48825"/>
    <cellStyle name="SAPBEXHLevel2X 4 7" xfId="48826"/>
    <cellStyle name="SAPBEXHLevel2X 4 7 2" xfId="48827"/>
    <cellStyle name="SAPBEXHLevel2X 4 8" xfId="48828"/>
    <cellStyle name="SAPBEXHLevel2X 5" xfId="48829"/>
    <cellStyle name="SAPBEXHLevel2X 5 2" xfId="48830"/>
    <cellStyle name="SAPBEXHLevel2X 5 2 2" xfId="48831"/>
    <cellStyle name="SAPBEXHLevel2X 5 2 2 2" xfId="48832"/>
    <cellStyle name="SAPBEXHLevel2X 5 2 3" xfId="48833"/>
    <cellStyle name="SAPBEXHLevel2X 5 3" xfId="48834"/>
    <cellStyle name="SAPBEXHLevel2X 5 3 2" xfId="48835"/>
    <cellStyle name="SAPBEXHLevel2X 5 3 2 2" xfId="48836"/>
    <cellStyle name="SAPBEXHLevel2X 5 3 3" xfId="48837"/>
    <cellStyle name="SAPBEXHLevel2X 5 4" xfId="48838"/>
    <cellStyle name="SAPBEXHLevel2X 5 4 2" xfId="48839"/>
    <cellStyle name="SAPBEXHLevel2X 5 4 2 2" xfId="48840"/>
    <cellStyle name="SAPBEXHLevel2X 5 4 3" xfId="48841"/>
    <cellStyle name="SAPBEXHLevel2X 5 5" xfId="48842"/>
    <cellStyle name="SAPBEXHLevel2X 5 5 2" xfId="48843"/>
    <cellStyle name="SAPBEXHLevel2X 5 6" xfId="48844"/>
    <cellStyle name="SAPBEXHLevel2X 6" xfId="48845"/>
    <cellStyle name="SAPBEXHLevel2X 6 2" xfId="48846"/>
    <cellStyle name="SAPBEXHLevel2X 6 2 2" xfId="48847"/>
    <cellStyle name="SAPBEXHLevel2X 6 3" xfId="48848"/>
    <cellStyle name="SAPBEXHLevel2X 6 3 2" xfId="48849"/>
    <cellStyle name="SAPBEXHLevel2X 6 3 2 2" xfId="48850"/>
    <cellStyle name="SAPBEXHLevel2X 6 3 3" xfId="48851"/>
    <cellStyle name="SAPBEXHLevel2X 6 4" xfId="48852"/>
    <cellStyle name="SAPBEXHLevel2X 6 4 2" xfId="48853"/>
    <cellStyle name="SAPBEXHLevel2X 6 4 2 2" xfId="48854"/>
    <cellStyle name="SAPBEXHLevel2X 6 4 3" xfId="48855"/>
    <cellStyle name="SAPBEXHLevel2X 6 5" xfId="48856"/>
    <cellStyle name="SAPBEXHLevel2X 7" xfId="48857"/>
    <cellStyle name="SAPBEXHLevel2X 7 2" xfId="48858"/>
    <cellStyle name="SAPBEXHLevel2X 7 2 2" xfId="48859"/>
    <cellStyle name="SAPBEXHLevel2X 7 2 2 2" xfId="48860"/>
    <cellStyle name="SAPBEXHLevel2X 7 2 3" xfId="48861"/>
    <cellStyle name="SAPBEXHLevel2X 7 2 3 2" xfId="48862"/>
    <cellStyle name="SAPBEXHLevel2X 7 2 3 2 2" xfId="48863"/>
    <cellStyle name="SAPBEXHLevel2X 7 2 3 3" xfId="48864"/>
    <cellStyle name="SAPBEXHLevel2X 7 2 4" xfId="48865"/>
    <cellStyle name="SAPBEXHLevel2X 7 3" xfId="48866"/>
    <cellStyle name="SAPBEXHLevel2X 7 3 2" xfId="48867"/>
    <cellStyle name="SAPBEXHLevel2X 7 3 2 2" xfId="48868"/>
    <cellStyle name="SAPBEXHLevel2X 7 3 3" xfId="48869"/>
    <cellStyle name="SAPBEXHLevel2X 7 4" xfId="48870"/>
    <cellStyle name="SAPBEXHLevel2X 7 4 2" xfId="48871"/>
    <cellStyle name="SAPBEXHLevel2X 7 4 2 2" xfId="48872"/>
    <cellStyle name="SAPBEXHLevel2X 7 4 3" xfId="48873"/>
    <cellStyle name="SAPBEXHLevel2X 7 5" xfId="48874"/>
    <cellStyle name="SAPBEXHLevel2X 7 5 2" xfId="48875"/>
    <cellStyle name="SAPBEXHLevel2X 7 5 2 2" xfId="48876"/>
    <cellStyle name="SAPBEXHLevel2X 7 5 3" xfId="48877"/>
    <cellStyle name="SAPBEXHLevel2X 7 6" xfId="48878"/>
    <cellStyle name="SAPBEXHLevel2X 8" xfId="48879"/>
    <cellStyle name="SAPBEXHLevel2X 8 2" xfId="48880"/>
    <cellStyle name="SAPBEXHLevel2X 8 2 2" xfId="48881"/>
    <cellStyle name="SAPBEXHLevel2X 8 2 2 2" xfId="48882"/>
    <cellStyle name="SAPBEXHLevel2X 8 2 3" xfId="48883"/>
    <cellStyle name="SAPBEXHLevel2X 8 3" xfId="48884"/>
    <cellStyle name="SAPBEXHLevel2X 8 3 2" xfId="48885"/>
    <cellStyle name="SAPBEXHLevel2X 8 3 2 2" xfId="48886"/>
    <cellStyle name="SAPBEXHLevel2X 8 3 3" xfId="48887"/>
    <cellStyle name="SAPBEXHLevel2X 8 4" xfId="48888"/>
    <cellStyle name="SAPBEXHLevel2X 8 4 2" xfId="48889"/>
    <cellStyle name="SAPBEXHLevel2X 8 5" xfId="48890"/>
    <cellStyle name="SAPBEXHLevel2X 9" xfId="48891"/>
    <cellStyle name="SAPBEXHLevel2X 9 2" xfId="48892"/>
    <cellStyle name="SAPBEXHLevel2X 9 2 2" xfId="48893"/>
    <cellStyle name="SAPBEXHLevel2X 9 2 2 2" xfId="48894"/>
    <cellStyle name="SAPBEXHLevel2X 9 2 2 2 2" xfId="48895"/>
    <cellStyle name="SAPBEXHLevel2X 9 2 2 3" xfId="48896"/>
    <cellStyle name="SAPBEXHLevel2X 9 2 3" xfId="48897"/>
    <cellStyle name="SAPBEXHLevel2X 9 2 3 2" xfId="48898"/>
    <cellStyle name="SAPBEXHLevel2X 9 2 4" xfId="48899"/>
    <cellStyle name="SAPBEXHLevel2X 9 3" xfId="48900"/>
    <cellStyle name="SAPBEXHLevel2X 9 3 2" xfId="48901"/>
    <cellStyle name="SAPBEXHLevel2X 9 3 2 2" xfId="48902"/>
    <cellStyle name="SAPBEXHLevel2X 9 3 2 2 2" xfId="48903"/>
    <cellStyle name="SAPBEXHLevel2X 9 3 2 2 2 2" xfId="48904"/>
    <cellStyle name="SAPBEXHLevel2X 9 3 2 2 3" xfId="48905"/>
    <cellStyle name="SAPBEXHLevel2X 9 3 2 3" xfId="48906"/>
    <cellStyle name="SAPBEXHLevel2X 9 3 2 3 2" xfId="48907"/>
    <cellStyle name="SAPBEXHLevel2X 9 3 2 4" xfId="48908"/>
    <cellStyle name="SAPBEXHLevel2X 9 3 3" xfId="48909"/>
    <cellStyle name="SAPBEXHLevel2X 9 3 3 2" xfId="48910"/>
    <cellStyle name="SAPBEXHLevel2X 9 3 3 2 2" xfId="48911"/>
    <cellStyle name="SAPBEXHLevel2X 9 3 3 3" xfId="48912"/>
    <cellStyle name="SAPBEXHLevel2X 9 3 4" xfId="48913"/>
    <cellStyle name="SAPBEXHLevel2X 9 3 4 2" xfId="48914"/>
    <cellStyle name="SAPBEXHLevel2X 9 3 5" xfId="48915"/>
    <cellStyle name="SAPBEXHLevel2X 9 4" xfId="48916"/>
    <cellStyle name="SAPBEXHLevel2X 9 4 2" xfId="48917"/>
    <cellStyle name="SAPBEXHLevel2X 9 4 2 2" xfId="48918"/>
    <cellStyle name="SAPBEXHLevel2X 9 4 3" xfId="48919"/>
    <cellStyle name="SAPBEXHLevel2X 9 5" xfId="48920"/>
    <cellStyle name="SAPBEXHLevel2X 9 5 2" xfId="48921"/>
    <cellStyle name="SAPBEXHLevel2X 9 5 2 2" xfId="48922"/>
    <cellStyle name="SAPBEXHLevel2X 9 5 3" xfId="48923"/>
    <cellStyle name="SAPBEXHLevel2X 9 6" xfId="48924"/>
    <cellStyle name="SAPBEXHLevel2X 9 6 2" xfId="48925"/>
    <cellStyle name="SAPBEXHLevel2X 9 7" xfId="48926"/>
    <cellStyle name="SAPBEXHLevel3" xfId="65"/>
    <cellStyle name="SAPBEXHLevel3 10" xfId="48927"/>
    <cellStyle name="SAPBEXHLevel3 10 2" xfId="48928"/>
    <cellStyle name="SAPBEXHLevel3 10 2 2" xfId="48929"/>
    <cellStyle name="SAPBEXHLevel3 10 3" xfId="48930"/>
    <cellStyle name="SAPBEXHLevel3 11" xfId="48931"/>
    <cellStyle name="SAPBEXHLevel3 11 2" xfId="48932"/>
    <cellStyle name="SAPBEXHLevel3 12" xfId="48933"/>
    <cellStyle name="SAPBEXHLevel3 12 2" xfId="48934"/>
    <cellStyle name="SAPBEXHLevel3 12 2 2" xfId="48935"/>
    <cellStyle name="SAPBEXHLevel3 12 3" xfId="48936"/>
    <cellStyle name="SAPBEXHLevel3 12 3 2" xfId="48937"/>
    <cellStyle name="SAPBEXHLevel3 12 4" xfId="48938"/>
    <cellStyle name="SAPBEXHLevel3 13" xfId="48939"/>
    <cellStyle name="SAPBEXHLevel3 13 2" xfId="48940"/>
    <cellStyle name="SAPBEXHLevel3 14" xfId="48941"/>
    <cellStyle name="SAPBEXHLevel3 14 2" xfId="48942"/>
    <cellStyle name="SAPBEXHLevel3 14 3" xfId="48943"/>
    <cellStyle name="SAPBEXHLevel3 15" xfId="48944"/>
    <cellStyle name="SAPBEXHLevel3 15 2" xfId="48945"/>
    <cellStyle name="SAPBEXHLevel3 16" xfId="48946"/>
    <cellStyle name="SAPBEXHLevel3 16 2" xfId="48947"/>
    <cellStyle name="SAPBEXHLevel3 17" xfId="48948"/>
    <cellStyle name="SAPBEXHLevel3 18" xfId="48949"/>
    <cellStyle name="SAPBEXHLevel3 2" xfId="89"/>
    <cellStyle name="SAPBEXHLevel3 2 2" xfId="48950"/>
    <cellStyle name="SAPBEXHLevel3 2 2 2" xfId="48951"/>
    <cellStyle name="SAPBEXHLevel3 2 2 2 2" xfId="48952"/>
    <cellStyle name="SAPBEXHLevel3 2 2 2 2 2" xfId="48953"/>
    <cellStyle name="SAPBEXHLevel3 2 2 2 3" xfId="48954"/>
    <cellStyle name="SAPBEXHLevel3 2 2 3" xfId="48955"/>
    <cellStyle name="SAPBEXHLevel3 2 2 3 2" xfId="48956"/>
    <cellStyle name="SAPBEXHLevel3 2 2 3 2 2" xfId="48957"/>
    <cellStyle name="SAPBEXHLevel3 2 2 3 3" xfId="48958"/>
    <cellStyle name="SAPBEXHLevel3 2 2 4" xfId="48959"/>
    <cellStyle name="SAPBEXHLevel3 2 2 4 2" xfId="48960"/>
    <cellStyle name="SAPBEXHLevel3 2 2 4 2 2" xfId="48961"/>
    <cellStyle name="SAPBEXHLevel3 2 2 4 3" xfId="48962"/>
    <cellStyle name="SAPBEXHLevel3 2 2 5" xfId="48963"/>
    <cellStyle name="SAPBEXHLevel3 2 2 5 2" xfId="48964"/>
    <cellStyle name="SAPBEXHLevel3 2 2 6" xfId="48965"/>
    <cellStyle name="SAPBEXHLevel3 2 3" xfId="48966"/>
    <cellStyle name="SAPBEXHLevel3 2 3 2" xfId="48967"/>
    <cellStyle name="SAPBEXHLevel3 2 3 2 2" xfId="48968"/>
    <cellStyle name="SAPBEXHLevel3 2 3 2 2 2" xfId="48969"/>
    <cellStyle name="SAPBEXHLevel3 2 3 2 2 2 2" xfId="48970"/>
    <cellStyle name="SAPBEXHLevel3 2 3 2 2 3" xfId="48971"/>
    <cellStyle name="SAPBEXHLevel3 2 3 2 3" xfId="48972"/>
    <cellStyle name="SAPBEXHLevel3 2 3 2 3 2" xfId="48973"/>
    <cellStyle name="SAPBEXHLevel3 2 3 2 3 2 2" xfId="48974"/>
    <cellStyle name="SAPBEXHLevel3 2 3 2 3 3" xfId="48975"/>
    <cellStyle name="SAPBEXHLevel3 2 3 2 4" xfId="48976"/>
    <cellStyle name="SAPBEXHLevel3 2 3 2 4 2" xfId="48977"/>
    <cellStyle name="SAPBEXHLevel3 2 3 2 5" xfId="48978"/>
    <cellStyle name="SAPBEXHLevel3 2 3 3" xfId="48979"/>
    <cellStyle name="SAPBEXHLevel3 2 3 3 2" xfId="48980"/>
    <cellStyle name="SAPBEXHLevel3 2 3 3 2 2" xfId="48981"/>
    <cellStyle name="SAPBEXHLevel3 2 3 3 2 2 2" xfId="48982"/>
    <cellStyle name="SAPBEXHLevel3 2 3 3 2 3" xfId="48983"/>
    <cellStyle name="SAPBEXHLevel3 2 3 3 3" xfId="48984"/>
    <cellStyle name="SAPBEXHLevel3 2 3 3 3 2" xfId="48985"/>
    <cellStyle name="SAPBEXHLevel3 2 3 3 4" xfId="48986"/>
    <cellStyle name="SAPBEXHLevel3 2 3 4" xfId="48987"/>
    <cellStyle name="SAPBEXHLevel3 2 3 4 2" xfId="48988"/>
    <cellStyle name="SAPBEXHLevel3 2 3 4 2 2" xfId="48989"/>
    <cellStyle name="SAPBEXHLevel3 2 3 4 3" xfId="48990"/>
    <cellStyle name="SAPBEXHLevel3 2 3 5" xfId="48991"/>
    <cellStyle name="SAPBEXHLevel3 2 3 5 2" xfId="48992"/>
    <cellStyle name="SAPBEXHLevel3 2 3 5 2 2" xfId="48993"/>
    <cellStyle name="SAPBEXHLevel3 2 3 5 3" xfId="48994"/>
    <cellStyle name="SAPBEXHLevel3 2 3 6" xfId="48995"/>
    <cellStyle name="SAPBEXHLevel3 2 3 6 2" xfId="48996"/>
    <cellStyle name="SAPBEXHLevel3 2 3 7" xfId="48997"/>
    <cellStyle name="SAPBEXHLevel3 2 4" xfId="48998"/>
    <cellStyle name="SAPBEXHLevel3 2 4 2" xfId="48999"/>
    <cellStyle name="SAPBEXHLevel3 2 4 2 2" xfId="49000"/>
    <cellStyle name="SAPBEXHLevel3 2 4 2 2 2" xfId="49001"/>
    <cellStyle name="SAPBEXHLevel3 2 4 2 2 2 2" xfId="49002"/>
    <cellStyle name="SAPBEXHLevel3 2 4 2 2 2 2 2" xfId="49003"/>
    <cellStyle name="SAPBEXHLevel3 2 4 2 2 2 2 2 2" xfId="49004"/>
    <cellStyle name="SAPBEXHLevel3 2 4 2 2 2 2 3" xfId="49005"/>
    <cellStyle name="SAPBEXHLevel3 2 4 2 2 2 3" xfId="49006"/>
    <cellStyle name="SAPBEXHLevel3 2 4 2 2 2 3 2" xfId="49007"/>
    <cellStyle name="SAPBEXHLevel3 2 4 2 2 2 4" xfId="49008"/>
    <cellStyle name="SAPBEXHLevel3 2 4 2 2 3" xfId="49009"/>
    <cellStyle name="SAPBEXHLevel3 2 4 2 2 3 2" xfId="49010"/>
    <cellStyle name="SAPBEXHLevel3 2 4 2 2 3 2 2" xfId="49011"/>
    <cellStyle name="SAPBEXHLevel3 2 4 2 2 3 3" xfId="49012"/>
    <cellStyle name="SAPBEXHLevel3 2 4 2 2 4" xfId="49013"/>
    <cellStyle name="SAPBEXHLevel3 2 4 2 2 4 2" xfId="49014"/>
    <cellStyle name="SAPBEXHLevel3 2 4 2 2 5" xfId="49015"/>
    <cellStyle name="SAPBEXHLevel3 2 4 2 3" xfId="49016"/>
    <cellStyle name="SAPBEXHLevel3 2 4 2 3 2" xfId="49017"/>
    <cellStyle name="SAPBEXHLevel3 2 4 2 3 2 2" xfId="49018"/>
    <cellStyle name="SAPBEXHLevel3 2 4 2 3 3" xfId="49019"/>
    <cellStyle name="SAPBEXHLevel3 2 4 2 4" xfId="49020"/>
    <cellStyle name="SAPBEXHLevel3 2 4 2 4 2" xfId="49021"/>
    <cellStyle name="SAPBEXHLevel3 2 4 2 4 2 2" xfId="49022"/>
    <cellStyle name="SAPBEXHLevel3 2 4 2 4 2 2 2" xfId="49023"/>
    <cellStyle name="SAPBEXHLevel3 2 4 2 4 2 3" xfId="49024"/>
    <cellStyle name="SAPBEXHLevel3 2 4 2 4 3" xfId="49025"/>
    <cellStyle name="SAPBEXHLevel3 2 4 2 4 3 2" xfId="49026"/>
    <cellStyle name="SAPBEXHLevel3 2 4 2 4 4" xfId="49027"/>
    <cellStyle name="SAPBEXHLevel3 2 4 2 5" xfId="49028"/>
    <cellStyle name="SAPBEXHLevel3 2 4 2 5 2" xfId="49029"/>
    <cellStyle name="SAPBEXHLevel3 2 4 2 5 2 2" xfId="49030"/>
    <cellStyle name="SAPBEXHLevel3 2 4 2 5 3" xfId="49031"/>
    <cellStyle name="SAPBEXHLevel3 2 4 2 6" xfId="49032"/>
    <cellStyle name="SAPBEXHLevel3 2 4 2 6 2" xfId="49033"/>
    <cellStyle name="SAPBEXHLevel3 2 4 2 7" xfId="49034"/>
    <cellStyle name="SAPBEXHLevel3 2 4 3" xfId="49035"/>
    <cellStyle name="SAPBEXHLevel3 2 4 3 2" xfId="49036"/>
    <cellStyle name="SAPBEXHLevel3 2 4 3 2 2" xfId="49037"/>
    <cellStyle name="SAPBEXHLevel3 2 4 3 2 2 2" xfId="49038"/>
    <cellStyle name="SAPBEXHLevel3 2 4 3 2 2 2 2" xfId="49039"/>
    <cellStyle name="SAPBEXHLevel3 2 4 3 2 2 2 2 2" xfId="49040"/>
    <cellStyle name="SAPBEXHLevel3 2 4 3 2 2 2 3" xfId="49041"/>
    <cellStyle name="SAPBEXHLevel3 2 4 3 2 2 3" xfId="49042"/>
    <cellStyle name="SAPBEXHLevel3 2 4 3 2 2 3 2" xfId="49043"/>
    <cellStyle name="SAPBEXHLevel3 2 4 3 2 2 4" xfId="49044"/>
    <cellStyle name="SAPBEXHLevel3 2 4 3 2 3" xfId="49045"/>
    <cellStyle name="SAPBEXHLevel3 2 4 3 2 3 2" xfId="49046"/>
    <cellStyle name="SAPBEXHLevel3 2 4 3 2 3 2 2" xfId="49047"/>
    <cellStyle name="SAPBEXHLevel3 2 4 3 2 3 3" xfId="49048"/>
    <cellStyle name="SAPBEXHLevel3 2 4 3 2 4" xfId="49049"/>
    <cellStyle name="SAPBEXHLevel3 2 4 3 2 4 2" xfId="49050"/>
    <cellStyle name="SAPBEXHLevel3 2 4 3 2 5" xfId="49051"/>
    <cellStyle name="SAPBEXHLevel3 2 4 3 3" xfId="49052"/>
    <cellStyle name="SAPBEXHLevel3 2 4 3 3 2" xfId="49053"/>
    <cellStyle name="SAPBEXHLevel3 2 4 3 3 2 2" xfId="49054"/>
    <cellStyle name="SAPBEXHLevel3 2 4 3 3 2 2 2" xfId="49055"/>
    <cellStyle name="SAPBEXHLevel3 2 4 3 3 2 3" xfId="49056"/>
    <cellStyle name="SAPBEXHLevel3 2 4 3 3 3" xfId="49057"/>
    <cellStyle name="SAPBEXHLevel3 2 4 3 3 3 2" xfId="49058"/>
    <cellStyle name="SAPBEXHLevel3 2 4 3 3 4" xfId="49059"/>
    <cellStyle name="SAPBEXHLevel3 2 4 3 4" xfId="49060"/>
    <cellStyle name="SAPBEXHLevel3 2 4 3 4 2" xfId="49061"/>
    <cellStyle name="SAPBEXHLevel3 2 4 3 4 2 2" xfId="49062"/>
    <cellStyle name="SAPBEXHLevel3 2 4 3 4 3" xfId="49063"/>
    <cellStyle name="SAPBEXHLevel3 2 4 3 5" xfId="49064"/>
    <cellStyle name="SAPBEXHLevel3 2 4 3 5 2" xfId="49065"/>
    <cellStyle name="SAPBEXHLevel3 2 4 3 6" xfId="49066"/>
    <cellStyle name="SAPBEXHLevel3 2 4 4" xfId="49067"/>
    <cellStyle name="SAPBEXHLevel3 2 4 4 2" xfId="49068"/>
    <cellStyle name="SAPBEXHLevel3 2 4 4 2 2" xfId="49069"/>
    <cellStyle name="SAPBEXHLevel3 2 4 4 3" xfId="49070"/>
    <cellStyle name="SAPBEXHLevel3 2 4 5" xfId="49071"/>
    <cellStyle name="SAPBEXHLevel3 2 4 5 2" xfId="49072"/>
    <cellStyle name="SAPBEXHLevel3 2 4 5 2 2" xfId="49073"/>
    <cellStyle name="SAPBEXHLevel3 2 4 5 2 2 2" xfId="49074"/>
    <cellStyle name="SAPBEXHLevel3 2 4 5 2 3" xfId="49075"/>
    <cellStyle name="SAPBEXHLevel3 2 4 5 3" xfId="49076"/>
    <cellStyle name="SAPBEXHLevel3 2 4 5 3 2" xfId="49077"/>
    <cellStyle name="SAPBEXHLevel3 2 4 5 4" xfId="49078"/>
    <cellStyle name="SAPBEXHLevel3 2 4 6" xfId="49079"/>
    <cellStyle name="SAPBEXHLevel3 2 4 6 2" xfId="49080"/>
    <cellStyle name="SAPBEXHLevel3 2 4 6 2 2" xfId="49081"/>
    <cellStyle name="SAPBEXHLevel3 2 4 6 3" xfId="49082"/>
    <cellStyle name="SAPBEXHLevel3 2 4 7" xfId="49083"/>
    <cellStyle name="SAPBEXHLevel3 2 4 7 2" xfId="49084"/>
    <cellStyle name="SAPBEXHLevel3 2 4 8" xfId="49085"/>
    <cellStyle name="SAPBEXHLevel3 2 5" xfId="49086"/>
    <cellStyle name="SAPBEXHLevel3 2 5 2" xfId="49087"/>
    <cellStyle name="SAPBEXHLevel3 2 5 2 2" xfId="49088"/>
    <cellStyle name="SAPBEXHLevel3 2 5 2 2 2" xfId="49089"/>
    <cellStyle name="SAPBEXHLevel3 2 5 2 3" xfId="49090"/>
    <cellStyle name="SAPBEXHLevel3 2 5 3" xfId="49091"/>
    <cellStyle name="SAPBEXHLevel3 2 5 3 2" xfId="49092"/>
    <cellStyle name="SAPBEXHLevel3 2 5 4" xfId="49093"/>
    <cellStyle name="SAPBEXHLevel3 2 6" xfId="49094"/>
    <cellStyle name="SAPBEXHLevel3 2 6 2" xfId="49095"/>
    <cellStyle name="SAPBEXHLevel3 2 6 2 2" xfId="49096"/>
    <cellStyle name="SAPBEXHLevel3 2 6 3" xfId="49097"/>
    <cellStyle name="SAPBEXHLevel3 2 7" xfId="49098"/>
    <cellStyle name="SAPBEXHLevel3 2 7 2" xfId="49099"/>
    <cellStyle name="SAPBEXHLevel3 2 7 2 2" xfId="49100"/>
    <cellStyle name="SAPBEXHLevel3 2 7 3" xfId="49101"/>
    <cellStyle name="SAPBEXHLevel3 2 8" xfId="49102"/>
    <cellStyle name="SAPBEXHLevel3 2 8 2" xfId="49103"/>
    <cellStyle name="SAPBEXHLevel3 2 9" xfId="49104"/>
    <cellStyle name="SAPBEXHLevel3 3" xfId="49105"/>
    <cellStyle name="SAPBEXHLevel3 3 2" xfId="49106"/>
    <cellStyle name="SAPBEXHLevel3 3 2 2" xfId="49107"/>
    <cellStyle name="SAPBEXHLevel3 3 2 2 2" xfId="49108"/>
    <cellStyle name="SAPBEXHLevel3 3 2 2 2 2" xfId="49109"/>
    <cellStyle name="SAPBEXHLevel3 3 2 2 3" xfId="49110"/>
    <cellStyle name="SAPBEXHLevel3 3 2 3" xfId="49111"/>
    <cellStyle name="SAPBEXHLevel3 3 2 3 2" xfId="49112"/>
    <cellStyle name="SAPBEXHLevel3 3 2 3 2 2" xfId="49113"/>
    <cellStyle name="SAPBEXHLevel3 3 2 3 3" xfId="49114"/>
    <cellStyle name="SAPBEXHLevel3 3 2 4" xfId="49115"/>
    <cellStyle name="SAPBEXHLevel3 3 2 4 2" xfId="49116"/>
    <cellStyle name="SAPBEXHLevel3 3 2 4 2 2" xfId="49117"/>
    <cellStyle name="SAPBEXHLevel3 3 2 4 3" xfId="49118"/>
    <cellStyle name="SAPBEXHLevel3 3 2 5" xfId="49119"/>
    <cellStyle name="SAPBEXHLevel3 3 2 5 2" xfId="49120"/>
    <cellStyle name="SAPBEXHLevel3 3 2 6" xfId="49121"/>
    <cellStyle name="SAPBEXHLevel3 3 3" xfId="49122"/>
    <cellStyle name="SAPBEXHLevel3 3 3 2" xfId="49123"/>
    <cellStyle name="SAPBEXHLevel3 3 3 2 2" xfId="49124"/>
    <cellStyle name="SAPBEXHLevel3 3 3 2 2 2" xfId="49125"/>
    <cellStyle name="SAPBEXHLevel3 3 3 2 3" xfId="49126"/>
    <cellStyle name="SAPBEXHLevel3 3 3 3" xfId="49127"/>
    <cellStyle name="SAPBEXHLevel3 3 3 3 2" xfId="49128"/>
    <cellStyle name="SAPBEXHLevel3 3 3 4" xfId="49129"/>
    <cellStyle name="SAPBEXHLevel3 3 4" xfId="49130"/>
    <cellStyle name="SAPBEXHLevel3 3 4 2" xfId="49131"/>
    <cellStyle name="SAPBEXHLevel3 3 4 2 2" xfId="49132"/>
    <cellStyle name="SAPBEXHLevel3 3 4 3" xfId="49133"/>
    <cellStyle name="SAPBEXHLevel3 3 5" xfId="49134"/>
    <cellStyle name="SAPBEXHLevel3 3 5 2" xfId="49135"/>
    <cellStyle name="SAPBEXHLevel3 3 5 2 2" xfId="49136"/>
    <cellStyle name="SAPBEXHLevel3 3 5 3" xfId="49137"/>
    <cellStyle name="SAPBEXHLevel3 3 6" xfId="49138"/>
    <cellStyle name="SAPBEXHLevel3 3 6 2" xfId="49139"/>
    <cellStyle name="SAPBEXHLevel3 3 7" xfId="49140"/>
    <cellStyle name="SAPBEXHLevel3 4" xfId="49141"/>
    <cellStyle name="SAPBEXHLevel3 4 2" xfId="49142"/>
    <cellStyle name="SAPBEXHLevel3 4 2 2" xfId="49143"/>
    <cellStyle name="SAPBEXHLevel3 4 2 2 2" xfId="49144"/>
    <cellStyle name="SAPBEXHLevel3 4 2 2 2 2" xfId="49145"/>
    <cellStyle name="SAPBEXHLevel3 4 2 2 3" xfId="49146"/>
    <cellStyle name="SAPBEXHLevel3 4 2 3" xfId="49147"/>
    <cellStyle name="SAPBEXHLevel3 4 2 3 2" xfId="49148"/>
    <cellStyle name="SAPBEXHLevel3 4 2 3 2 2" xfId="49149"/>
    <cellStyle name="SAPBEXHLevel3 4 2 3 3" xfId="49150"/>
    <cellStyle name="SAPBEXHLevel3 4 2 4" xfId="49151"/>
    <cellStyle name="SAPBEXHLevel3 4 2 4 2" xfId="49152"/>
    <cellStyle name="SAPBEXHLevel3 4 2 4 2 2" xfId="49153"/>
    <cellStyle name="SAPBEXHLevel3 4 2 4 3" xfId="49154"/>
    <cellStyle name="SAPBEXHLevel3 4 2 5" xfId="49155"/>
    <cellStyle name="SAPBEXHLevel3 4 2 5 2" xfId="49156"/>
    <cellStyle name="SAPBEXHLevel3 4 2 6" xfId="49157"/>
    <cellStyle name="SAPBEXHLevel3 4 3" xfId="49158"/>
    <cellStyle name="SAPBEXHLevel3 4 3 2" xfId="49159"/>
    <cellStyle name="SAPBEXHLevel3 4 3 2 2" xfId="49160"/>
    <cellStyle name="SAPBEXHLevel3 4 3 2 2 2" xfId="49161"/>
    <cellStyle name="SAPBEXHLevel3 4 3 2 2 2 2" xfId="49162"/>
    <cellStyle name="SAPBEXHLevel3 4 3 2 2 3" xfId="49163"/>
    <cellStyle name="SAPBEXHLevel3 4 3 2 3" xfId="49164"/>
    <cellStyle name="SAPBEXHLevel3 4 3 2 3 2" xfId="49165"/>
    <cellStyle name="SAPBEXHLevel3 4 3 2 3 2 2" xfId="49166"/>
    <cellStyle name="SAPBEXHLevel3 4 3 2 3 3" xfId="49167"/>
    <cellStyle name="SAPBEXHLevel3 4 3 2 4" xfId="49168"/>
    <cellStyle name="SAPBEXHLevel3 4 3 2 4 2" xfId="49169"/>
    <cellStyle name="SAPBEXHLevel3 4 3 2 5" xfId="49170"/>
    <cellStyle name="SAPBEXHLevel3 4 3 3" xfId="49171"/>
    <cellStyle name="SAPBEXHLevel3 4 3 3 2" xfId="49172"/>
    <cellStyle name="SAPBEXHLevel3 4 3 3 2 2" xfId="49173"/>
    <cellStyle name="SAPBEXHLevel3 4 3 3 2 2 2" xfId="49174"/>
    <cellStyle name="SAPBEXHLevel3 4 3 3 2 3" xfId="49175"/>
    <cellStyle name="SAPBEXHLevel3 4 3 3 3" xfId="49176"/>
    <cellStyle name="SAPBEXHLevel3 4 3 3 3 2" xfId="49177"/>
    <cellStyle name="SAPBEXHLevel3 4 3 3 4" xfId="49178"/>
    <cellStyle name="SAPBEXHLevel3 4 3 4" xfId="49179"/>
    <cellStyle name="SAPBEXHLevel3 4 3 4 2" xfId="49180"/>
    <cellStyle name="SAPBEXHLevel3 4 3 4 2 2" xfId="49181"/>
    <cellStyle name="SAPBEXHLevel3 4 3 4 3" xfId="49182"/>
    <cellStyle name="SAPBEXHLevel3 4 3 5" xfId="49183"/>
    <cellStyle name="SAPBEXHLevel3 4 3 5 2" xfId="49184"/>
    <cellStyle name="SAPBEXHLevel3 4 3 5 2 2" xfId="49185"/>
    <cellStyle name="SAPBEXHLevel3 4 3 5 3" xfId="49186"/>
    <cellStyle name="SAPBEXHLevel3 4 3 6" xfId="49187"/>
    <cellStyle name="SAPBEXHLevel3 4 3 6 2" xfId="49188"/>
    <cellStyle name="SAPBEXHLevel3 4 3 7" xfId="49189"/>
    <cellStyle name="SAPBEXHLevel3 4 4" xfId="49190"/>
    <cellStyle name="SAPBEXHLevel3 4 4 2" xfId="49191"/>
    <cellStyle name="SAPBEXHLevel3 4 4 2 2" xfId="49192"/>
    <cellStyle name="SAPBEXHLevel3 4 4 2 2 2" xfId="49193"/>
    <cellStyle name="SAPBEXHLevel3 4 4 2 3" xfId="49194"/>
    <cellStyle name="SAPBEXHLevel3 4 4 3" xfId="49195"/>
    <cellStyle name="SAPBEXHLevel3 4 4 3 2" xfId="49196"/>
    <cellStyle name="SAPBEXHLevel3 4 4 4" xfId="49197"/>
    <cellStyle name="SAPBEXHLevel3 4 5" xfId="49198"/>
    <cellStyle name="SAPBEXHLevel3 4 5 2" xfId="49199"/>
    <cellStyle name="SAPBEXHLevel3 4 5 2 2" xfId="49200"/>
    <cellStyle name="SAPBEXHLevel3 4 5 3" xfId="49201"/>
    <cellStyle name="SAPBEXHLevel3 4 6" xfId="49202"/>
    <cellStyle name="SAPBEXHLevel3 4 6 2" xfId="49203"/>
    <cellStyle name="SAPBEXHLevel3 4 6 2 2" xfId="49204"/>
    <cellStyle name="SAPBEXHLevel3 4 6 3" xfId="49205"/>
    <cellStyle name="SAPBEXHLevel3 4 7" xfId="49206"/>
    <cellStyle name="SAPBEXHLevel3 4 7 2" xfId="49207"/>
    <cellStyle name="SAPBEXHLevel3 4 8" xfId="49208"/>
    <cellStyle name="SAPBEXHLevel3 5" xfId="49209"/>
    <cellStyle name="SAPBEXHLevel3 5 2" xfId="49210"/>
    <cellStyle name="SAPBEXHLevel3 5 2 2" xfId="49211"/>
    <cellStyle name="SAPBEXHLevel3 5 2 2 2" xfId="49212"/>
    <cellStyle name="SAPBEXHLevel3 5 2 3" xfId="49213"/>
    <cellStyle name="SAPBEXHLevel3 5 3" xfId="49214"/>
    <cellStyle name="SAPBEXHLevel3 5 3 2" xfId="49215"/>
    <cellStyle name="SAPBEXHLevel3 5 3 2 2" xfId="49216"/>
    <cellStyle name="SAPBEXHLevel3 5 3 3" xfId="49217"/>
    <cellStyle name="SAPBEXHLevel3 5 4" xfId="49218"/>
    <cellStyle name="SAPBEXHLevel3 5 4 2" xfId="49219"/>
    <cellStyle name="SAPBEXHLevel3 5 4 2 2" xfId="49220"/>
    <cellStyle name="SAPBEXHLevel3 5 4 3" xfId="49221"/>
    <cellStyle name="SAPBEXHLevel3 5 5" xfId="49222"/>
    <cellStyle name="SAPBEXHLevel3 5 5 2" xfId="49223"/>
    <cellStyle name="SAPBEXHLevel3 5 6" xfId="49224"/>
    <cellStyle name="SAPBEXHLevel3 6" xfId="49225"/>
    <cellStyle name="SAPBEXHLevel3 6 2" xfId="49226"/>
    <cellStyle name="SAPBEXHLevel3 6 2 2" xfId="49227"/>
    <cellStyle name="SAPBEXHLevel3 6 3" xfId="49228"/>
    <cellStyle name="SAPBEXHLevel3 6 3 2" xfId="49229"/>
    <cellStyle name="SAPBEXHLevel3 6 3 2 2" xfId="49230"/>
    <cellStyle name="SAPBEXHLevel3 6 3 3" xfId="49231"/>
    <cellStyle name="SAPBEXHLevel3 6 4" xfId="49232"/>
    <cellStyle name="SAPBEXHLevel3 6 4 2" xfId="49233"/>
    <cellStyle name="SAPBEXHLevel3 6 4 2 2" xfId="49234"/>
    <cellStyle name="SAPBEXHLevel3 6 4 3" xfId="49235"/>
    <cellStyle name="SAPBEXHLevel3 6 5" xfId="49236"/>
    <cellStyle name="SAPBEXHLevel3 7" xfId="49237"/>
    <cellStyle name="SAPBEXHLevel3 7 2" xfId="49238"/>
    <cellStyle name="SAPBEXHLevel3 7 2 2" xfId="49239"/>
    <cellStyle name="SAPBEXHLevel3 7 2 2 2" xfId="49240"/>
    <cellStyle name="SAPBEXHLevel3 7 2 3" xfId="49241"/>
    <cellStyle name="SAPBEXHLevel3 7 2 3 2" xfId="49242"/>
    <cellStyle name="SAPBEXHLevel3 7 2 3 2 2" xfId="49243"/>
    <cellStyle name="SAPBEXHLevel3 7 2 3 3" xfId="49244"/>
    <cellStyle name="SAPBEXHLevel3 7 2 4" xfId="49245"/>
    <cellStyle name="SAPBEXHLevel3 7 3" xfId="49246"/>
    <cellStyle name="SAPBEXHLevel3 7 3 2" xfId="49247"/>
    <cellStyle name="SAPBEXHLevel3 7 3 2 2" xfId="49248"/>
    <cellStyle name="SAPBEXHLevel3 7 3 3" xfId="49249"/>
    <cellStyle name="SAPBEXHLevel3 7 4" xfId="49250"/>
    <cellStyle name="SAPBEXHLevel3 7 4 2" xfId="49251"/>
    <cellStyle name="SAPBEXHLevel3 7 4 2 2" xfId="49252"/>
    <cellStyle name="SAPBEXHLevel3 7 4 3" xfId="49253"/>
    <cellStyle name="SAPBEXHLevel3 7 5" xfId="49254"/>
    <cellStyle name="SAPBEXHLevel3 7 5 2" xfId="49255"/>
    <cellStyle name="SAPBEXHLevel3 7 5 2 2" xfId="49256"/>
    <cellStyle name="SAPBEXHLevel3 7 5 3" xfId="49257"/>
    <cellStyle name="SAPBEXHLevel3 7 6" xfId="49258"/>
    <cellStyle name="SAPBEXHLevel3 8" xfId="49259"/>
    <cellStyle name="SAPBEXHLevel3 8 2" xfId="49260"/>
    <cellStyle name="SAPBEXHLevel3 8 2 2" xfId="49261"/>
    <cellStyle name="SAPBEXHLevel3 8 3" xfId="49262"/>
    <cellStyle name="SAPBEXHLevel3 9" xfId="49263"/>
    <cellStyle name="SAPBEXHLevel3 9 2" xfId="49264"/>
    <cellStyle name="SAPBEXHLevel3 9 2 2" xfId="49265"/>
    <cellStyle name="SAPBEXHLevel3 9 3" xfId="49266"/>
    <cellStyle name="SAPBEXHLevel3X" xfId="66"/>
    <cellStyle name="SAPBEXHLevel3X 10" xfId="49267"/>
    <cellStyle name="SAPBEXHLevel3X 10 2" xfId="49268"/>
    <cellStyle name="SAPBEXHLevel3X 10 2 2" xfId="49269"/>
    <cellStyle name="SAPBEXHLevel3X 10 3" xfId="49270"/>
    <cellStyle name="SAPBEXHLevel3X 11" xfId="49271"/>
    <cellStyle name="SAPBEXHLevel3X 11 2" xfId="49272"/>
    <cellStyle name="SAPBEXHLevel3X 11 2 2" xfId="49273"/>
    <cellStyle name="SAPBEXHLevel3X 11 3" xfId="49274"/>
    <cellStyle name="SAPBEXHLevel3X 12" xfId="49275"/>
    <cellStyle name="SAPBEXHLevel3X 12 2" xfId="49276"/>
    <cellStyle name="SAPBEXHLevel3X 12 2 2" xfId="49277"/>
    <cellStyle name="SAPBEXHLevel3X 12 3" xfId="49278"/>
    <cellStyle name="SAPBEXHLevel3X 13" xfId="49279"/>
    <cellStyle name="SAPBEXHLevel3X 13 2" xfId="49280"/>
    <cellStyle name="SAPBEXHLevel3X 13 2 2" xfId="49281"/>
    <cellStyle name="SAPBEXHLevel3X 13 3" xfId="49282"/>
    <cellStyle name="SAPBEXHLevel3X 14" xfId="49283"/>
    <cellStyle name="SAPBEXHLevel3X 14 2" xfId="49284"/>
    <cellStyle name="SAPBEXHLevel3X 15" xfId="49285"/>
    <cellStyle name="SAPBEXHLevel3X 15 2" xfId="49286"/>
    <cellStyle name="SAPBEXHLevel3X 15 2 2" xfId="49287"/>
    <cellStyle name="SAPBEXHLevel3X 15 3" xfId="49288"/>
    <cellStyle name="SAPBEXHLevel3X 15 3 2" xfId="49289"/>
    <cellStyle name="SAPBEXHLevel3X 15 4" xfId="49290"/>
    <cellStyle name="SAPBEXHLevel3X 16" xfId="49291"/>
    <cellStyle name="SAPBEXHLevel3X 16 2" xfId="49292"/>
    <cellStyle name="SAPBEXHLevel3X 17" xfId="49293"/>
    <cellStyle name="SAPBEXHLevel3X 17 2" xfId="49294"/>
    <cellStyle name="SAPBEXHLevel3X 17 3" xfId="49295"/>
    <cellStyle name="SAPBEXHLevel3X 18" xfId="49296"/>
    <cellStyle name="SAPBEXHLevel3X 18 2" xfId="49297"/>
    <cellStyle name="SAPBEXHLevel3X 19" xfId="49298"/>
    <cellStyle name="SAPBEXHLevel3X 19 2" xfId="49299"/>
    <cellStyle name="SAPBEXHLevel3X 2" xfId="90"/>
    <cellStyle name="SAPBEXHLevel3X 2 2" xfId="49300"/>
    <cellStyle name="SAPBEXHLevel3X 2 2 2" xfId="49301"/>
    <cellStyle name="SAPBEXHLevel3X 2 2 2 2" xfId="49302"/>
    <cellStyle name="SAPBEXHLevel3X 2 2 2 2 2" xfId="49303"/>
    <cellStyle name="SAPBEXHLevel3X 2 2 2 3" xfId="49304"/>
    <cellStyle name="SAPBEXHLevel3X 2 2 3" xfId="49305"/>
    <cellStyle name="SAPBEXHLevel3X 2 2 3 2" xfId="49306"/>
    <cellStyle name="SAPBEXHLevel3X 2 2 3 2 2" xfId="49307"/>
    <cellStyle name="SAPBEXHLevel3X 2 2 3 3" xfId="49308"/>
    <cellStyle name="SAPBEXHLevel3X 2 2 4" xfId="49309"/>
    <cellStyle name="SAPBEXHLevel3X 2 2 4 2" xfId="49310"/>
    <cellStyle name="SAPBEXHLevel3X 2 2 4 2 2" xfId="49311"/>
    <cellStyle name="SAPBEXHLevel3X 2 2 4 3" xfId="49312"/>
    <cellStyle name="SAPBEXHLevel3X 2 2 5" xfId="49313"/>
    <cellStyle name="SAPBEXHLevel3X 2 2 5 2" xfId="49314"/>
    <cellStyle name="SAPBEXHLevel3X 2 2 6" xfId="49315"/>
    <cellStyle name="SAPBEXHLevel3X 2 3" xfId="49316"/>
    <cellStyle name="SAPBEXHLevel3X 2 3 2" xfId="49317"/>
    <cellStyle name="SAPBEXHLevel3X 2 3 2 2" xfId="49318"/>
    <cellStyle name="SAPBEXHLevel3X 2 3 2 2 2" xfId="49319"/>
    <cellStyle name="SAPBEXHLevel3X 2 3 2 2 2 2" xfId="49320"/>
    <cellStyle name="SAPBEXHLevel3X 2 3 2 2 3" xfId="49321"/>
    <cellStyle name="SAPBEXHLevel3X 2 3 2 3" xfId="49322"/>
    <cellStyle name="SAPBEXHLevel3X 2 3 2 3 2" xfId="49323"/>
    <cellStyle name="SAPBEXHLevel3X 2 3 2 3 2 2" xfId="49324"/>
    <cellStyle name="SAPBEXHLevel3X 2 3 2 3 3" xfId="49325"/>
    <cellStyle name="SAPBEXHLevel3X 2 3 2 4" xfId="49326"/>
    <cellStyle name="SAPBEXHLevel3X 2 3 2 4 2" xfId="49327"/>
    <cellStyle name="SAPBEXHLevel3X 2 3 2 5" xfId="49328"/>
    <cellStyle name="SAPBEXHLevel3X 2 3 3" xfId="49329"/>
    <cellStyle name="SAPBEXHLevel3X 2 3 3 2" xfId="49330"/>
    <cellStyle name="SAPBEXHLevel3X 2 3 3 2 2" xfId="49331"/>
    <cellStyle name="SAPBEXHLevel3X 2 3 3 2 2 2" xfId="49332"/>
    <cellStyle name="SAPBEXHLevel3X 2 3 3 2 3" xfId="49333"/>
    <cellStyle name="SAPBEXHLevel3X 2 3 3 3" xfId="49334"/>
    <cellStyle name="SAPBEXHLevel3X 2 3 3 3 2" xfId="49335"/>
    <cellStyle name="SAPBEXHLevel3X 2 3 3 4" xfId="49336"/>
    <cellStyle name="SAPBEXHLevel3X 2 3 4" xfId="49337"/>
    <cellStyle name="SAPBEXHLevel3X 2 3 4 2" xfId="49338"/>
    <cellStyle name="SAPBEXHLevel3X 2 3 4 2 2" xfId="49339"/>
    <cellStyle name="SAPBEXHLevel3X 2 3 4 3" xfId="49340"/>
    <cellStyle name="SAPBEXHLevel3X 2 3 5" xfId="49341"/>
    <cellStyle name="SAPBEXHLevel3X 2 3 5 2" xfId="49342"/>
    <cellStyle name="SAPBEXHLevel3X 2 3 5 2 2" xfId="49343"/>
    <cellStyle name="SAPBEXHLevel3X 2 3 5 3" xfId="49344"/>
    <cellStyle name="SAPBEXHLevel3X 2 3 6" xfId="49345"/>
    <cellStyle name="SAPBEXHLevel3X 2 3 6 2" xfId="49346"/>
    <cellStyle name="SAPBEXHLevel3X 2 3 7" xfId="49347"/>
    <cellStyle name="SAPBEXHLevel3X 2 4" xfId="49348"/>
    <cellStyle name="SAPBEXHLevel3X 2 4 2" xfId="49349"/>
    <cellStyle name="SAPBEXHLevel3X 2 4 2 2" xfId="49350"/>
    <cellStyle name="SAPBEXHLevel3X 2 4 2 2 2" xfId="49351"/>
    <cellStyle name="SAPBEXHLevel3X 2 4 2 2 2 2" xfId="49352"/>
    <cellStyle name="SAPBEXHLevel3X 2 4 2 2 3" xfId="49353"/>
    <cellStyle name="SAPBEXHLevel3X 2 4 2 3" xfId="49354"/>
    <cellStyle name="SAPBEXHLevel3X 2 4 2 3 2" xfId="49355"/>
    <cellStyle name="SAPBEXHLevel3X 2 4 2 3 2 2" xfId="49356"/>
    <cellStyle name="SAPBEXHLevel3X 2 4 2 3 3" xfId="49357"/>
    <cellStyle name="SAPBEXHLevel3X 2 4 2 4" xfId="49358"/>
    <cellStyle name="SAPBEXHLevel3X 2 4 2 4 2" xfId="49359"/>
    <cellStyle name="SAPBEXHLevel3X 2 4 2 5" xfId="49360"/>
    <cellStyle name="SAPBEXHLevel3X 2 4 3" xfId="49361"/>
    <cellStyle name="SAPBEXHLevel3X 2 4 3 2" xfId="49362"/>
    <cellStyle name="SAPBEXHLevel3X 2 4 3 2 2" xfId="49363"/>
    <cellStyle name="SAPBEXHLevel3X 2 4 3 2 2 2" xfId="49364"/>
    <cellStyle name="SAPBEXHLevel3X 2 4 3 2 3" xfId="49365"/>
    <cellStyle name="SAPBEXHLevel3X 2 4 3 3" xfId="49366"/>
    <cellStyle name="SAPBEXHLevel3X 2 4 3 3 2" xfId="49367"/>
    <cellStyle name="SAPBEXHLevel3X 2 4 3 4" xfId="49368"/>
    <cellStyle name="SAPBEXHLevel3X 2 4 4" xfId="49369"/>
    <cellStyle name="SAPBEXHLevel3X 2 4 4 2" xfId="49370"/>
    <cellStyle name="SAPBEXHLevel3X 2 4 4 2 2" xfId="49371"/>
    <cellStyle name="SAPBEXHLevel3X 2 4 4 3" xfId="49372"/>
    <cellStyle name="SAPBEXHLevel3X 2 4 5" xfId="49373"/>
    <cellStyle name="SAPBEXHLevel3X 2 4 5 2" xfId="49374"/>
    <cellStyle name="SAPBEXHLevel3X 2 4 6" xfId="49375"/>
    <cellStyle name="SAPBEXHLevel3X 2 5" xfId="49376"/>
    <cellStyle name="SAPBEXHLevel3X 2 5 2" xfId="49377"/>
    <cellStyle name="SAPBEXHLevel3X 2 5 2 2" xfId="49378"/>
    <cellStyle name="SAPBEXHLevel3X 2 5 2 2 2" xfId="49379"/>
    <cellStyle name="SAPBEXHLevel3X 2 5 2 3" xfId="49380"/>
    <cellStyle name="SAPBEXHLevel3X 2 5 3" xfId="49381"/>
    <cellStyle name="SAPBEXHLevel3X 2 5 3 2" xfId="49382"/>
    <cellStyle name="SAPBEXHLevel3X 2 5 4" xfId="49383"/>
    <cellStyle name="SAPBEXHLevel3X 2 6" xfId="49384"/>
    <cellStyle name="SAPBEXHLevel3X 2 6 2" xfId="49385"/>
    <cellStyle name="SAPBEXHLevel3X 2 6 2 2" xfId="49386"/>
    <cellStyle name="SAPBEXHLevel3X 2 6 3" xfId="49387"/>
    <cellStyle name="SAPBEXHLevel3X 2 7" xfId="49388"/>
    <cellStyle name="SAPBEXHLevel3X 2 7 2" xfId="49389"/>
    <cellStyle name="SAPBEXHLevel3X 2 7 2 2" xfId="49390"/>
    <cellStyle name="SAPBEXHLevel3X 2 7 3" xfId="49391"/>
    <cellStyle name="SAPBEXHLevel3X 2 8" xfId="49392"/>
    <cellStyle name="SAPBEXHLevel3X 2 8 2" xfId="49393"/>
    <cellStyle name="SAPBEXHLevel3X 2 9" xfId="49394"/>
    <cellStyle name="SAPBEXHLevel3X 20" xfId="49395"/>
    <cellStyle name="SAPBEXHLevel3X 21" xfId="49396"/>
    <cellStyle name="SAPBEXHLevel3X 22" xfId="49397"/>
    <cellStyle name="SAPBEXHLevel3X 23" xfId="49398"/>
    <cellStyle name="SAPBEXHLevel3X 3" xfId="49399"/>
    <cellStyle name="SAPBEXHLevel3X 3 2" xfId="49400"/>
    <cellStyle name="SAPBEXHLevel3X 3 2 2" xfId="49401"/>
    <cellStyle name="SAPBEXHLevel3X 3 2 2 2" xfId="49402"/>
    <cellStyle name="SAPBEXHLevel3X 3 2 2 2 2" xfId="49403"/>
    <cellStyle name="SAPBEXHLevel3X 3 2 2 3" xfId="49404"/>
    <cellStyle name="SAPBEXHLevel3X 3 2 3" xfId="49405"/>
    <cellStyle name="SAPBEXHLevel3X 3 2 3 2" xfId="49406"/>
    <cellStyle name="SAPBEXHLevel3X 3 2 3 2 2" xfId="49407"/>
    <cellStyle name="SAPBEXHLevel3X 3 2 3 3" xfId="49408"/>
    <cellStyle name="SAPBEXHLevel3X 3 2 4" xfId="49409"/>
    <cellStyle name="SAPBEXHLevel3X 3 2 4 2" xfId="49410"/>
    <cellStyle name="SAPBEXHLevel3X 3 2 4 2 2" xfId="49411"/>
    <cellStyle name="SAPBEXHLevel3X 3 2 4 3" xfId="49412"/>
    <cellStyle name="SAPBEXHLevel3X 3 2 5" xfId="49413"/>
    <cellStyle name="SAPBEXHLevel3X 3 2 5 2" xfId="49414"/>
    <cellStyle name="SAPBEXHLevel3X 3 2 6" xfId="49415"/>
    <cellStyle name="SAPBEXHLevel3X 3 3" xfId="49416"/>
    <cellStyle name="SAPBEXHLevel3X 3 3 2" xfId="49417"/>
    <cellStyle name="SAPBEXHLevel3X 3 3 2 2" xfId="49418"/>
    <cellStyle name="SAPBEXHLevel3X 3 3 2 2 2" xfId="49419"/>
    <cellStyle name="SAPBEXHLevel3X 3 3 2 3" xfId="49420"/>
    <cellStyle name="SAPBEXHLevel3X 3 3 3" xfId="49421"/>
    <cellStyle name="SAPBEXHLevel3X 3 3 3 2" xfId="49422"/>
    <cellStyle name="SAPBEXHLevel3X 3 3 4" xfId="49423"/>
    <cellStyle name="SAPBEXHLevel3X 3 4" xfId="49424"/>
    <cellStyle name="SAPBEXHLevel3X 3 4 2" xfId="49425"/>
    <cellStyle name="SAPBEXHLevel3X 3 4 2 2" xfId="49426"/>
    <cellStyle name="SAPBEXHLevel3X 3 4 3" xfId="49427"/>
    <cellStyle name="SAPBEXHLevel3X 3 5" xfId="49428"/>
    <cellStyle name="SAPBEXHLevel3X 3 5 2" xfId="49429"/>
    <cellStyle name="SAPBEXHLevel3X 3 5 2 2" xfId="49430"/>
    <cellStyle name="SAPBEXHLevel3X 3 5 3" xfId="49431"/>
    <cellStyle name="SAPBEXHLevel3X 3 6" xfId="49432"/>
    <cellStyle name="SAPBEXHLevel3X 3 6 2" xfId="49433"/>
    <cellStyle name="SAPBEXHLevel3X 3 7" xfId="49434"/>
    <cellStyle name="SAPBEXHLevel3X 4" xfId="49435"/>
    <cellStyle name="SAPBEXHLevel3X 4 2" xfId="49436"/>
    <cellStyle name="SAPBEXHLevel3X 4 2 2" xfId="49437"/>
    <cellStyle name="SAPBEXHLevel3X 4 2 2 2" xfId="49438"/>
    <cellStyle name="SAPBEXHLevel3X 4 2 2 2 2" xfId="49439"/>
    <cellStyle name="SAPBEXHLevel3X 4 2 2 3" xfId="49440"/>
    <cellStyle name="SAPBEXHLevel3X 4 2 3" xfId="49441"/>
    <cellStyle name="SAPBEXHLevel3X 4 2 3 2" xfId="49442"/>
    <cellStyle name="SAPBEXHLevel3X 4 2 3 2 2" xfId="49443"/>
    <cellStyle name="SAPBEXHLevel3X 4 2 3 3" xfId="49444"/>
    <cellStyle name="SAPBEXHLevel3X 4 2 4" xfId="49445"/>
    <cellStyle name="SAPBEXHLevel3X 4 2 4 2" xfId="49446"/>
    <cellStyle name="SAPBEXHLevel3X 4 2 4 2 2" xfId="49447"/>
    <cellStyle name="SAPBEXHLevel3X 4 2 4 3" xfId="49448"/>
    <cellStyle name="SAPBEXHLevel3X 4 2 5" xfId="49449"/>
    <cellStyle name="SAPBEXHLevel3X 4 2 5 2" xfId="49450"/>
    <cellStyle name="SAPBEXHLevel3X 4 2 6" xfId="49451"/>
    <cellStyle name="SAPBEXHLevel3X 4 3" xfId="49452"/>
    <cellStyle name="SAPBEXHLevel3X 4 3 2" xfId="49453"/>
    <cellStyle name="SAPBEXHLevel3X 4 3 2 2" xfId="49454"/>
    <cellStyle name="SAPBEXHLevel3X 4 3 2 2 2" xfId="49455"/>
    <cellStyle name="SAPBEXHLevel3X 4 3 2 2 2 2" xfId="49456"/>
    <cellStyle name="SAPBEXHLevel3X 4 3 2 2 3" xfId="49457"/>
    <cellStyle name="SAPBEXHLevel3X 4 3 2 3" xfId="49458"/>
    <cellStyle name="SAPBEXHLevel3X 4 3 2 3 2" xfId="49459"/>
    <cellStyle name="SAPBEXHLevel3X 4 3 2 3 2 2" xfId="49460"/>
    <cellStyle name="SAPBEXHLevel3X 4 3 2 3 3" xfId="49461"/>
    <cellStyle name="SAPBEXHLevel3X 4 3 2 4" xfId="49462"/>
    <cellStyle name="SAPBEXHLevel3X 4 3 2 4 2" xfId="49463"/>
    <cellStyle name="SAPBEXHLevel3X 4 3 2 5" xfId="49464"/>
    <cellStyle name="SAPBEXHLevel3X 4 3 3" xfId="49465"/>
    <cellStyle name="SAPBEXHLevel3X 4 3 3 2" xfId="49466"/>
    <cellStyle name="SAPBEXHLevel3X 4 3 3 2 2" xfId="49467"/>
    <cellStyle name="SAPBEXHLevel3X 4 3 3 2 2 2" xfId="49468"/>
    <cellStyle name="SAPBEXHLevel3X 4 3 3 2 3" xfId="49469"/>
    <cellStyle name="SAPBEXHLevel3X 4 3 3 3" xfId="49470"/>
    <cellStyle name="SAPBEXHLevel3X 4 3 3 3 2" xfId="49471"/>
    <cellStyle name="SAPBEXHLevel3X 4 3 3 4" xfId="49472"/>
    <cellStyle name="SAPBEXHLevel3X 4 3 4" xfId="49473"/>
    <cellStyle name="SAPBEXHLevel3X 4 3 4 2" xfId="49474"/>
    <cellStyle name="SAPBEXHLevel3X 4 3 4 2 2" xfId="49475"/>
    <cellStyle name="SAPBEXHLevel3X 4 3 4 3" xfId="49476"/>
    <cellStyle name="SAPBEXHLevel3X 4 3 5" xfId="49477"/>
    <cellStyle name="SAPBEXHLevel3X 4 3 5 2" xfId="49478"/>
    <cellStyle name="SAPBEXHLevel3X 4 3 5 2 2" xfId="49479"/>
    <cellStyle name="SAPBEXHLevel3X 4 3 5 3" xfId="49480"/>
    <cellStyle name="SAPBEXHLevel3X 4 3 6" xfId="49481"/>
    <cellStyle name="SAPBEXHLevel3X 4 3 6 2" xfId="49482"/>
    <cellStyle name="SAPBEXHLevel3X 4 3 7" xfId="49483"/>
    <cellStyle name="SAPBEXHLevel3X 4 4" xfId="49484"/>
    <cellStyle name="SAPBEXHLevel3X 4 4 2" xfId="49485"/>
    <cellStyle name="SAPBEXHLevel3X 4 4 2 2" xfId="49486"/>
    <cellStyle name="SAPBEXHLevel3X 4 4 2 2 2" xfId="49487"/>
    <cellStyle name="SAPBEXHLevel3X 4 4 2 3" xfId="49488"/>
    <cellStyle name="SAPBEXHLevel3X 4 4 3" xfId="49489"/>
    <cellStyle name="SAPBEXHLevel3X 4 4 3 2" xfId="49490"/>
    <cellStyle name="SAPBEXHLevel3X 4 4 4" xfId="49491"/>
    <cellStyle name="SAPBEXHLevel3X 4 5" xfId="49492"/>
    <cellStyle name="SAPBEXHLevel3X 4 5 2" xfId="49493"/>
    <cellStyle name="SAPBEXHLevel3X 4 5 2 2" xfId="49494"/>
    <cellStyle name="SAPBEXHLevel3X 4 5 3" xfId="49495"/>
    <cellStyle name="SAPBEXHLevel3X 4 6" xfId="49496"/>
    <cellStyle name="SAPBEXHLevel3X 4 6 2" xfId="49497"/>
    <cellStyle name="SAPBEXHLevel3X 4 6 2 2" xfId="49498"/>
    <cellStyle name="SAPBEXHLevel3X 4 6 3" xfId="49499"/>
    <cellStyle name="SAPBEXHLevel3X 4 7" xfId="49500"/>
    <cellStyle name="SAPBEXHLevel3X 4 7 2" xfId="49501"/>
    <cellStyle name="SAPBEXHLevel3X 4 8" xfId="49502"/>
    <cellStyle name="SAPBEXHLevel3X 5" xfId="49503"/>
    <cellStyle name="SAPBEXHLevel3X 5 2" xfId="49504"/>
    <cellStyle name="SAPBEXHLevel3X 5 2 2" xfId="49505"/>
    <cellStyle name="SAPBEXHLevel3X 5 2 2 2" xfId="49506"/>
    <cellStyle name="SAPBEXHLevel3X 5 2 3" xfId="49507"/>
    <cellStyle name="SAPBEXHLevel3X 5 3" xfId="49508"/>
    <cellStyle name="SAPBEXHLevel3X 5 3 2" xfId="49509"/>
    <cellStyle name="SAPBEXHLevel3X 5 3 2 2" xfId="49510"/>
    <cellStyle name="SAPBEXHLevel3X 5 3 3" xfId="49511"/>
    <cellStyle name="SAPBEXHLevel3X 5 4" xfId="49512"/>
    <cellStyle name="SAPBEXHLevel3X 5 4 2" xfId="49513"/>
    <cellStyle name="SAPBEXHLevel3X 5 4 2 2" xfId="49514"/>
    <cellStyle name="SAPBEXHLevel3X 5 4 3" xfId="49515"/>
    <cellStyle name="SAPBEXHLevel3X 5 5" xfId="49516"/>
    <cellStyle name="SAPBEXHLevel3X 5 5 2" xfId="49517"/>
    <cellStyle name="SAPBEXHLevel3X 5 6" xfId="49518"/>
    <cellStyle name="SAPBEXHLevel3X 6" xfId="49519"/>
    <cellStyle name="SAPBEXHLevel3X 6 2" xfId="49520"/>
    <cellStyle name="SAPBEXHLevel3X 6 2 2" xfId="49521"/>
    <cellStyle name="SAPBEXHLevel3X 6 3" xfId="49522"/>
    <cellStyle name="SAPBEXHLevel3X 6 3 2" xfId="49523"/>
    <cellStyle name="SAPBEXHLevel3X 6 3 2 2" xfId="49524"/>
    <cellStyle name="SAPBEXHLevel3X 6 3 3" xfId="49525"/>
    <cellStyle name="SAPBEXHLevel3X 6 4" xfId="49526"/>
    <cellStyle name="SAPBEXHLevel3X 6 4 2" xfId="49527"/>
    <cellStyle name="SAPBEXHLevel3X 6 4 2 2" xfId="49528"/>
    <cellStyle name="SAPBEXHLevel3X 6 4 3" xfId="49529"/>
    <cellStyle name="SAPBEXHLevel3X 6 5" xfId="49530"/>
    <cellStyle name="SAPBEXHLevel3X 7" xfId="49531"/>
    <cellStyle name="SAPBEXHLevel3X 7 2" xfId="49532"/>
    <cellStyle name="SAPBEXHLevel3X 7 2 2" xfId="49533"/>
    <cellStyle name="SAPBEXHLevel3X 7 2 2 2" xfId="49534"/>
    <cellStyle name="SAPBEXHLevel3X 7 2 3" xfId="49535"/>
    <cellStyle name="SAPBEXHLevel3X 7 2 3 2" xfId="49536"/>
    <cellStyle name="SAPBEXHLevel3X 7 2 3 2 2" xfId="49537"/>
    <cellStyle name="SAPBEXHLevel3X 7 2 3 3" xfId="49538"/>
    <cellStyle name="SAPBEXHLevel3X 7 2 4" xfId="49539"/>
    <cellStyle name="SAPBEXHLevel3X 7 3" xfId="49540"/>
    <cellStyle name="SAPBEXHLevel3X 7 3 2" xfId="49541"/>
    <cellStyle name="SAPBEXHLevel3X 7 3 2 2" xfId="49542"/>
    <cellStyle name="SAPBEXHLevel3X 7 3 3" xfId="49543"/>
    <cellStyle name="SAPBEXHLevel3X 7 4" xfId="49544"/>
    <cellStyle name="SAPBEXHLevel3X 7 4 2" xfId="49545"/>
    <cellStyle name="SAPBEXHLevel3X 7 4 2 2" xfId="49546"/>
    <cellStyle name="SAPBEXHLevel3X 7 4 3" xfId="49547"/>
    <cellStyle name="SAPBEXHLevel3X 7 5" xfId="49548"/>
    <cellStyle name="SAPBEXHLevel3X 7 5 2" xfId="49549"/>
    <cellStyle name="SAPBEXHLevel3X 7 5 2 2" xfId="49550"/>
    <cellStyle name="SAPBEXHLevel3X 7 5 3" xfId="49551"/>
    <cellStyle name="SAPBEXHLevel3X 7 6" xfId="49552"/>
    <cellStyle name="SAPBEXHLevel3X 8" xfId="49553"/>
    <cellStyle name="SAPBEXHLevel3X 8 2" xfId="49554"/>
    <cellStyle name="SAPBEXHLevel3X 8 2 2" xfId="49555"/>
    <cellStyle name="SAPBEXHLevel3X 8 2 2 2" xfId="49556"/>
    <cellStyle name="SAPBEXHLevel3X 8 2 3" xfId="49557"/>
    <cellStyle name="SAPBEXHLevel3X 8 3" xfId="49558"/>
    <cellStyle name="SAPBEXHLevel3X 8 3 2" xfId="49559"/>
    <cellStyle name="SAPBEXHLevel3X 8 3 2 2" xfId="49560"/>
    <cellStyle name="SAPBEXHLevel3X 8 3 3" xfId="49561"/>
    <cellStyle name="SAPBEXHLevel3X 8 4" xfId="49562"/>
    <cellStyle name="SAPBEXHLevel3X 8 4 2" xfId="49563"/>
    <cellStyle name="SAPBEXHLevel3X 8 5" xfId="49564"/>
    <cellStyle name="SAPBEXHLevel3X 9" xfId="49565"/>
    <cellStyle name="SAPBEXHLevel3X 9 2" xfId="49566"/>
    <cellStyle name="SAPBEXHLevel3X 9 2 2" xfId="49567"/>
    <cellStyle name="SAPBEXHLevel3X 9 2 2 2" xfId="49568"/>
    <cellStyle name="SAPBEXHLevel3X 9 2 2 2 2" xfId="49569"/>
    <cellStyle name="SAPBEXHLevel3X 9 2 2 3" xfId="49570"/>
    <cellStyle name="SAPBEXHLevel3X 9 2 3" xfId="49571"/>
    <cellStyle name="SAPBEXHLevel3X 9 2 3 2" xfId="49572"/>
    <cellStyle name="SAPBEXHLevel3X 9 2 4" xfId="49573"/>
    <cellStyle name="SAPBEXHLevel3X 9 3" xfId="49574"/>
    <cellStyle name="SAPBEXHLevel3X 9 3 2" xfId="49575"/>
    <cellStyle name="SAPBEXHLevel3X 9 3 2 2" xfId="49576"/>
    <cellStyle name="SAPBEXHLevel3X 9 3 2 2 2" xfId="49577"/>
    <cellStyle name="SAPBEXHLevel3X 9 3 2 2 2 2" xfId="49578"/>
    <cellStyle name="SAPBEXHLevel3X 9 3 2 2 3" xfId="49579"/>
    <cellStyle name="SAPBEXHLevel3X 9 3 2 3" xfId="49580"/>
    <cellStyle name="SAPBEXHLevel3X 9 3 2 3 2" xfId="49581"/>
    <cellStyle name="SAPBEXHLevel3X 9 3 2 4" xfId="49582"/>
    <cellStyle name="SAPBEXHLevel3X 9 3 3" xfId="49583"/>
    <cellStyle name="SAPBEXHLevel3X 9 3 3 2" xfId="49584"/>
    <cellStyle name="SAPBEXHLevel3X 9 3 3 2 2" xfId="49585"/>
    <cellStyle name="SAPBEXHLevel3X 9 3 3 3" xfId="49586"/>
    <cellStyle name="SAPBEXHLevel3X 9 3 4" xfId="49587"/>
    <cellStyle name="SAPBEXHLevel3X 9 3 4 2" xfId="49588"/>
    <cellStyle name="SAPBEXHLevel3X 9 3 5" xfId="49589"/>
    <cellStyle name="SAPBEXHLevel3X 9 4" xfId="49590"/>
    <cellStyle name="SAPBEXHLevel3X 9 4 2" xfId="49591"/>
    <cellStyle name="SAPBEXHLevel3X 9 4 2 2" xfId="49592"/>
    <cellStyle name="SAPBEXHLevel3X 9 4 3" xfId="49593"/>
    <cellStyle name="SAPBEXHLevel3X 9 5" xfId="49594"/>
    <cellStyle name="SAPBEXHLevel3X 9 5 2" xfId="49595"/>
    <cellStyle name="SAPBEXHLevel3X 9 5 2 2" xfId="49596"/>
    <cellStyle name="SAPBEXHLevel3X 9 5 3" xfId="49597"/>
    <cellStyle name="SAPBEXHLevel3X 9 6" xfId="49598"/>
    <cellStyle name="SAPBEXHLevel3X 9 6 2" xfId="49599"/>
    <cellStyle name="SAPBEXHLevel3X 9 7" xfId="49600"/>
    <cellStyle name="SAPBEXinputData" xfId="67"/>
    <cellStyle name="SAPBEXinputData 10" xfId="49601"/>
    <cellStyle name="SAPBEXinputData 10 2" xfId="49602"/>
    <cellStyle name="SAPBEXinputData 10 2 2" xfId="49603"/>
    <cellStyle name="SAPBEXinputData 10 3" xfId="49604"/>
    <cellStyle name="SAPBEXinputData 11" xfId="49605"/>
    <cellStyle name="SAPBEXinputData 11 2" xfId="49606"/>
    <cellStyle name="SAPBEXinputData 11 2 2" xfId="49607"/>
    <cellStyle name="SAPBEXinputData 11 3" xfId="49608"/>
    <cellStyle name="SAPBEXinputData 12" xfId="49609"/>
    <cellStyle name="SAPBEXinputData 12 2" xfId="49610"/>
    <cellStyle name="SAPBEXinputData 12 2 2" xfId="49611"/>
    <cellStyle name="SAPBEXinputData 12 3" xfId="49612"/>
    <cellStyle name="SAPBEXinputData 13" xfId="49613"/>
    <cellStyle name="SAPBEXinputData 13 2" xfId="49614"/>
    <cellStyle name="SAPBEXinputData 14" xfId="49615"/>
    <cellStyle name="SAPBEXinputData 14 2" xfId="49616"/>
    <cellStyle name="SAPBEXinputData 15" xfId="49617"/>
    <cellStyle name="SAPBEXinputData 15 2" xfId="49618"/>
    <cellStyle name="SAPBEXinputData 15 2 2" xfId="49619"/>
    <cellStyle name="SAPBEXinputData 15 3" xfId="49620"/>
    <cellStyle name="SAPBEXinputData 16" xfId="49621"/>
    <cellStyle name="SAPBEXinputData 16 2" xfId="49622"/>
    <cellStyle name="SAPBEXinputData 17" xfId="49623"/>
    <cellStyle name="SAPBEXinputData 17 2" xfId="49624"/>
    <cellStyle name="SAPBEXinputData 18" xfId="49625"/>
    <cellStyle name="SAPBEXinputData 18 2" xfId="49626"/>
    <cellStyle name="SAPBEXinputData 19" xfId="49627"/>
    <cellStyle name="SAPBEXinputData 2" xfId="91"/>
    <cellStyle name="SAPBEXinputData 2 2" xfId="49628"/>
    <cellStyle name="SAPBEXinputData 2 2 2" xfId="49629"/>
    <cellStyle name="SAPBEXinputData 2 2 2 2" xfId="49630"/>
    <cellStyle name="SAPBEXinputData 2 2 3" xfId="49631"/>
    <cellStyle name="SAPBEXinputData 2 2 3 2" xfId="49632"/>
    <cellStyle name="SAPBEXinputData 2 2 3 2 2" xfId="49633"/>
    <cellStyle name="SAPBEXinputData 2 2 3 3" xfId="49634"/>
    <cellStyle name="SAPBEXinputData 2 2 4" xfId="49635"/>
    <cellStyle name="SAPBEXinputData 2 2 4 2" xfId="49636"/>
    <cellStyle name="SAPBEXinputData 2 2 4 2 2" xfId="49637"/>
    <cellStyle name="SAPBEXinputData 2 2 4 3" xfId="49638"/>
    <cellStyle name="SAPBEXinputData 2 2 5" xfId="49639"/>
    <cellStyle name="SAPBEXinputData 2 3" xfId="49640"/>
    <cellStyle name="SAPBEXinputData 2 3 2" xfId="49641"/>
    <cellStyle name="SAPBEXinputData 2 3 2 2" xfId="49642"/>
    <cellStyle name="SAPBEXinputData 2 3 2 2 2" xfId="49643"/>
    <cellStyle name="SAPBEXinputData 2 3 2 3" xfId="49644"/>
    <cellStyle name="SAPBEXinputData 2 3 2 3 2" xfId="49645"/>
    <cellStyle name="SAPBEXinputData 2 3 2 3 2 2" xfId="49646"/>
    <cellStyle name="SAPBEXinputData 2 3 2 3 3" xfId="49647"/>
    <cellStyle name="SAPBEXinputData 2 3 2 4" xfId="49648"/>
    <cellStyle name="SAPBEXinputData 2 3 3" xfId="49649"/>
    <cellStyle name="SAPBEXinputData 2 3 3 2" xfId="49650"/>
    <cellStyle name="SAPBEXinputData 2 3 3 2 2" xfId="49651"/>
    <cellStyle name="SAPBEXinputData 2 3 3 3" xfId="49652"/>
    <cellStyle name="SAPBEXinputData 2 3 4" xfId="49653"/>
    <cellStyle name="SAPBEXinputData 2 3 4 2" xfId="49654"/>
    <cellStyle name="SAPBEXinputData 2 3 4 2 2" xfId="49655"/>
    <cellStyle name="SAPBEXinputData 2 3 4 3" xfId="49656"/>
    <cellStyle name="SAPBEXinputData 2 3 5" xfId="49657"/>
    <cellStyle name="SAPBEXinputData 2 3 5 2" xfId="49658"/>
    <cellStyle name="SAPBEXinputData 2 3 5 2 2" xfId="49659"/>
    <cellStyle name="SAPBEXinputData 2 3 5 3" xfId="49660"/>
    <cellStyle name="SAPBEXinputData 2 3 6" xfId="49661"/>
    <cellStyle name="SAPBEXinputData 2 4" xfId="49662"/>
    <cellStyle name="SAPBEXinputData 2 4 2" xfId="49663"/>
    <cellStyle name="SAPBEXinputData 2 4 2 2" xfId="49664"/>
    <cellStyle name="SAPBEXinputData 2 4 2 2 2" xfId="49665"/>
    <cellStyle name="SAPBEXinputData 2 4 2 3" xfId="49666"/>
    <cellStyle name="SAPBEXinputData 2 4 2 3 2" xfId="49667"/>
    <cellStyle name="SAPBEXinputData 2 4 2 3 2 2" xfId="49668"/>
    <cellStyle name="SAPBEXinputData 2 4 2 3 3" xfId="49669"/>
    <cellStyle name="SAPBEXinputData 2 4 2 4" xfId="49670"/>
    <cellStyle name="SAPBEXinputData 2 4 3" xfId="49671"/>
    <cellStyle name="SAPBEXinputData 2 4 3 2" xfId="49672"/>
    <cellStyle name="SAPBEXinputData 2 4 3 2 2" xfId="49673"/>
    <cellStyle name="SAPBEXinputData 2 4 3 3" xfId="49674"/>
    <cellStyle name="SAPBEXinputData 2 4 4" xfId="49675"/>
    <cellStyle name="SAPBEXinputData 2 4 4 2" xfId="49676"/>
    <cellStyle name="SAPBEXinputData 2 4 4 2 2" xfId="49677"/>
    <cellStyle name="SAPBEXinputData 2 4 4 3" xfId="49678"/>
    <cellStyle name="SAPBEXinputData 2 4 5" xfId="49679"/>
    <cellStyle name="SAPBEXinputData 2 5" xfId="49680"/>
    <cellStyle name="SAPBEXinputData 2 5 2" xfId="49681"/>
    <cellStyle name="SAPBEXinputData 2 5 2 2" xfId="49682"/>
    <cellStyle name="SAPBEXinputData 2 5 3" xfId="49683"/>
    <cellStyle name="SAPBEXinputData 2 6" xfId="49684"/>
    <cellStyle name="SAPBEXinputData 2 6 2" xfId="49685"/>
    <cellStyle name="SAPBEXinputData 2 6 2 2" xfId="49686"/>
    <cellStyle name="SAPBEXinputData 2 6 3" xfId="49687"/>
    <cellStyle name="SAPBEXinputData 2 7" xfId="49688"/>
    <cellStyle name="SAPBEXinputData 2 7 2" xfId="49689"/>
    <cellStyle name="SAPBEXinputData 2 7 2 2" xfId="49690"/>
    <cellStyle name="SAPBEXinputData 2 7 3" xfId="49691"/>
    <cellStyle name="SAPBEXinputData 2 8" xfId="49692"/>
    <cellStyle name="SAPBEXinputData 20" xfId="49693"/>
    <cellStyle name="SAPBEXinputData 21" xfId="49694"/>
    <cellStyle name="SAPBEXinputData 22" xfId="49695"/>
    <cellStyle name="SAPBEXinputData 3" xfId="49696"/>
    <cellStyle name="SAPBEXinputData 3 2" xfId="49697"/>
    <cellStyle name="SAPBEXinputData 3 2 2" xfId="49698"/>
    <cellStyle name="SAPBEXinputData 3 2 2 2" xfId="49699"/>
    <cellStyle name="SAPBEXinputData 3 2 3" xfId="49700"/>
    <cellStyle name="SAPBEXinputData 3 2 3 2" xfId="49701"/>
    <cellStyle name="SAPBEXinputData 3 2 3 2 2" xfId="49702"/>
    <cellStyle name="SAPBEXinputData 3 2 3 3" xfId="49703"/>
    <cellStyle name="SAPBEXinputData 3 2 4" xfId="49704"/>
    <cellStyle name="SAPBEXinputData 3 2 4 2" xfId="49705"/>
    <cellStyle name="SAPBEXinputData 3 2 4 2 2" xfId="49706"/>
    <cellStyle name="SAPBEXinputData 3 2 4 3" xfId="49707"/>
    <cellStyle name="SAPBEXinputData 3 2 5" xfId="49708"/>
    <cellStyle name="SAPBEXinputData 3 3" xfId="49709"/>
    <cellStyle name="SAPBEXinputData 3 3 2" xfId="49710"/>
    <cellStyle name="SAPBEXinputData 3 3 2 2" xfId="49711"/>
    <cellStyle name="SAPBEXinputData 3 3 3" xfId="49712"/>
    <cellStyle name="SAPBEXinputData 3 4" xfId="49713"/>
    <cellStyle name="SAPBEXinputData 3 4 2" xfId="49714"/>
    <cellStyle name="SAPBEXinputData 3 4 2 2" xfId="49715"/>
    <cellStyle name="SAPBEXinputData 3 4 3" xfId="49716"/>
    <cellStyle name="SAPBEXinputData 3 5" xfId="49717"/>
    <cellStyle name="SAPBEXinputData 3 5 2" xfId="49718"/>
    <cellStyle name="SAPBEXinputData 3 5 2 2" xfId="49719"/>
    <cellStyle name="SAPBEXinputData 3 5 3" xfId="49720"/>
    <cellStyle name="SAPBEXinputData 3 6" xfId="49721"/>
    <cellStyle name="SAPBEXinputData 4" xfId="49722"/>
    <cellStyle name="SAPBEXinputData 4 2" xfId="49723"/>
    <cellStyle name="SAPBEXinputData 4 2 2" xfId="49724"/>
    <cellStyle name="SAPBEXinputData 4 2 2 2" xfId="49725"/>
    <cellStyle name="SAPBEXinputData 4 2 3" xfId="49726"/>
    <cellStyle name="SAPBEXinputData 4 2 3 2" xfId="49727"/>
    <cellStyle name="SAPBEXinputData 4 2 3 2 2" xfId="49728"/>
    <cellStyle name="SAPBEXinputData 4 2 3 3" xfId="49729"/>
    <cellStyle name="SAPBEXinputData 4 2 4" xfId="49730"/>
    <cellStyle name="SAPBEXinputData 4 2 4 2" xfId="49731"/>
    <cellStyle name="SAPBEXinputData 4 2 4 2 2" xfId="49732"/>
    <cellStyle name="SAPBEXinputData 4 2 4 3" xfId="49733"/>
    <cellStyle name="SAPBEXinputData 4 2 5" xfId="49734"/>
    <cellStyle name="SAPBEXinputData 4 3" xfId="49735"/>
    <cellStyle name="SAPBEXinputData 4 3 2" xfId="49736"/>
    <cellStyle name="SAPBEXinputData 4 3 2 2" xfId="49737"/>
    <cellStyle name="SAPBEXinputData 4 3 2 2 2" xfId="49738"/>
    <cellStyle name="SAPBEXinputData 4 3 2 3" xfId="49739"/>
    <cellStyle name="SAPBEXinputData 4 3 2 3 2" xfId="49740"/>
    <cellStyle name="SAPBEXinputData 4 3 2 3 2 2" xfId="49741"/>
    <cellStyle name="SAPBEXinputData 4 3 2 3 3" xfId="49742"/>
    <cellStyle name="SAPBEXinputData 4 3 2 4" xfId="49743"/>
    <cellStyle name="SAPBEXinputData 4 3 3" xfId="49744"/>
    <cellStyle name="SAPBEXinputData 4 3 3 2" xfId="49745"/>
    <cellStyle name="SAPBEXinputData 4 3 3 2 2" xfId="49746"/>
    <cellStyle name="SAPBEXinputData 4 3 3 3" xfId="49747"/>
    <cellStyle name="SAPBEXinputData 4 3 4" xfId="49748"/>
    <cellStyle name="SAPBEXinputData 4 3 4 2" xfId="49749"/>
    <cellStyle name="SAPBEXinputData 4 3 4 2 2" xfId="49750"/>
    <cellStyle name="SAPBEXinputData 4 3 4 3" xfId="49751"/>
    <cellStyle name="SAPBEXinputData 4 3 5" xfId="49752"/>
    <cellStyle name="SAPBEXinputData 4 3 5 2" xfId="49753"/>
    <cellStyle name="SAPBEXinputData 4 3 5 2 2" xfId="49754"/>
    <cellStyle name="SAPBEXinputData 4 3 5 3" xfId="49755"/>
    <cellStyle name="SAPBEXinputData 4 3 6" xfId="49756"/>
    <cellStyle name="SAPBEXinputData 4 4" xfId="49757"/>
    <cellStyle name="SAPBEXinputData 4 4 2" xfId="49758"/>
    <cellStyle name="SAPBEXinputData 4 4 2 2" xfId="49759"/>
    <cellStyle name="SAPBEXinputData 4 4 3" xfId="49760"/>
    <cellStyle name="SAPBEXinputData 4 5" xfId="49761"/>
    <cellStyle name="SAPBEXinputData 4 5 2" xfId="49762"/>
    <cellStyle name="SAPBEXinputData 4 5 2 2" xfId="49763"/>
    <cellStyle name="SAPBEXinputData 4 5 3" xfId="49764"/>
    <cellStyle name="SAPBEXinputData 4 6" xfId="49765"/>
    <cellStyle name="SAPBEXinputData 4 6 2" xfId="49766"/>
    <cellStyle name="SAPBEXinputData 4 6 2 2" xfId="49767"/>
    <cellStyle name="SAPBEXinputData 4 6 3" xfId="49768"/>
    <cellStyle name="SAPBEXinputData 4 7" xfId="49769"/>
    <cellStyle name="SAPBEXinputData 5" xfId="49770"/>
    <cellStyle name="SAPBEXinputData 5 2" xfId="49771"/>
    <cellStyle name="SAPBEXinputData 5 2 2" xfId="49772"/>
    <cellStyle name="SAPBEXinputData 5 3" xfId="49773"/>
    <cellStyle name="SAPBEXinputData 5 3 2" xfId="49774"/>
    <cellStyle name="SAPBEXinputData 5 3 2 2" xfId="49775"/>
    <cellStyle name="SAPBEXinputData 5 3 3" xfId="49776"/>
    <cellStyle name="SAPBEXinputData 5 4" xfId="49777"/>
    <cellStyle name="SAPBEXinputData 5 4 2" xfId="49778"/>
    <cellStyle name="SAPBEXinputData 5 4 2 2" xfId="49779"/>
    <cellStyle name="SAPBEXinputData 5 4 3" xfId="49780"/>
    <cellStyle name="SAPBEXinputData 5 5" xfId="49781"/>
    <cellStyle name="SAPBEXinputData 6" xfId="49782"/>
    <cellStyle name="SAPBEXinputData 6 2" xfId="49783"/>
    <cellStyle name="SAPBEXinputData 6 2 2" xfId="49784"/>
    <cellStyle name="SAPBEXinputData 6 3" xfId="49785"/>
    <cellStyle name="SAPBEXinputData 6 3 2" xfId="49786"/>
    <cellStyle name="SAPBEXinputData 6 3 2 2" xfId="49787"/>
    <cellStyle name="SAPBEXinputData 6 3 3" xfId="49788"/>
    <cellStyle name="SAPBEXinputData 6 4" xfId="49789"/>
    <cellStyle name="SAPBEXinputData 6 4 2" xfId="49790"/>
    <cellStyle name="SAPBEXinputData 6 4 2 2" xfId="49791"/>
    <cellStyle name="SAPBEXinputData 6 4 3" xfId="49792"/>
    <cellStyle name="SAPBEXinputData 6 5" xfId="49793"/>
    <cellStyle name="SAPBEXinputData 7" xfId="49794"/>
    <cellStyle name="SAPBEXinputData 7 2" xfId="49795"/>
    <cellStyle name="SAPBEXinputData 7 2 2" xfId="49796"/>
    <cellStyle name="SAPBEXinputData 7 2 2 2" xfId="49797"/>
    <cellStyle name="SAPBEXinputData 7 2 3" xfId="49798"/>
    <cellStyle name="SAPBEXinputData 7 2 3 2" xfId="49799"/>
    <cellStyle name="SAPBEXinputData 7 2 3 2 2" xfId="49800"/>
    <cellStyle name="SAPBEXinputData 7 2 3 3" xfId="49801"/>
    <cellStyle name="SAPBEXinputData 7 2 4" xfId="49802"/>
    <cellStyle name="SAPBEXinputData 7 3" xfId="49803"/>
    <cellStyle name="SAPBEXinputData 7 3 2" xfId="49804"/>
    <cellStyle name="SAPBEXinputData 7 3 2 2" xfId="49805"/>
    <cellStyle name="SAPBEXinputData 7 3 3" xfId="49806"/>
    <cellStyle name="SAPBEXinputData 7 4" xfId="49807"/>
    <cellStyle name="SAPBEXinputData 7 4 2" xfId="49808"/>
    <cellStyle name="SAPBEXinputData 7 4 2 2" xfId="49809"/>
    <cellStyle name="SAPBEXinputData 7 4 3" xfId="49810"/>
    <cellStyle name="SAPBEXinputData 7 5" xfId="49811"/>
    <cellStyle name="SAPBEXinputData 7 5 2" xfId="49812"/>
    <cellStyle name="SAPBEXinputData 7 5 2 2" xfId="49813"/>
    <cellStyle name="SAPBEXinputData 7 5 3" xfId="49814"/>
    <cellStyle name="SAPBEXinputData 7 6" xfId="49815"/>
    <cellStyle name="SAPBEXinputData 8" xfId="49816"/>
    <cellStyle name="SAPBEXinputData 8 2" xfId="49817"/>
    <cellStyle name="SAPBEXinputData 8 2 2" xfId="49818"/>
    <cellStyle name="SAPBEXinputData 8 3" xfId="49819"/>
    <cellStyle name="SAPBEXinputData 8 3 2" xfId="49820"/>
    <cellStyle name="SAPBEXinputData 8 3 2 2" xfId="49821"/>
    <cellStyle name="SAPBEXinputData 8 3 3" xfId="49822"/>
    <cellStyle name="SAPBEXinputData 8 4" xfId="49823"/>
    <cellStyle name="SAPBEXinputData 9" xfId="49824"/>
    <cellStyle name="SAPBEXinputData 9 2" xfId="49825"/>
    <cellStyle name="SAPBEXinputData 9 2 2" xfId="49826"/>
    <cellStyle name="SAPBEXinputData 9 2 2 2" xfId="49827"/>
    <cellStyle name="SAPBEXinputData 9 2 3" xfId="49828"/>
    <cellStyle name="SAPBEXinputData 9 3" xfId="49829"/>
    <cellStyle name="SAPBEXinputData 9 3 2" xfId="49830"/>
    <cellStyle name="SAPBEXinputData 9 3 2 2" xfId="49831"/>
    <cellStyle name="SAPBEXinputData 9 3 2 2 2" xfId="49832"/>
    <cellStyle name="SAPBEXinputData 9 3 2 3" xfId="49833"/>
    <cellStyle name="SAPBEXinputData 9 3 3" xfId="49834"/>
    <cellStyle name="SAPBEXinputData 9 3 3 2" xfId="49835"/>
    <cellStyle name="SAPBEXinputData 9 3 4" xfId="49836"/>
    <cellStyle name="SAPBEXinputData 9 4" xfId="49837"/>
    <cellStyle name="SAPBEXinputData 9 4 2" xfId="49838"/>
    <cellStyle name="SAPBEXinputData 9 4 2 2" xfId="49839"/>
    <cellStyle name="SAPBEXinputData 9 4 3" xfId="49840"/>
    <cellStyle name="SAPBEXinputData 9 5" xfId="49841"/>
    <cellStyle name="SAPBEXinputData 9 5 2" xfId="49842"/>
    <cellStyle name="SAPBEXinputData 9 6" xfId="49843"/>
    <cellStyle name="SAPBEXItemHeader" xfId="49844"/>
    <cellStyle name="SAPBEXItemHeader 10" xfId="49845"/>
    <cellStyle name="SAPBEXItemHeader 11" xfId="49846"/>
    <cellStyle name="SAPBEXItemHeader 2" xfId="49847"/>
    <cellStyle name="SAPBEXItemHeader 2 2" xfId="49848"/>
    <cellStyle name="SAPBEXItemHeader 2 2 2" xfId="49849"/>
    <cellStyle name="SAPBEXItemHeader 2 2 2 2" xfId="49850"/>
    <cellStyle name="SAPBEXItemHeader 2 2 2 2 2" xfId="49851"/>
    <cellStyle name="SAPBEXItemHeader 2 2 2 3" xfId="49852"/>
    <cellStyle name="SAPBEXItemHeader 2 2 3" xfId="49853"/>
    <cellStyle name="SAPBEXItemHeader 2 2 3 2" xfId="49854"/>
    <cellStyle name="SAPBEXItemHeader 2 2 3 2 2" xfId="49855"/>
    <cellStyle name="SAPBEXItemHeader 2 2 3 3" xfId="49856"/>
    <cellStyle name="SAPBEXItemHeader 2 2 4" xfId="49857"/>
    <cellStyle name="SAPBEXItemHeader 2 2 4 2" xfId="49858"/>
    <cellStyle name="SAPBEXItemHeader 2 2 4 2 2" xfId="49859"/>
    <cellStyle name="SAPBEXItemHeader 2 2 4 3" xfId="49860"/>
    <cellStyle name="SAPBEXItemHeader 2 2 5" xfId="49861"/>
    <cellStyle name="SAPBEXItemHeader 2 2 5 2" xfId="49862"/>
    <cellStyle name="SAPBEXItemHeader 2 2 6" xfId="49863"/>
    <cellStyle name="SAPBEXItemHeader 2 3" xfId="49864"/>
    <cellStyle name="SAPBEXItemHeader 2 3 2" xfId="49865"/>
    <cellStyle name="SAPBEXItemHeader 2 3 2 2" xfId="49866"/>
    <cellStyle name="SAPBEXItemHeader 2 3 2 2 2" xfId="49867"/>
    <cellStyle name="SAPBEXItemHeader 2 3 2 2 2 2" xfId="49868"/>
    <cellStyle name="SAPBEXItemHeader 2 3 2 2 3" xfId="49869"/>
    <cellStyle name="SAPBEXItemHeader 2 3 2 3" xfId="49870"/>
    <cellStyle name="SAPBEXItemHeader 2 3 2 3 2" xfId="49871"/>
    <cellStyle name="SAPBEXItemHeader 2 3 2 3 2 2" xfId="49872"/>
    <cellStyle name="SAPBEXItemHeader 2 3 2 3 3" xfId="49873"/>
    <cellStyle name="SAPBEXItemHeader 2 3 2 4" xfId="49874"/>
    <cellStyle name="SAPBEXItemHeader 2 3 2 4 2" xfId="49875"/>
    <cellStyle name="SAPBEXItemHeader 2 3 2 5" xfId="49876"/>
    <cellStyle name="SAPBEXItemHeader 2 3 3" xfId="49877"/>
    <cellStyle name="SAPBEXItemHeader 2 3 3 2" xfId="49878"/>
    <cellStyle name="SAPBEXItemHeader 2 3 3 2 2" xfId="49879"/>
    <cellStyle name="SAPBEXItemHeader 2 3 3 2 2 2" xfId="49880"/>
    <cellStyle name="SAPBEXItemHeader 2 3 3 2 3" xfId="49881"/>
    <cellStyle name="SAPBEXItemHeader 2 3 3 3" xfId="49882"/>
    <cellStyle name="SAPBEXItemHeader 2 3 3 3 2" xfId="49883"/>
    <cellStyle name="SAPBEXItemHeader 2 3 3 4" xfId="49884"/>
    <cellStyle name="SAPBEXItemHeader 2 3 4" xfId="49885"/>
    <cellStyle name="SAPBEXItemHeader 2 3 4 2" xfId="49886"/>
    <cellStyle name="SAPBEXItemHeader 2 3 4 2 2" xfId="49887"/>
    <cellStyle name="SAPBEXItemHeader 2 3 4 3" xfId="49888"/>
    <cellStyle name="SAPBEXItemHeader 2 3 5" xfId="49889"/>
    <cellStyle name="SAPBEXItemHeader 2 3 5 2" xfId="49890"/>
    <cellStyle name="SAPBEXItemHeader 2 3 5 2 2" xfId="49891"/>
    <cellStyle name="SAPBEXItemHeader 2 3 5 3" xfId="49892"/>
    <cellStyle name="SAPBEXItemHeader 2 3 6" xfId="49893"/>
    <cellStyle name="SAPBEXItemHeader 2 3 6 2" xfId="49894"/>
    <cellStyle name="SAPBEXItemHeader 2 3 7" xfId="49895"/>
    <cellStyle name="SAPBEXItemHeader 2 4" xfId="49896"/>
    <cellStyle name="SAPBEXItemHeader 2 4 2" xfId="49897"/>
    <cellStyle name="SAPBEXItemHeader 2 4 2 2" xfId="49898"/>
    <cellStyle name="SAPBEXItemHeader 2 4 2 2 2" xfId="49899"/>
    <cellStyle name="SAPBEXItemHeader 2 4 2 3" xfId="49900"/>
    <cellStyle name="SAPBEXItemHeader 2 4 3" xfId="49901"/>
    <cellStyle name="SAPBEXItemHeader 2 4 3 2" xfId="49902"/>
    <cellStyle name="SAPBEXItemHeader 2 4 4" xfId="49903"/>
    <cellStyle name="SAPBEXItemHeader 2 5" xfId="49904"/>
    <cellStyle name="SAPBEXItemHeader 2 5 2" xfId="49905"/>
    <cellStyle name="SAPBEXItemHeader 2 5 2 2" xfId="49906"/>
    <cellStyle name="SAPBEXItemHeader 2 5 3" xfId="49907"/>
    <cellStyle name="SAPBEXItemHeader 2 6" xfId="49908"/>
    <cellStyle name="SAPBEXItemHeader 2 6 2" xfId="49909"/>
    <cellStyle name="SAPBEXItemHeader 2 6 2 2" xfId="49910"/>
    <cellStyle name="SAPBEXItemHeader 2 6 3" xfId="49911"/>
    <cellStyle name="SAPBEXItemHeader 2 7" xfId="49912"/>
    <cellStyle name="SAPBEXItemHeader 2 7 2" xfId="49913"/>
    <cellStyle name="SAPBEXItemHeader 2 8" xfId="49914"/>
    <cellStyle name="SAPBEXItemHeader 3" xfId="49915"/>
    <cellStyle name="SAPBEXItemHeader 3 2" xfId="49916"/>
    <cellStyle name="SAPBEXItemHeader 3 2 2" xfId="49917"/>
    <cellStyle name="SAPBEXItemHeader 3 2 2 2" xfId="49918"/>
    <cellStyle name="SAPBEXItemHeader 3 2 2 2 2" xfId="49919"/>
    <cellStyle name="SAPBEXItemHeader 3 2 2 3" xfId="49920"/>
    <cellStyle name="SAPBEXItemHeader 3 2 3" xfId="49921"/>
    <cellStyle name="SAPBEXItemHeader 3 2 3 2" xfId="49922"/>
    <cellStyle name="SAPBEXItemHeader 3 2 3 2 2" xfId="49923"/>
    <cellStyle name="SAPBEXItemHeader 3 2 3 3" xfId="49924"/>
    <cellStyle name="SAPBEXItemHeader 3 2 4" xfId="49925"/>
    <cellStyle name="SAPBEXItemHeader 3 2 4 2" xfId="49926"/>
    <cellStyle name="SAPBEXItemHeader 3 2 4 2 2" xfId="49927"/>
    <cellStyle name="SAPBEXItemHeader 3 2 4 3" xfId="49928"/>
    <cellStyle name="SAPBEXItemHeader 3 2 5" xfId="49929"/>
    <cellStyle name="SAPBEXItemHeader 3 2 5 2" xfId="49930"/>
    <cellStyle name="SAPBEXItemHeader 3 2 6" xfId="49931"/>
    <cellStyle name="SAPBEXItemHeader 3 3" xfId="49932"/>
    <cellStyle name="SAPBEXItemHeader 3 3 2" xfId="49933"/>
    <cellStyle name="SAPBEXItemHeader 3 3 2 2" xfId="49934"/>
    <cellStyle name="SAPBEXItemHeader 3 3 2 2 2" xfId="49935"/>
    <cellStyle name="SAPBEXItemHeader 3 3 2 3" xfId="49936"/>
    <cellStyle name="SAPBEXItemHeader 3 3 3" xfId="49937"/>
    <cellStyle name="SAPBEXItemHeader 3 3 3 2" xfId="49938"/>
    <cellStyle name="SAPBEXItemHeader 3 3 4" xfId="49939"/>
    <cellStyle name="SAPBEXItemHeader 3 4" xfId="49940"/>
    <cellStyle name="SAPBEXItemHeader 3 4 2" xfId="49941"/>
    <cellStyle name="SAPBEXItemHeader 3 4 2 2" xfId="49942"/>
    <cellStyle name="SAPBEXItemHeader 3 4 3" xfId="49943"/>
    <cellStyle name="SAPBEXItemHeader 3 5" xfId="49944"/>
    <cellStyle name="SAPBEXItemHeader 3 5 2" xfId="49945"/>
    <cellStyle name="SAPBEXItemHeader 3 5 2 2" xfId="49946"/>
    <cellStyle name="SAPBEXItemHeader 3 5 3" xfId="49947"/>
    <cellStyle name="SAPBEXItemHeader 3 6" xfId="49948"/>
    <cellStyle name="SAPBEXItemHeader 3 6 2" xfId="49949"/>
    <cellStyle name="SAPBEXItemHeader 3 7" xfId="49950"/>
    <cellStyle name="SAPBEXItemHeader 4" xfId="49951"/>
    <cellStyle name="SAPBEXItemHeader 4 2" xfId="49952"/>
    <cellStyle name="SAPBEXItemHeader 4 2 2" xfId="49953"/>
    <cellStyle name="SAPBEXItemHeader 4 2 2 2" xfId="49954"/>
    <cellStyle name="SAPBEXItemHeader 4 2 3" xfId="49955"/>
    <cellStyle name="SAPBEXItemHeader 4 3" xfId="49956"/>
    <cellStyle name="SAPBEXItemHeader 4 3 2" xfId="49957"/>
    <cellStyle name="SAPBEXItemHeader 4 3 2 2" xfId="49958"/>
    <cellStyle name="SAPBEXItemHeader 4 3 3" xfId="49959"/>
    <cellStyle name="SAPBEXItemHeader 4 4" xfId="49960"/>
    <cellStyle name="SAPBEXItemHeader 4 4 2" xfId="49961"/>
    <cellStyle name="SAPBEXItemHeader 4 4 2 2" xfId="49962"/>
    <cellStyle name="SAPBEXItemHeader 4 4 3" xfId="49963"/>
    <cellStyle name="SAPBEXItemHeader 4 5" xfId="49964"/>
    <cellStyle name="SAPBEXItemHeader 4 5 2" xfId="49965"/>
    <cellStyle name="SAPBEXItemHeader 4 6" xfId="49966"/>
    <cellStyle name="SAPBEXItemHeader 5" xfId="49967"/>
    <cellStyle name="SAPBEXItemHeader 5 2" xfId="49968"/>
    <cellStyle name="SAPBEXItemHeader 5 2 2" xfId="49969"/>
    <cellStyle name="SAPBEXItemHeader 5 2 2 2" xfId="49970"/>
    <cellStyle name="SAPBEXItemHeader 5 2 3" xfId="49971"/>
    <cellStyle name="SAPBEXItemHeader 5 3" xfId="49972"/>
    <cellStyle name="SAPBEXItemHeader 5 3 2" xfId="49973"/>
    <cellStyle name="SAPBEXItemHeader 5 4" xfId="49974"/>
    <cellStyle name="SAPBEXItemHeader 6" xfId="49975"/>
    <cellStyle name="SAPBEXItemHeader 6 2" xfId="49976"/>
    <cellStyle name="SAPBEXItemHeader 6 2 2" xfId="49977"/>
    <cellStyle name="SAPBEXItemHeader 6 3" xfId="49978"/>
    <cellStyle name="SAPBEXItemHeader 7" xfId="49979"/>
    <cellStyle name="SAPBEXItemHeader 7 2" xfId="49980"/>
    <cellStyle name="SAPBEXItemHeader 7 2 2" xfId="49981"/>
    <cellStyle name="SAPBEXItemHeader 7 3" xfId="49982"/>
    <cellStyle name="SAPBEXItemHeader 8" xfId="49983"/>
    <cellStyle name="SAPBEXItemHeader 8 2" xfId="49984"/>
    <cellStyle name="SAPBEXItemHeader 8 2 2" xfId="49985"/>
    <cellStyle name="SAPBEXItemHeader 8 3" xfId="49986"/>
    <cellStyle name="SAPBEXItemHeader 9" xfId="49987"/>
    <cellStyle name="SAPBEXItemHeader 9 2" xfId="49988"/>
    <cellStyle name="SAPBEXresData" xfId="68"/>
    <cellStyle name="SAPBEXresData 10" xfId="49989"/>
    <cellStyle name="SAPBEXresData 10 2" xfId="49990"/>
    <cellStyle name="SAPBEXresData 11" xfId="49991"/>
    <cellStyle name="SAPBEXresData 11 2" xfId="49992"/>
    <cellStyle name="SAPBEXresData 12" xfId="49993"/>
    <cellStyle name="SAPBEXresData 13" xfId="49994"/>
    <cellStyle name="SAPBEXresData 2" xfId="49995"/>
    <cellStyle name="SAPBEXresData 2 2" xfId="49996"/>
    <cellStyle name="SAPBEXresData 2 2 2" xfId="49997"/>
    <cellStyle name="SAPBEXresData 2 2 2 2" xfId="49998"/>
    <cellStyle name="SAPBEXresData 2 2 3" xfId="49999"/>
    <cellStyle name="SAPBEXresData 2 2 3 2" xfId="50000"/>
    <cellStyle name="SAPBEXresData 2 2 3 2 2" xfId="50001"/>
    <cellStyle name="SAPBEXresData 2 2 3 3" xfId="50002"/>
    <cellStyle name="SAPBEXresData 2 2 4" xfId="50003"/>
    <cellStyle name="SAPBEXresData 2 3" xfId="50004"/>
    <cellStyle name="SAPBEXresData 2 3 2" xfId="50005"/>
    <cellStyle name="SAPBEXresData 2 3 2 2" xfId="50006"/>
    <cellStyle name="SAPBEXresData 2 3 3" xfId="50007"/>
    <cellStyle name="SAPBEXresData 2 4" xfId="50008"/>
    <cellStyle name="SAPBEXresData 2 4 2" xfId="50009"/>
    <cellStyle name="SAPBEXresData 2 4 2 2" xfId="50010"/>
    <cellStyle name="SAPBEXresData 2 4 3" xfId="50011"/>
    <cellStyle name="SAPBEXresData 2 5" xfId="50012"/>
    <cellStyle name="SAPBEXresData 2 5 2" xfId="50013"/>
    <cellStyle name="SAPBEXresData 2 5 2 2" xfId="50014"/>
    <cellStyle name="SAPBEXresData 2 5 3" xfId="50015"/>
    <cellStyle name="SAPBEXresData 2 6" xfId="50016"/>
    <cellStyle name="SAPBEXresData 2 6 2" xfId="50017"/>
    <cellStyle name="SAPBEXresData 2 7" xfId="50018"/>
    <cellStyle name="SAPBEXresData 3" xfId="50019"/>
    <cellStyle name="SAPBEXresData 3 2" xfId="50020"/>
    <cellStyle name="SAPBEXresData 3 2 2" xfId="50021"/>
    <cellStyle name="SAPBEXresData 3 3" xfId="50022"/>
    <cellStyle name="SAPBEXresData 3 3 2" xfId="50023"/>
    <cellStyle name="SAPBEXresData 3 3 2 2" xfId="50024"/>
    <cellStyle name="SAPBEXresData 3 3 3" xfId="50025"/>
    <cellStyle name="SAPBEXresData 3 4" xfId="50026"/>
    <cellStyle name="SAPBEXresData 3 4 2" xfId="50027"/>
    <cellStyle name="SAPBEXresData 3 4 2 2" xfId="50028"/>
    <cellStyle name="SAPBEXresData 3 4 3" xfId="50029"/>
    <cellStyle name="SAPBEXresData 3 5" xfId="50030"/>
    <cellStyle name="SAPBEXresData 4" xfId="50031"/>
    <cellStyle name="SAPBEXresData 4 2" xfId="50032"/>
    <cellStyle name="SAPBEXresData 4 2 2" xfId="50033"/>
    <cellStyle name="SAPBEXresData 4 2 2 2" xfId="50034"/>
    <cellStyle name="SAPBEXresData 4 2 3" xfId="50035"/>
    <cellStyle name="SAPBEXresData 4 2 3 2" xfId="50036"/>
    <cellStyle name="SAPBEXresData 4 2 3 2 2" xfId="50037"/>
    <cellStyle name="SAPBEXresData 4 2 3 3" xfId="50038"/>
    <cellStyle name="SAPBEXresData 4 2 4" xfId="50039"/>
    <cellStyle name="SAPBEXresData 4 3" xfId="50040"/>
    <cellStyle name="SAPBEXresData 4 3 2" xfId="50041"/>
    <cellStyle name="SAPBEXresData 4 3 2 2" xfId="50042"/>
    <cellStyle name="SAPBEXresData 4 3 3" xfId="50043"/>
    <cellStyle name="SAPBEXresData 4 4" xfId="50044"/>
    <cellStyle name="SAPBEXresData 4 4 2" xfId="50045"/>
    <cellStyle name="SAPBEXresData 4 4 2 2" xfId="50046"/>
    <cellStyle name="SAPBEXresData 4 4 3" xfId="50047"/>
    <cellStyle name="SAPBEXresData 4 5" xfId="50048"/>
    <cellStyle name="SAPBEXresData 4 5 2" xfId="50049"/>
    <cellStyle name="SAPBEXresData 4 5 2 2" xfId="50050"/>
    <cellStyle name="SAPBEXresData 4 5 3" xfId="50051"/>
    <cellStyle name="SAPBEXresData 4 6" xfId="50052"/>
    <cellStyle name="SAPBEXresData 5" xfId="50053"/>
    <cellStyle name="SAPBEXresData 5 2" xfId="50054"/>
    <cellStyle name="SAPBEXresData 5 2 2" xfId="50055"/>
    <cellStyle name="SAPBEXresData 5 3" xfId="50056"/>
    <cellStyle name="SAPBEXresData 6" xfId="50057"/>
    <cellStyle name="SAPBEXresData 6 2" xfId="50058"/>
    <cellStyle name="SAPBEXresData 6 2 2" xfId="50059"/>
    <cellStyle name="SAPBEXresData 6 3" xfId="50060"/>
    <cellStyle name="SAPBEXresData 7" xfId="50061"/>
    <cellStyle name="SAPBEXresData 7 2" xfId="50062"/>
    <cellStyle name="SAPBEXresData 7 2 2" xfId="50063"/>
    <cellStyle name="SAPBEXresData 7 3" xfId="50064"/>
    <cellStyle name="SAPBEXresData 8" xfId="50065"/>
    <cellStyle name="SAPBEXresData 8 2" xfId="50066"/>
    <cellStyle name="SAPBEXresData 9" xfId="50067"/>
    <cellStyle name="SAPBEXresData 9 2" xfId="50068"/>
    <cellStyle name="SAPBEXresDataEmph" xfId="69"/>
    <cellStyle name="SAPBEXresDataEmph 10" xfId="50069"/>
    <cellStyle name="SAPBEXresDataEmph 10 2" xfId="50070"/>
    <cellStyle name="SAPBEXresDataEmph 11" xfId="50071"/>
    <cellStyle name="SAPBEXresDataEmph 11 2" xfId="50072"/>
    <cellStyle name="SAPBEXresDataEmph 12" xfId="50073"/>
    <cellStyle name="SAPBEXresDataEmph 2" xfId="50074"/>
    <cellStyle name="SAPBEXresDataEmph 2 2" xfId="50075"/>
    <cellStyle name="SAPBEXresDataEmph 2 2 2" xfId="50076"/>
    <cellStyle name="SAPBEXresDataEmph 2 2 3" xfId="50077"/>
    <cellStyle name="SAPBEXresDataEmph 2 2 3 2" xfId="50078"/>
    <cellStyle name="SAPBEXresDataEmph 2 2 3 2 2" xfId="50079"/>
    <cellStyle name="SAPBEXresDataEmph 2 2 3 3" xfId="50080"/>
    <cellStyle name="SAPBEXresDataEmph 2 3" xfId="50081"/>
    <cellStyle name="SAPBEXresDataEmph 2 3 2" xfId="50082"/>
    <cellStyle name="SAPBEXresDataEmph 2 4" xfId="50083"/>
    <cellStyle name="SAPBEXresDataEmph 2 4 2" xfId="50084"/>
    <cellStyle name="SAPBEXresDataEmph 2 4 2 2" xfId="50085"/>
    <cellStyle name="SAPBEXresDataEmph 2 4 3" xfId="50086"/>
    <cellStyle name="SAPBEXresDataEmph 2 5" xfId="50087"/>
    <cellStyle name="SAPBEXresDataEmph 2 5 2" xfId="50088"/>
    <cellStyle name="SAPBEXresDataEmph 2 5 2 2" xfId="50089"/>
    <cellStyle name="SAPBEXresDataEmph 2 5 3" xfId="50090"/>
    <cellStyle name="SAPBEXresDataEmph 2 6" xfId="50091"/>
    <cellStyle name="SAPBEXresDataEmph 3" xfId="50092"/>
    <cellStyle name="SAPBEXresDataEmph 3 2" xfId="50093"/>
    <cellStyle name="SAPBEXresDataEmph 3 2 2" xfId="50094"/>
    <cellStyle name="SAPBEXresDataEmph 3 3" xfId="50095"/>
    <cellStyle name="SAPBEXresDataEmph 3 3 2" xfId="50096"/>
    <cellStyle name="SAPBEXresDataEmph 3 3 2 2" xfId="50097"/>
    <cellStyle name="SAPBEXresDataEmph 3 3 3" xfId="50098"/>
    <cellStyle name="SAPBEXresDataEmph 3 4" xfId="50099"/>
    <cellStyle name="SAPBEXresDataEmph 3 4 2" xfId="50100"/>
    <cellStyle name="SAPBEXresDataEmph 3 4 2 2" xfId="50101"/>
    <cellStyle name="SAPBEXresDataEmph 3 4 3" xfId="50102"/>
    <cellStyle name="SAPBEXresDataEmph 3 5" xfId="50103"/>
    <cellStyle name="SAPBEXresDataEmph 4" xfId="50104"/>
    <cellStyle name="SAPBEXresDataEmph 4 2" xfId="50105"/>
    <cellStyle name="SAPBEXresDataEmph 4 2 2" xfId="50106"/>
    <cellStyle name="SAPBEXresDataEmph 4 2 2 2" xfId="50107"/>
    <cellStyle name="SAPBEXresDataEmph 4 2 3" xfId="50108"/>
    <cellStyle name="SAPBEXresDataEmph 4 2 3 2" xfId="50109"/>
    <cellStyle name="SAPBEXresDataEmph 4 2 3 2 2" xfId="50110"/>
    <cellStyle name="SAPBEXresDataEmph 4 2 3 3" xfId="50111"/>
    <cellStyle name="SAPBEXresDataEmph 4 2 4" xfId="50112"/>
    <cellStyle name="SAPBEXresDataEmph 4 3" xfId="50113"/>
    <cellStyle name="SAPBEXresDataEmph 4 3 2" xfId="50114"/>
    <cellStyle name="SAPBEXresDataEmph 4 3 2 2" xfId="50115"/>
    <cellStyle name="SAPBEXresDataEmph 4 3 3" xfId="50116"/>
    <cellStyle name="SAPBEXresDataEmph 4 4" xfId="50117"/>
    <cellStyle name="SAPBEXresDataEmph 4 4 2" xfId="50118"/>
    <cellStyle name="SAPBEXresDataEmph 4 4 2 2" xfId="50119"/>
    <cellStyle name="SAPBEXresDataEmph 4 4 3" xfId="50120"/>
    <cellStyle name="SAPBEXresDataEmph 4 5" xfId="50121"/>
    <cellStyle name="SAPBEXresDataEmph 4 5 2" xfId="50122"/>
    <cellStyle name="SAPBEXresDataEmph 4 5 2 2" xfId="50123"/>
    <cellStyle name="SAPBEXresDataEmph 4 5 3" xfId="50124"/>
    <cellStyle name="SAPBEXresDataEmph 4 6" xfId="50125"/>
    <cellStyle name="SAPBEXresDataEmph 5" xfId="50126"/>
    <cellStyle name="SAPBEXresDataEmph 5 2" xfId="50127"/>
    <cellStyle name="SAPBEXresDataEmph 5 2 2" xfId="50128"/>
    <cellStyle name="SAPBEXresDataEmph 5 3" xfId="50129"/>
    <cellStyle name="SAPBEXresDataEmph 6" xfId="50130"/>
    <cellStyle name="SAPBEXresDataEmph 6 2" xfId="50131"/>
    <cellStyle name="SAPBEXresDataEmph 6 2 2" xfId="50132"/>
    <cellStyle name="SAPBEXresDataEmph 6 3" xfId="50133"/>
    <cellStyle name="SAPBEXresDataEmph 7" xfId="50134"/>
    <cellStyle name="SAPBEXresDataEmph 7 2" xfId="50135"/>
    <cellStyle name="SAPBEXresDataEmph 7 2 2" xfId="50136"/>
    <cellStyle name="SAPBEXresDataEmph 7 3" xfId="50137"/>
    <cellStyle name="SAPBEXresDataEmph 8" xfId="50138"/>
    <cellStyle name="SAPBEXresDataEmph 8 2" xfId="50139"/>
    <cellStyle name="SAPBEXresDataEmph 9" xfId="50140"/>
    <cellStyle name="SAPBEXresDataEmph 9 2" xfId="50141"/>
    <cellStyle name="SAPBEXresItem" xfId="70"/>
    <cellStyle name="SAPBEXresItem 10" xfId="50142"/>
    <cellStyle name="SAPBEXresItem 10 2" xfId="50143"/>
    <cellStyle name="SAPBEXresItem 11" xfId="50144"/>
    <cellStyle name="SAPBEXresItem 11 2" xfId="50145"/>
    <cellStyle name="SAPBEXresItem 12" xfId="50146"/>
    <cellStyle name="SAPBEXresItem 13" xfId="50147"/>
    <cellStyle name="SAPBEXresItem 2" xfId="50148"/>
    <cellStyle name="SAPBEXresItem 2 2" xfId="50149"/>
    <cellStyle name="SAPBEXresItem 2 2 2" xfId="50150"/>
    <cellStyle name="SAPBEXresItem 2 2 2 2" xfId="50151"/>
    <cellStyle name="SAPBEXresItem 2 2 3" xfId="50152"/>
    <cellStyle name="SAPBEXresItem 2 2 3 2" xfId="50153"/>
    <cellStyle name="SAPBEXresItem 2 2 3 2 2" xfId="50154"/>
    <cellStyle name="SAPBEXresItem 2 2 3 3" xfId="50155"/>
    <cellStyle name="SAPBEXresItem 2 2 4" xfId="50156"/>
    <cellStyle name="SAPBEXresItem 2 3" xfId="50157"/>
    <cellStyle name="SAPBEXresItem 2 3 2" xfId="50158"/>
    <cellStyle name="SAPBEXresItem 2 3 2 2" xfId="50159"/>
    <cellStyle name="SAPBEXresItem 2 3 3" xfId="50160"/>
    <cellStyle name="SAPBEXresItem 2 4" xfId="50161"/>
    <cellStyle name="SAPBEXresItem 2 4 2" xfId="50162"/>
    <cellStyle name="SAPBEXresItem 2 4 2 2" xfId="50163"/>
    <cellStyle name="SAPBEXresItem 2 4 3" xfId="50164"/>
    <cellStyle name="SAPBEXresItem 2 5" xfId="50165"/>
    <cellStyle name="SAPBEXresItem 2 5 2" xfId="50166"/>
    <cellStyle name="SAPBEXresItem 2 5 2 2" xfId="50167"/>
    <cellStyle name="SAPBEXresItem 2 5 3" xfId="50168"/>
    <cellStyle name="SAPBEXresItem 2 6" xfId="50169"/>
    <cellStyle name="SAPBEXresItem 2 6 2" xfId="50170"/>
    <cellStyle name="SAPBEXresItem 2 7" xfId="50171"/>
    <cellStyle name="SAPBEXresItem 3" xfId="50172"/>
    <cellStyle name="SAPBEXresItem 3 2" xfId="50173"/>
    <cellStyle name="SAPBEXresItem 3 2 2" xfId="50174"/>
    <cellStyle name="SAPBEXresItem 3 3" xfId="50175"/>
    <cellStyle name="SAPBEXresItem 3 3 2" xfId="50176"/>
    <cellStyle name="SAPBEXresItem 3 3 2 2" xfId="50177"/>
    <cellStyle name="SAPBEXresItem 3 3 3" xfId="50178"/>
    <cellStyle name="SAPBEXresItem 3 4" xfId="50179"/>
    <cellStyle name="SAPBEXresItem 3 4 2" xfId="50180"/>
    <cellStyle name="SAPBEXresItem 3 4 2 2" xfId="50181"/>
    <cellStyle name="SAPBEXresItem 3 4 3" xfId="50182"/>
    <cellStyle name="SAPBEXresItem 3 5" xfId="50183"/>
    <cellStyle name="SAPBEXresItem 4" xfId="50184"/>
    <cellStyle name="SAPBEXresItem 4 2" xfId="50185"/>
    <cellStyle name="SAPBEXresItem 4 2 2" xfId="50186"/>
    <cellStyle name="SAPBEXresItem 4 2 2 2" xfId="50187"/>
    <cellStyle name="SAPBEXresItem 4 2 3" xfId="50188"/>
    <cellStyle name="SAPBEXresItem 4 2 3 2" xfId="50189"/>
    <cellStyle name="SAPBEXresItem 4 2 3 2 2" xfId="50190"/>
    <cellStyle name="SAPBEXresItem 4 2 3 3" xfId="50191"/>
    <cellStyle name="SAPBEXresItem 4 2 4" xfId="50192"/>
    <cellStyle name="SAPBEXresItem 4 3" xfId="50193"/>
    <cellStyle name="SAPBEXresItem 4 3 2" xfId="50194"/>
    <cellStyle name="SAPBEXresItem 4 3 2 2" xfId="50195"/>
    <cellStyle name="SAPBEXresItem 4 3 3" xfId="50196"/>
    <cellStyle name="SAPBEXresItem 4 4" xfId="50197"/>
    <cellStyle name="SAPBEXresItem 4 4 2" xfId="50198"/>
    <cellStyle name="SAPBEXresItem 4 4 2 2" xfId="50199"/>
    <cellStyle name="SAPBEXresItem 4 4 3" xfId="50200"/>
    <cellStyle name="SAPBEXresItem 4 5" xfId="50201"/>
    <cellStyle name="SAPBEXresItem 4 5 2" xfId="50202"/>
    <cellStyle name="SAPBEXresItem 4 5 2 2" xfId="50203"/>
    <cellStyle name="SAPBEXresItem 4 5 3" xfId="50204"/>
    <cellStyle name="SAPBEXresItem 4 6" xfId="50205"/>
    <cellStyle name="SAPBEXresItem 5" xfId="50206"/>
    <cellStyle name="SAPBEXresItem 5 2" xfId="50207"/>
    <cellStyle name="SAPBEXresItem 5 2 2" xfId="50208"/>
    <cellStyle name="SAPBEXresItem 5 3" xfId="50209"/>
    <cellStyle name="SAPBEXresItem 6" xfId="50210"/>
    <cellStyle name="SAPBEXresItem 6 2" xfId="50211"/>
    <cellStyle name="SAPBEXresItem 6 2 2" xfId="50212"/>
    <cellStyle name="SAPBEXresItem 6 3" xfId="50213"/>
    <cellStyle name="SAPBEXresItem 7" xfId="50214"/>
    <cellStyle name="SAPBEXresItem 7 2" xfId="50215"/>
    <cellStyle name="SAPBEXresItem 7 2 2" xfId="50216"/>
    <cellStyle name="SAPBEXresItem 7 3" xfId="50217"/>
    <cellStyle name="SAPBEXresItem 8" xfId="50218"/>
    <cellStyle name="SAPBEXresItem 8 2" xfId="50219"/>
    <cellStyle name="SAPBEXresItem 9" xfId="50220"/>
    <cellStyle name="SAPBEXresItem 9 2" xfId="50221"/>
    <cellStyle name="SAPBEXresItemX" xfId="71"/>
    <cellStyle name="SAPBEXresItemX 10" xfId="50222"/>
    <cellStyle name="SAPBEXresItemX 10 2" xfId="50223"/>
    <cellStyle name="SAPBEXresItemX 10 2 2" xfId="50224"/>
    <cellStyle name="SAPBEXresItemX 10 3" xfId="50225"/>
    <cellStyle name="SAPBEXresItemX 11" xfId="50226"/>
    <cellStyle name="SAPBEXresItemX 11 2" xfId="50227"/>
    <cellStyle name="SAPBEXresItemX 12" xfId="50228"/>
    <cellStyle name="SAPBEXresItemX 12 2" xfId="50229"/>
    <cellStyle name="SAPBEXresItemX 12 2 2" xfId="50230"/>
    <cellStyle name="SAPBEXresItemX 12 3" xfId="50231"/>
    <cellStyle name="SAPBEXresItemX 12 3 2" xfId="50232"/>
    <cellStyle name="SAPBEXresItemX 12 4" xfId="50233"/>
    <cellStyle name="SAPBEXresItemX 13" xfId="50234"/>
    <cellStyle name="SAPBEXresItemX 13 2" xfId="50235"/>
    <cellStyle name="SAPBEXresItemX 14" xfId="50236"/>
    <cellStyle name="SAPBEXresItemX 14 2" xfId="50237"/>
    <cellStyle name="SAPBEXresItemX 15" xfId="50238"/>
    <cellStyle name="SAPBEXresItemX 15 2" xfId="50239"/>
    <cellStyle name="SAPBEXresItemX 16" xfId="50240"/>
    <cellStyle name="SAPBEXresItemX 17" xfId="50241"/>
    <cellStyle name="SAPBEXresItemX 2" xfId="50242"/>
    <cellStyle name="SAPBEXresItemX 2 10" xfId="50243"/>
    <cellStyle name="SAPBEXresItemX 2 2" xfId="50244"/>
    <cellStyle name="SAPBEXresItemX 2 2 2" xfId="50245"/>
    <cellStyle name="SAPBEXresItemX 2 2 2 2" xfId="50246"/>
    <cellStyle name="SAPBEXresItemX 2 2 2 2 2" xfId="50247"/>
    <cellStyle name="SAPBEXresItemX 2 2 2 2 2 2" xfId="50248"/>
    <cellStyle name="SAPBEXresItemX 2 2 2 2 3" xfId="50249"/>
    <cellStyle name="SAPBEXresItemX 2 2 2 3" xfId="50250"/>
    <cellStyle name="SAPBEXresItemX 2 2 2 3 2" xfId="50251"/>
    <cellStyle name="SAPBEXresItemX 2 2 2 4" xfId="50252"/>
    <cellStyle name="SAPBEXresItemX 2 2 3" xfId="50253"/>
    <cellStyle name="SAPBEXresItemX 2 2 3 2" xfId="50254"/>
    <cellStyle name="SAPBEXresItemX 2 2 3 2 2" xfId="50255"/>
    <cellStyle name="SAPBEXresItemX 2 2 3 3" xfId="50256"/>
    <cellStyle name="SAPBEXresItemX 2 2 4" xfId="50257"/>
    <cellStyle name="SAPBEXresItemX 2 2 4 2" xfId="50258"/>
    <cellStyle name="SAPBEXresItemX 2 2 4 2 2" xfId="50259"/>
    <cellStyle name="SAPBEXresItemX 2 2 4 3" xfId="50260"/>
    <cellStyle name="SAPBEXresItemX 2 2 5" xfId="50261"/>
    <cellStyle name="SAPBEXresItemX 2 2 5 2" xfId="50262"/>
    <cellStyle name="SAPBEXresItemX 2 2 5 2 2" xfId="50263"/>
    <cellStyle name="SAPBEXresItemX 2 2 5 3" xfId="50264"/>
    <cellStyle name="SAPBEXresItemX 2 2 6" xfId="50265"/>
    <cellStyle name="SAPBEXresItemX 2 2 6 2" xfId="50266"/>
    <cellStyle name="SAPBEXresItemX 2 2 7" xfId="50267"/>
    <cellStyle name="SAPBEXresItemX 2 3" xfId="50268"/>
    <cellStyle name="SAPBEXresItemX 2 3 2" xfId="50269"/>
    <cellStyle name="SAPBEXresItemX 2 3 2 2" xfId="50270"/>
    <cellStyle name="SAPBEXresItemX 2 3 2 2 2" xfId="50271"/>
    <cellStyle name="SAPBEXresItemX 2 3 2 2 2 2" xfId="50272"/>
    <cellStyle name="SAPBEXresItemX 2 3 2 2 2 2 2" xfId="50273"/>
    <cellStyle name="SAPBEXresItemX 2 3 2 2 2 3" xfId="50274"/>
    <cellStyle name="SAPBEXresItemX 2 3 2 2 3" xfId="50275"/>
    <cellStyle name="SAPBEXresItemX 2 3 2 2 3 2" xfId="50276"/>
    <cellStyle name="SAPBEXresItemX 2 3 2 2 4" xfId="50277"/>
    <cellStyle name="SAPBEXresItemX 2 3 2 3" xfId="50278"/>
    <cellStyle name="SAPBEXresItemX 2 3 2 3 2" xfId="50279"/>
    <cellStyle name="SAPBEXresItemX 2 3 2 3 2 2" xfId="50280"/>
    <cellStyle name="SAPBEXresItemX 2 3 2 3 3" xfId="50281"/>
    <cellStyle name="SAPBEXresItemX 2 3 2 4" xfId="50282"/>
    <cellStyle name="SAPBEXresItemX 2 3 2 4 2" xfId="50283"/>
    <cellStyle name="SAPBEXresItemX 2 3 2 4 2 2" xfId="50284"/>
    <cellStyle name="SAPBEXresItemX 2 3 2 4 3" xfId="50285"/>
    <cellStyle name="SAPBEXresItemX 2 3 2 5" xfId="50286"/>
    <cellStyle name="SAPBEXresItemX 2 3 2 5 2" xfId="50287"/>
    <cellStyle name="SAPBEXresItemX 2 3 2 6" xfId="50288"/>
    <cellStyle name="SAPBEXresItemX 2 3 3" xfId="50289"/>
    <cellStyle name="SAPBEXresItemX 2 3 3 2" xfId="50290"/>
    <cellStyle name="SAPBEXresItemX 2 3 3 2 2" xfId="50291"/>
    <cellStyle name="SAPBEXresItemX 2 3 3 2 2 2" xfId="50292"/>
    <cellStyle name="SAPBEXresItemX 2 3 3 2 2 2 2" xfId="50293"/>
    <cellStyle name="SAPBEXresItemX 2 3 3 2 2 3" xfId="50294"/>
    <cellStyle name="SAPBEXresItemX 2 3 3 2 3" xfId="50295"/>
    <cellStyle name="SAPBEXresItemX 2 3 3 2 3 2" xfId="50296"/>
    <cellStyle name="SAPBEXresItemX 2 3 3 2 4" xfId="50297"/>
    <cellStyle name="SAPBEXresItemX 2 3 3 3" xfId="50298"/>
    <cellStyle name="SAPBEXresItemX 2 3 3 3 2" xfId="50299"/>
    <cellStyle name="SAPBEXresItemX 2 3 3 3 2 2" xfId="50300"/>
    <cellStyle name="SAPBEXresItemX 2 3 3 3 3" xfId="50301"/>
    <cellStyle name="SAPBEXresItemX 2 3 3 4" xfId="50302"/>
    <cellStyle name="SAPBEXresItemX 2 3 3 4 2" xfId="50303"/>
    <cellStyle name="SAPBEXresItemX 2 3 3 5" xfId="50304"/>
    <cellStyle name="SAPBEXresItemX 2 3 4" xfId="50305"/>
    <cellStyle name="SAPBEXresItemX 2 3 4 2" xfId="50306"/>
    <cellStyle name="SAPBEXresItemX 2 3 4 2 2" xfId="50307"/>
    <cellStyle name="SAPBEXresItemX 2 3 4 3" xfId="50308"/>
    <cellStyle name="SAPBEXresItemX 2 3 5" xfId="50309"/>
    <cellStyle name="SAPBEXresItemX 2 3 5 2" xfId="50310"/>
    <cellStyle name="SAPBEXresItemX 2 3 5 2 2" xfId="50311"/>
    <cellStyle name="SAPBEXresItemX 2 3 5 3" xfId="50312"/>
    <cellStyle name="SAPBEXresItemX 2 3 6" xfId="50313"/>
    <cellStyle name="SAPBEXresItemX 2 3 6 2" xfId="50314"/>
    <cellStyle name="SAPBEXresItemX 2 3 6 2 2" xfId="50315"/>
    <cellStyle name="SAPBEXresItemX 2 3 6 3" xfId="50316"/>
    <cellStyle name="SAPBEXresItemX 2 3 7" xfId="50317"/>
    <cellStyle name="SAPBEXresItemX 2 3 7 2" xfId="50318"/>
    <cellStyle name="SAPBEXresItemX 2 3 8" xfId="50319"/>
    <cellStyle name="SAPBEXresItemX 2 4" xfId="50320"/>
    <cellStyle name="SAPBEXresItemX 2 4 2" xfId="50321"/>
    <cellStyle name="SAPBEXresItemX 2 4 2 2" xfId="50322"/>
    <cellStyle name="SAPBEXresItemX 2 4 2 2 2" xfId="50323"/>
    <cellStyle name="SAPBEXresItemX 2 4 2 2 2 2" xfId="50324"/>
    <cellStyle name="SAPBEXresItemX 2 4 2 2 3" xfId="50325"/>
    <cellStyle name="SAPBEXresItemX 2 4 2 3" xfId="50326"/>
    <cellStyle name="SAPBEXresItemX 2 4 2 3 2" xfId="50327"/>
    <cellStyle name="SAPBEXresItemX 2 4 2 3 2 2" xfId="50328"/>
    <cellStyle name="SAPBEXresItemX 2 4 2 3 3" xfId="50329"/>
    <cellStyle name="SAPBEXresItemX 2 4 2 4" xfId="50330"/>
    <cellStyle name="SAPBEXresItemX 2 4 2 4 2" xfId="50331"/>
    <cellStyle name="SAPBEXresItemX 2 4 2 5" xfId="50332"/>
    <cellStyle name="SAPBEXresItemX 2 4 3" xfId="50333"/>
    <cellStyle name="SAPBEXresItemX 2 4 3 2" xfId="50334"/>
    <cellStyle name="SAPBEXresItemX 2 4 3 2 2" xfId="50335"/>
    <cellStyle name="SAPBEXresItemX 2 4 3 2 2 2" xfId="50336"/>
    <cellStyle name="SAPBEXresItemX 2 4 3 2 3" xfId="50337"/>
    <cellStyle name="SAPBEXresItemX 2 4 3 3" xfId="50338"/>
    <cellStyle name="SAPBEXresItemX 2 4 3 3 2" xfId="50339"/>
    <cellStyle name="SAPBEXresItemX 2 4 3 4" xfId="50340"/>
    <cellStyle name="SAPBEXresItemX 2 4 4" xfId="50341"/>
    <cellStyle name="SAPBEXresItemX 2 4 4 2" xfId="50342"/>
    <cellStyle name="SAPBEXresItemX 2 4 4 2 2" xfId="50343"/>
    <cellStyle name="SAPBEXresItemX 2 4 4 3" xfId="50344"/>
    <cellStyle name="SAPBEXresItemX 2 4 5" xfId="50345"/>
    <cellStyle name="SAPBEXresItemX 2 4 5 2" xfId="50346"/>
    <cellStyle name="SAPBEXresItemX 2 4 6" xfId="50347"/>
    <cellStyle name="SAPBEXresItemX 2 5" xfId="50348"/>
    <cellStyle name="SAPBEXresItemX 2 5 2" xfId="50349"/>
    <cellStyle name="SAPBEXresItemX 2 5 2 2" xfId="50350"/>
    <cellStyle name="SAPBEXresItemX 2 5 2 2 2" xfId="50351"/>
    <cellStyle name="SAPBEXresItemX 2 5 2 2 2 2" xfId="50352"/>
    <cellStyle name="SAPBEXresItemX 2 5 2 2 3" xfId="50353"/>
    <cellStyle name="SAPBEXresItemX 2 5 2 3" xfId="50354"/>
    <cellStyle name="SAPBEXresItemX 2 5 2 3 2" xfId="50355"/>
    <cellStyle name="SAPBEXresItemX 2 5 2 4" xfId="50356"/>
    <cellStyle name="SAPBEXresItemX 2 5 3" xfId="50357"/>
    <cellStyle name="SAPBEXresItemX 2 5 3 2" xfId="50358"/>
    <cellStyle name="SAPBEXresItemX 2 5 3 2 2" xfId="50359"/>
    <cellStyle name="SAPBEXresItemX 2 5 3 3" xfId="50360"/>
    <cellStyle name="SAPBEXresItemX 2 5 4" xfId="50361"/>
    <cellStyle name="SAPBEXresItemX 2 5 4 2" xfId="50362"/>
    <cellStyle name="SAPBEXresItemX 2 5 5" xfId="50363"/>
    <cellStyle name="SAPBEXresItemX 2 6" xfId="50364"/>
    <cellStyle name="SAPBEXresItemX 2 6 2" xfId="50365"/>
    <cellStyle name="SAPBEXresItemX 2 6 2 2" xfId="50366"/>
    <cellStyle name="SAPBEXresItemX 2 6 3" xfId="50367"/>
    <cellStyle name="SAPBEXresItemX 2 7" xfId="50368"/>
    <cellStyle name="SAPBEXresItemX 2 7 2" xfId="50369"/>
    <cellStyle name="SAPBEXresItemX 2 7 2 2" xfId="50370"/>
    <cellStyle name="SAPBEXresItemX 2 7 3" xfId="50371"/>
    <cellStyle name="SAPBEXresItemX 2 8" xfId="50372"/>
    <cellStyle name="SAPBEXresItemX 2 8 2" xfId="50373"/>
    <cellStyle name="SAPBEXresItemX 2 8 2 2" xfId="50374"/>
    <cellStyle name="SAPBEXresItemX 2 8 3" xfId="50375"/>
    <cellStyle name="SAPBEXresItemX 2 9" xfId="50376"/>
    <cellStyle name="SAPBEXresItemX 2 9 2" xfId="50377"/>
    <cellStyle name="SAPBEXresItemX 3" xfId="50378"/>
    <cellStyle name="SAPBEXresItemX 3 2" xfId="50379"/>
    <cellStyle name="SAPBEXresItemX 3 2 2" xfId="50380"/>
    <cellStyle name="SAPBEXresItemX 3 2 2 2" xfId="50381"/>
    <cellStyle name="SAPBEXresItemX 3 2 2 2 2" xfId="50382"/>
    <cellStyle name="SAPBEXresItemX 3 2 2 2 2 2" xfId="50383"/>
    <cellStyle name="SAPBEXresItemX 3 2 2 2 3" xfId="50384"/>
    <cellStyle name="SAPBEXresItemX 3 2 2 3" xfId="50385"/>
    <cellStyle name="SAPBEXresItemX 3 2 2 3 2" xfId="50386"/>
    <cellStyle name="SAPBEXresItemX 3 2 2 4" xfId="50387"/>
    <cellStyle name="SAPBEXresItemX 3 2 3" xfId="50388"/>
    <cellStyle name="SAPBEXresItemX 3 2 3 2" xfId="50389"/>
    <cellStyle name="SAPBEXresItemX 3 2 3 2 2" xfId="50390"/>
    <cellStyle name="SAPBEXresItemX 3 2 3 3" xfId="50391"/>
    <cellStyle name="SAPBEXresItemX 3 2 4" xfId="50392"/>
    <cellStyle name="SAPBEXresItemX 3 2 4 2" xfId="50393"/>
    <cellStyle name="SAPBEXresItemX 3 2 4 2 2" xfId="50394"/>
    <cellStyle name="SAPBEXresItemX 3 2 4 3" xfId="50395"/>
    <cellStyle name="SAPBEXresItemX 3 2 5" xfId="50396"/>
    <cellStyle name="SAPBEXresItemX 3 2 5 2" xfId="50397"/>
    <cellStyle name="SAPBEXresItemX 3 2 5 2 2" xfId="50398"/>
    <cellStyle name="SAPBEXresItemX 3 2 5 3" xfId="50399"/>
    <cellStyle name="SAPBEXresItemX 3 2 6" xfId="50400"/>
    <cellStyle name="SAPBEXresItemX 3 2 6 2" xfId="50401"/>
    <cellStyle name="SAPBEXresItemX 3 2 7" xfId="50402"/>
    <cellStyle name="SAPBEXresItemX 3 3" xfId="50403"/>
    <cellStyle name="SAPBEXresItemX 3 3 2" xfId="50404"/>
    <cellStyle name="SAPBEXresItemX 3 3 2 2" xfId="50405"/>
    <cellStyle name="SAPBEXresItemX 3 3 2 2 2" xfId="50406"/>
    <cellStyle name="SAPBEXresItemX 3 3 2 2 2 2" xfId="50407"/>
    <cellStyle name="SAPBEXresItemX 3 3 2 2 3" xfId="50408"/>
    <cellStyle name="SAPBEXresItemX 3 3 2 3" xfId="50409"/>
    <cellStyle name="SAPBEXresItemX 3 3 2 3 2" xfId="50410"/>
    <cellStyle name="SAPBEXresItemX 3 3 2 4" xfId="50411"/>
    <cellStyle name="SAPBEXresItemX 3 3 3" xfId="50412"/>
    <cellStyle name="SAPBEXresItemX 3 3 3 2" xfId="50413"/>
    <cellStyle name="SAPBEXresItemX 3 3 3 2 2" xfId="50414"/>
    <cellStyle name="SAPBEXresItemX 3 3 3 3" xfId="50415"/>
    <cellStyle name="SAPBEXresItemX 3 3 4" xfId="50416"/>
    <cellStyle name="SAPBEXresItemX 3 3 4 2" xfId="50417"/>
    <cellStyle name="SAPBEXresItemX 3 3 5" xfId="50418"/>
    <cellStyle name="SAPBEXresItemX 3 4" xfId="50419"/>
    <cellStyle name="SAPBEXresItemX 3 4 2" xfId="50420"/>
    <cellStyle name="SAPBEXresItemX 3 4 2 2" xfId="50421"/>
    <cellStyle name="SAPBEXresItemX 3 4 3" xfId="50422"/>
    <cellStyle name="SAPBEXresItemX 3 5" xfId="50423"/>
    <cellStyle name="SAPBEXresItemX 3 5 2" xfId="50424"/>
    <cellStyle name="SAPBEXresItemX 3 5 2 2" xfId="50425"/>
    <cellStyle name="SAPBEXresItemX 3 5 3" xfId="50426"/>
    <cellStyle name="SAPBEXresItemX 3 6" xfId="50427"/>
    <cellStyle name="SAPBEXresItemX 3 6 2" xfId="50428"/>
    <cellStyle name="SAPBEXresItemX 3 6 2 2" xfId="50429"/>
    <cellStyle name="SAPBEXresItemX 3 6 3" xfId="50430"/>
    <cellStyle name="SAPBEXresItemX 3 7" xfId="50431"/>
    <cellStyle name="SAPBEXresItemX 3 7 2" xfId="50432"/>
    <cellStyle name="SAPBEXresItemX 3 8" xfId="50433"/>
    <cellStyle name="SAPBEXresItemX 4" xfId="50434"/>
    <cellStyle name="SAPBEXresItemX 4 2" xfId="50435"/>
    <cellStyle name="SAPBEXresItemX 4 2 2" xfId="50436"/>
    <cellStyle name="SAPBEXresItemX 4 2 2 2" xfId="50437"/>
    <cellStyle name="SAPBEXresItemX 4 2 2 2 2" xfId="50438"/>
    <cellStyle name="SAPBEXresItemX 4 2 2 2 2 2" xfId="50439"/>
    <cellStyle name="SAPBEXresItemX 4 2 2 2 3" xfId="50440"/>
    <cellStyle name="SAPBEXresItemX 4 2 2 3" xfId="50441"/>
    <cellStyle name="SAPBEXresItemX 4 2 2 3 2" xfId="50442"/>
    <cellStyle name="SAPBEXresItemX 4 2 2 4" xfId="50443"/>
    <cellStyle name="SAPBEXresItemX 4 2 3" xfId="50444"/>
    <cellStyle name="SAPBEXresItemX 4 2 3 2" xfId="50445"/>
    <cellStyle name="SAPBEXresItemX 4 2 3 2 2" xfId="50446"/>
    <cellStyle name="SAPBEXresItemX 4 2 3 3" xfId="50447"/>
    <cellStyle name="SAPBEXresItemX 4 2 4" xfId="50448"/>
    <cellStyle name="SAPBEXresItemX 4 2 4 2" xfId="50449"/>
    <cellStyle name="SAPBEXresItemX 4 2 4 2 2" xfId="50450"/>
    <cellStyle name="SAPBEXresItemX 4 2 4 3" xfId="50451"/>
    <cellStyle name="SAPBEXresItemX 4 2 5" xfId="50452"/>
    <cellStyle name="SAPBEXresItemX 4 2 5 2" xfId="50453"/>
    <cellStyle name="SAPBEXresItemX 4 2 5 2 2" xfId="50454"/>
    <cellStyle name="SAPBEXresItemX 4 2 5 3" xfId="50455"/>
    <cellStyle name="SAPBEXresItemX 4 2 6" xfId="50456"/>
    <cellStyle name="SAPBEXresItemX 4 2 6 2" xfId="50457"/>
    <cellStyle name="SAPBEXresItemX 4 2 7" xfId="50458"/>
    <cellStyle name="SAPBEXresItemX 4 3" xfId="50459"/>
    <cellStyle name="SAPBEXresItemX 4 3 2" xfId="50460"/>
    <cellStyle name="SAPBEXresItemX 4 3 2 2" xfId="50461"/>
    <cellStyle name="SAPBEXresItemX 4 3 2 2 2" xfId="50462"/>
    <cellStyle name="SAPBEXresItemX 4 3 2 2 2 2" xfId="50463"/>
    <cellStyle name="SAPBEXresItemX 4 3 2 2 2 2 2" xfId="50464"/>
    <cellStyle name="SAPBEXresItemX 4 3 2 2 2 3" xfId="50465"/>
    <cellStyle name="SAPBEXresItemX 4 3 2 2 3" xfId="50466"/>
    <cellStyle name="SAPBEXresItemX 4 3 2 2 3 2" xfId="50467"/>
    <cellStyle name="SAPBEXresItemX 4 3 2 2 4" xfId="50468"/>
    <cellStyle name="SAPBEXresItemX 4 3 2 3" xfId="50469"/>
    <cellStyle name="SAPBEXresItemX 4 3 2 3 2" xfId="50470"/>
    <cellStyle name="SAPBEXresItemX 4 3 2 3 2 2" xfId="50471"/>
    <cellStyle name="SAPBEXresItemX 4 3 2 3 3" xfId="50472"/>
    <cellStyle name="SAPBEXresItemX 4 3 2 4" xfId="50473"/>
    <cellStyle name="SAPBEXresItemX 4 3 2 4 2" xfId="50474"/>
    <cellStyle name="SAPBEXresItemX 4 3 2 4 2 2" xfId="50475"/>
    <cellStyle name="SAPBEXresItemX 4 3 2 4 3" xfId="50476"/>
    <cellStyle name="SAPBEXresItemX 4 3 2 5" xfId="50477"/>
    <cellStyle name="SAPBEXresItemX 4 3 2 5 2" xfId="50478"/>
    <cellStyle name="SAPBEXresItemX 4 3 2 6" xfId="50479"/>
    <cellStyle name="SAPBEXresItemX 4 3 3" xfId="50480"/>
    <cellStyle name="SAPBEXresItemX 4 3 3 2" xfId="50481"/>
    <cellStyle name="SAPBEXresItemX 4 3 3 2 2" xfId="50482"/>
    <cellStyle name="SAPBEXresItemX 4 3 3 2 2 2" xfId="50483"/>
    <cellStyle name="SAPBEXresItemX 4 3 3 2 2 2 2" xfId="50484"/>
    <cellStyle name="SAPBEXresItemX 4 3 3 2 2 3" xfId="50485"/>
    <cellStyle name="SAPBEXresItemX 4 3 3 2 3" xfId="50486"/>
    <cellStyle name="SAPBEXresItemX 4 3 3 2 3 2" xfId="50487"/>
    <cellStyle name="SAPBEXresItemX 4 3 3 2 4" xfId="50488"/>
    <cellStyle name="SAPBEXresItemX 4 3 3 3" xfId="50489"/>
    <cellStyle name="SAPBEXresItemX 4 3 3 3 2" xfId="50490"/>
    <cellStyle name="SAPBEXresItemX 4 3 3 3 2 2" xfId="50491"/>
    <cellStyle name="SAPBEXresItemX 4 3 3 3 3" xfId="50492"/>
    <cellStyle name="SAPBEXresItemX 4 3 3 4" xfId="50493"/>
    <cellStyle name="SAPBEXresItemX 4 3 3 4 2" xfId="50494"/>
    <cellStyle name="SAPBEXresItemX 4 3 3 5" xfId="50495"/>
    <cellStyle name="SAPBEXresItemX 4 3 4" xfId="50496"/>
    <cellStyle name="SAPBEXresItemX 4 3 4 2" xfId="50497"/>
    <cellStyle name="SAPBEXresItemX 4 3 4 2 2" xfId="50498"/>
    <cellStyle name="SAPBEXresItemX 4 3 4 3" xfId="50499"/>
    <cellStyle name="SAPBEXresItemX 4 3 5" xfId="50500"/>
    <cellStyle name="SAPBEXresItemX 4 3 5 2" xfId="50501"/>
    <cellStyle name="SAPBEXresItemX 4 3 5 2 2" xfId="50502"/>
    <cellStyle name="SAPBEXresItemX 4 3 5 3" xfId="50503"/>
    <cellStyle name="SAPBEXresItemX 4 3 6" xfId="50504"/>
    <cellStyle name="SAPBEXresItemX 4 3 6 2" xfId="50505"/>
    <cellStyle name="SAPBEXresItemX 4 3 6 2 2" xfId="50506"/>
    <cellStyle name="SAPBEXresItemX 4 3 6 3" xfId="50507"/>
    <cellStyle name="SAPBEXresItemX 4 3 7" xfId="50508"/>
    <cellStyle name="SAPBEXresItemX 4 3 7 2" xfId="50509"/>
    <cellStyle name="SAPBEXresItemX 4 3 8" xfId="50510"/>
    <cellStyle name="SAPBEXresItemX 4 4" xfId="50511"/>
    <cellStyle name="SAPBEXresItemX 4 4 2" xfId="50512"/>
    <cellStyle name="SAPBEXresItemX 4 4 2 2" xfId="50513"/>
    <cellStyle name="SAPBEXresItemX 4 4 2 2 2" xfId="50514"/>
    <cellStyle name="SAPBEXresItemX 4 4 2 2 2 2" xfId="50515"/>
    <cellStyle name="SAPBEXresItemX 4 4 2 2 3" xfId="50516"/>
    <cellStyle name="SAPBEXresItemX 4 4 2 3" xfId="50517"/>
    <cellStyle name="SAPBEXresItemX 4 4 2 3 2" xfId="50518"/>
    <cellStyle name="SAPBEXresItemX 4 4 2 4" xfId="50519"/>
    <cellStyle name="SAPBEXresItemX 4 4 3" xfId="50520"/>
    <cellStyle name="SAPBEXresItemX 4 4 3 2" xfId="50521"/>
    <cellStyle name="SAPBEXresItemX 4 4 3 2 2" xfId="50522"/>
    <cellStyle name="SAPBEXresItemX 4 4 3 3" xfId="50523"/>
    <cellStyle name="SAPBEXresItemX 4 4 4" xfId="50524"/>
    <cellStyle name="SAPBEXresItemX 4 4 4 2" xfId="50525"/>
    <cellStyle name="SAPBEXresItemX 4 4 5" xfId="50526"/>
    <cellStyle name="SAPBEXresItemX 4 5" xfId="50527"/>
    <cellStyle name="SAPBEXresItemX 4 5 2" xfId="50528"/>
    <cellStyle name="SAPBEXresItemX 4 5 2 2" xfId="50529"/>
    <cellStyle name="SAPBEXresItemX 4 5 3" xfId="50530"/>
    <cellStyle name="SAPBEXresItemX 4 6" xfId="50531"/>
    <cellStyle name="SAPBEXresItemX 4 6 2" xfId="50532"/>
    <cellStyle name="SAPBEXresItemX 4 6 2 2" xfId="50533"/>
    <cellStyle name="SAPBEXresItemX 4 6 3" xfId="50534"/>
    <cellStyle name="SAPBEXresItemX 4 7" xfId="50535"/>
    <cellStyle name="SAPBEXresItemX 4 7 2" xfId="50536"/>
    <cellStyle name="SAPBEXresItemX 4 7 2 2" xfId="50537"/>
    <cellStyle name="SAPBEXresItemX 4 7 3" xfId="50538"/>
    <cellStyle name="SAPBEXresItemX 4 8" xfId="50539"/>
    <cellStyle name="SAPBEXresItemX 4 8 2" xfId="50540"/>
    <cellStyle name="SAPBEXresItemX 4 9" xfId="50541"/>
    <cellStyle name="SAPBEXresItemX 5" xfId="50542"/>
    <cellStyle name="SAPBEXresItemX 5 2" xfId="50543"/>
    <cellStyle name="SAPBEXresItemX 5 2 2" xfId="50544"/>
    <cellStyle name="SAPBEXresItemX 5 2 2 2" xfId="50545"/>
    <cellStyle name="SAPBEXresItemX 5 2 2 2 2" xfId="50546"/>
    <cellStyle name="SAPBEXresItemX 5 2 2 3" xfId="50547"/>
    <cellStyle name="SAPBEXresItemX 5 2 3" xfId="50548"/>
    <cellStyle name="SAPBEXresItemX 5 2 3 2" xfId="50549"/>
    <cellStyle name="SAPBEXresItemX 5 2 4" xfId="50550"/>
    <cellStyle name="SAPBEXresItemX 5 3" xfId="50551"/>
    <cellStyle name="SAPBEXresItemX 5 3 2" xfId="50552"/>
    <cellStyle name="SAPBEXresItemX 5 3 2 2" xfId="50553"/>
    <cellStyle name="SAPBEXresItemX 5 3 3" xfId="50554"/>
    <cellStyle name="SAPBEXresItemX 5 4" xfId="50555"/>
    <cellStyle name="SAPBEXresItemX 5 4 2" xfId="50556"/>
    <cellStyle name="SAPBEXresItemX 5 4 2 2" xfId="50557"/>
    <cellStyle name="SAPBEXresItemX 5 4 3" xfId="50558"/>
    <cellStyle name="SAPBEXresItemX 5 5" xfId="50559"/>
    <cellStyle name="SAPBEXresItemX 5 5 2" xfId="50560"/>
    <cellStyle name="SAPBEXresItemX 5 5 2 2" xfId="50561"/>
    <cellStyle name="SAPBEXresItemX 5 5 3" xfId="50562"/>
    <cellStyle name="SAPBEXresItemX 5 6" xfId="50563"/>
    <cellStyle name="SAPBEXresItemX 5 6 2" xfId="50564"/>
    <cellStyle name="SAPBEXresItemX 5 7" xfId="50565"/>
    <cellStyle name="SAPBEXresItemX 6" xfId="50566"/>
    <cellStyle name="SAPBEXresItemX 6 2" xfId="50567"/>
    <cellStyle name="SAPBEXresItemX 6 2 2" xfId="50568"/>
    <cellStyle name="SAPBEXresItemX 6 3" xfId="50569"/>
    <cellStyle name="SAPBEXresItemX 6 3 2" xfId="50570"/>
    <cellStyle name="SAPBEXresItemX 6 3 2 2" xfId="50571"/>
    <cellStyle name="SAPBEXresItemX 6 3 3" xfId="50572"/>
    <cellStyle name="SAPBEXresItemX 6 4" xfId="50573"/>
    <cellStyle name="SAPBEXresItemX 6 4 2" xfId="50574"/>
    <cellStyle name="SAPBEXresItemX 6 4 2 2" xfId="50575"/>
    <cellStyle name="SAPBEXresItemX 6 4 3" xfId="50576"/>
    <cellStyle name="SAPBEXresItemX 6 5" xfId="50577"/>
    <cellStyle name="SAPBEXresItemX 7" xfId="50578"/>
    <cellStyle name="SAPBEXresItemX 7 2" xfId="50579"/>
    <cellStyle name="SAPBEXresItemX 7 2 2" xfId="50580"/>
    <cellStyle name="SAPBEXresItemX 7 2 2 2" xfId="50581"/>
    <cellStyle name="SAPBEXresItemX 7 2 3" xfId="50582"/>
    <cellStyle name="SAPBEXresItemX 7 2 3 2" xfId="50583"/>
    <cellStyle name="SAPBEXresItemX 7 2 3 2 2" xfId="50584"/>
    <cellStyle name="SAPBEXresItemX 7 2 3 3" xfId="50585"/>
    <cellStyle name="SAPBEXresItemX 7 2 4" xfId="50586"/>
    <cellStyle name="SAPBEXresItemX 7 3" xfId="50587"/>
    <cellStyle name="SAPBEXresItemX 7 3 2" xfId="50588"/>
    <cellStyle name="SAPBEXresItemX 7 3 2 2" xfId="50589"/>
    <cellStyle name="SAPBEXresItemX 7 3 3" xfId="50590"/>
    <cellStyle name="SAPBEXresItemX 7 4" xfId="50591"/>
    <cellStyle name="SAPBEXresItemX 7 4 2" xfId="50592"/>
    <cellStyle name="SAPBEXresItemX 7 4 2 2" xfId="50593"/>
    <cellStyle name="SAPBEXresItemX 7 4 3" xfId="50594"/>
    <cellStyle name="SAPBEXresItemX 7 5" xfId="50595"/>
    <cellStyle name="SAPBEXresItemX 7 5 2" xfId="50596"/>
    <cellStyle name="SAPBEXresItemX 7 5 2 2" xfId="50597"/>
    <cellStyle name="SAPBEXresItemX 7 5 3" xfId="50598"/>
    <cellStyle name="SAPBEXresItemX 7 6" xfId="50599"/>
    <cellStyle name="SAPBEXresItemX 8" xfId="50600"/>
    <cellStyle name="SAPBEXresItemX 8 2" xfId="50601"/>
    <cellStyle name="SAPBEXresItemX 8 2 2" xfId="50602"/>
    <cellStyle name="SAPBEXresItemX 8 3" xfId="50603"/>
    <cellStyle name="SAPBEXresItemX 9" xfId="50604"/>
    <cellStyle name="SAPBEXresItemX 9 2" xfId="50605"/>
    <cellStyle name="SAPBEXresItemX 9 2 2" xfId="50606"/>
    <cellStyle name="SAPBEXresItemX 9 3" xfId="50607"/>
    <cellStyle name="SAPBEXstdData" xfId="72"/>
    <cellStyle name="SAPBEXstdData 2" xfId="50608"/>
    <cellStyle name="SAPBEXstdData 2 2" xfId="50609"/>
    <cellStyle name="SAPBEXstdData 2 2 2" xfId="50610"/>
    <cellStyle name="SAPBEXstdData 2 2 2 2" xfId="50611"/>
    <cellStyle name="SAPBEXstdData 2 2 3" xfId="50612"/>
    <cellStyle name="SAPBEXstdData 2 3" xfId="50613"/>
    <cellStyle name="SAPBEXstdData 2 3 2" xfId="50614"/>
    <cellStyle name="SAPBEXstdData 2 3 2 2" xfId="50615"/>
    <cellStyle name="SAPBEXstdData 2 3 3" xfId="50616"/>
    <cellStyle name="SAPBEXstdData 2 4" xfId="50617"/>
    <cellStyle name="SAPBEXstdData 2 4 2" xfId="50618"/>
    <cellStyle name="SAPBEXstdData 2 4 2 2" xfId="50619"/>
    <cellStyle name="SAPBEXstdData 2 4 3" xfId="50620"/>
    <cellStyle name="SAPBEXstdData 2 5" xfId="50621"/>
    <cellStyle name="SAPBEXstdData 2 5 2" xfId="50622"/>
    <cellStyle name="SAPBEXstdData 2 6" xfId="50623"/>
    <cellStyle name="SAPBEXstdData 2 6 2" xfId="50624"/>
    <cellStyle name="SAPBEXstdData 2 6 2 2" xfId="50625"/>
    <cellStyle name="SAPBEXstdData 2 6 2 2 2" xfId="50626"/>
    <cellStyle name="SAPBEXstdData 2 6 2 3" xfId="50627"/>
    <cellStyle name="SAPBEXstdData 2 6 3" xfId="50628"/>
    <cellStyle name="SAPBEXstdData 2 6 3 2" xfId="50629"/>
    <cellStyle name="SAPBEXstdData 2 6 4" xfId="50630"/>
    <cellStyle name="SAPBEXstdData 2 7" xfId="50631"/>
    <cellStyle name="SAPBEXstdData 3" xfId="50632"/>
    <cellStyle name="SAPBEXstdData 3 2" xfId="50633"/>
    <cellStyle name="SAPBEXstdData 3 2 2" xfId="50634"/>
    <cellStyle name="SAPBEXstdData 3 2 2 2" xfId="50635"/>
    <cellStyle name="SAPBEXstdData 3 2 3" xfId="50636"/>
    <cellStyle name="SAPBEXstdData 3 3" xfId="50637"/>
    <cellStyle name="SAPBEXstdData 3 3 2" xfId="50638"/>
    <cellStyle name="SAPBEXstdData 3 4" xfId="50639"/>
    <cellStyle name="SAPBEXstdData 4" xfId="50640"/>
    <cellStyle name="SAPBEXstdData 4 2" xfId="50641"/>
    <cellStyle name="SAPBEXstdData 4 2 2" xfId="50642"/>
    <cellStyle name="SAPBEXstdData 4 3" xfId="50643"/>
    <cellStyle name="SAPBEXstdData 5" xfId="50644"/>
    <cellStyle name="SAPBEXstdData 5 2" xfId="50645"/>
    <cellStyle name="SAPBEXstdData 5 2 2" xfId="50646"/>
    <cellStyle name="SAPBEXstdData 5 3" xfId="50647"/>
    <cellStyle name="SAPBEXstdData 6" xfId="50648"/>
    <cellStyle name="SAPBEXstdData 6 2" xfId="50649"/>
    <cellStyle name="SAPBEXstdData 6 2 2" xfId="50650"/>
    <cellStyle name="SAPBEXstdData 6 3" xfId="50651"/>
    <cellStyle name="SAPBEXstdData 7" xfId="50652"/>
    <cellStyle name="SAPBEXstdData 7 2" xfId="50653"/>
    <cellStyle name="SAPBEXstdData 8" xfId="50654"/>
    <cellStyle name="SAPBEXstdData 8 2" xfId="50655"/>
    <cellStyle name="SAPBEXstdData 9" xfId="50656"/>
    <cellStyle name="SAPBEXstdDataEmph" xfId="73"/>
    <cellStyle name="SAPBEXstdDataEmph 2" xfId="50657"/>
    <cellStyle name="SAPBEXstdDataEmph 2 2" xfId="50658"/>
    <cellStyle name="SAPBEXstdDataEmph 2 2 2" xfId="50659"/>
    <cellStyle name="SAPBEXstdDataEmph 2 3" xfId="50660"/>
    <cellStyle name="SAPBEXstdDataEmph 2 3 2" xfId="50661"/>
    <cellStyle name="SAPBEXstdDataEmph 2 3 2 2" xfId="50662"/>
    <cellStyle name="SAPBEXstdDataEmph 2 3 3" xfId="50663"/>
    <cellStyle name="SAPBEXstdDataEmph 2 4" xfId="50664"/>
    <cellStyle name="SAPBEXstdDataEmph 2 4 2" xfId="50665"/>
    <cellStyle name="SAPBEXstdDataEmph 2 4 2 2" xfId="50666"/>
    <cellStyle name="SAPBEXstdDataEmph 2 4 3" xfId="50667"/>
    <cellStyle name="SAPBEXstdDataEmph 2 5" xfId="50668"/>
    <cellStyle name="SAPBEXstdDataEmph 3" xfId="50669"/>
    <cellStyle name="SAPBEXstdDataEmph 3 2" xfId="50670"/>
    <cellStyle name="SAPBEXstdDataEmph 3 2 2" xfId="50671"/>
    <cellStyle name="SAPBEXstdDataEmph 3 2 2 2" xfId="50672"/>
    <cellStyle name="SAPBEXstdDataEmph 3 2 3" xfId="50673"/>
    <cellStyle name="SAPBEXstdDataEmph 3 3" xfId="50674"/>
    <cellStyle name="SAPBEXstdDataEmph 3 3 2" xfId="50675"/>
    <cellStyle name="SAPBEXstdDataEmph 3 4" xfId="50676"/>
    <cellStyle name="SAPBEXstdDataEmph 4" xfId="50677"/>
    <cellStyle name="SAPBEXstdDataEmph 4 2" xfId="50678"/>
    <cellStyle name="SAPBEXstdDataEmph 4 2 2" xfId="50679"/>
    <cellStyle name="SAPBEXstdDataEmph 4 3" xfId="50680"/>
    <cellStyle name="SAPBEXstdDataEmph 5" xfId="50681"/>
    <cellStyle name="SAPBEXstdDataEmph 5 2" xfId="50682"/>
    <cellStyle name="SAPBEXstdDataEmph 5 2 2" xfId="50683"/>
    <cellStyle name="SAPBEXstdDataEmph 5 3" xfId="50684"/>
    <cellStyle name="SAPBEXstdDataEmph 6" xfId="50685"/>
    <cellStyle name="SAPBEXstdDataEmph 6 2" xfId="50686"/>
    <cellStyle name="SAPBEXstdDataEmph 6 2 2" xfId="50687"/>
    <cellStyle name="SAPBEXstdDataEmph 6 3" xfId="50688"/>
    <cellStyle name="SAPBEXstdDataEmph 7" xfId="50689"/>
    <cellStyle name="SAPBEXstdDataEmph 7 2" xfId="50690"/>
    <cellStyle name="SAPBEXstdDataEmph 8" xfId="50691"/>
    <cellStyle name="SAPBEXstdItem" xfId="74"/>
    <cellStyle name="SAPBEXstdItem 2" xfId="50692"/>
    <cellStyle name="SAPBEXstdItem 2 2" xfId="50693"/>
    <cellStyle name="SAPBEXstdItem 2 2 2" xfId="50694"/>
    <cellStyle name="SAPBEXstdItem 2 2 2 2" xfId="50695"/>
    <cellStyle name="SAPBEXstdItem 2 2 3" xfId="50696"/>
    <cellStyle name="SAPBEXstdItem 2 3" xfId="50697"/>
    <cellStyle name="SAPBEXstdItem 2 3 2" xfId="50698"/>
    <cellStyle name="SAPBEXstdItem 2 3 2 2" xfId="50699"/>
    <cellStyle name="SAPBEXstdItem 2 3 3" xfId="50700"/>
    <cellStyle name="SAPBEXstdItem 2 4" xfId="50701"/>
    <cellStyle name="SAPBEXstdItem 2 4 2" xfId="50702"/>
    <cellStyle name="SAPBEXstdItem 2 4 2 2" xfId="50703"/>
    <cellStyle name="SAPBEXstdItem 2 4 3" xfId="50704"/>
    <cellStyle name="SAPBEXstdItem 2 5" xfId="50705"/>
    <cellStyle name="SAPBEXstdItem 2 5 2" xfId="50706"/>
    <cellStyle name="SAPBEXstdItem 2 6" xfId="50707"/>
    <cellStyle name="SAPBEXstdItem 2 6 2" xfId="50708"/>
    <cellStyle name="SAPBEXstdItem 2 6 2 2" xfId="50709"/>
    <cellStyle name="SAPBEXstdItem 2 6 2 2 2" xfId="50710"/>
    <cellStyle name="SAPBEXstdItem 2 6 2 3" xfId="50711"/>
    <cellStyle name="SAPBEXstdItem 2 6 3" xfId="50712"/>
    <cellStyle name="SAPBEXstdItem 2 6 3 2" xfId="50713"/>
    <cellStyle name="SAPBEXstdItem 2 6 4" xfId="50714"/>
    <cellStyle name="SAPBEXstdItem 2 7" xfId="50715"/>
    <cellStyle name="SAPBEXstdItem 3" xfId="50716"/>
    <cellStyle name="SAPBEXstdItem 3 2" xfId="50717"/>
    <cellStyle name="SAPBEXstdItem 3 2 2" xfId="50718"/>
    <cellStyle name="SAPBEXstdItem 3 2 2 2" xfId="50719"/>
    <cellStyle name="SAPBEXstdItem 3 2 3" xfId="50720"/>
    <cellStyle name="SAPBEXstdItem 3 3" xfId="50721"/>
    <cellStyle name="SAPBEXstdItem 3 3 2" xfId="50722"/>
    <cellStyle name="SAPBEXstdItem 3 4" xfId="50723"/>
    <cellStyle name="SAPBEXstdItem 4" xfId="50724"/>
    <cellStyle name="SAPBEXstdItem 4 2" xfId="50725"/>
    <cellStyle name="SAPBEXstdItem 4 2 2" xfId="50726"/>
    <cellStyle name="SAPBEXstdItem 4 3" xfId="50727"/>
    <cellStyle name="SAPBEXstdItem 5" xfId="50728"/>
    <cellStyle name="SAPBEXstdItem 5 2" xfId="50729"/>
    <cellStyle name="SAPBEXstdItem 5 2 2" xfId="50730"/>
    <cellStyle name="SAPBEXstdItem 5 3" xfId="50731"/>
    <cellStyle name="SAPBEXstdItem 6" xfId="50732"/>
    <cellStyle name="SAPBEXstdItem 6 2" xfId="50733"/>
    <cellStyle name="SAPBEXstdItem 6 2 2" xfId="50734"/>
    <cellStyle name="SAPBEXstdItem 6 3" xfId="50735"/>
    <cellStyle name="SAPBEXstdItem 7" xfId="50736"/>
    <cellStyle name="SAPBEXstdItem 7 2" xfId="50737"/>
    <cellStyle name="SAPBEXstdItem 8" xfId="50738"/>
    <cellStyle name="SAPBEXstdItem 8 2" xfId="50739"/>
    <cellStyle name="SAPBEXstdItem 9" xfId="50740"/>
    <cellStyle name="SAPBEXstdItem_Forecast Template 3-31-11.updates (Alan Updates)" xfId="50741"/>
    <cellStyle name="SAPBEXstdItemX" xfId="75"/>
    <cellStyle name="SAPBEXstdItemX 10" xfId="50742"/>
    <cellStyle name="SAPBEXstdItemX 10 2" xfId="50743"/>
    <cellStyle name="SAPBEXstdItemX 10 2 2" xfId="50744"/>
    <cellStyle name="SAPBEXstdItemX 10 3" xfId="50745"/>
    <cellStyle name="SAPBEXstdItemX 11" xfId="50746"/>
    <cellStyle name="SAPBEXstdItemX 11 2" xfId="50747"/>
    <cellStyle name="SAPBEXstdItemX 12" xfId="50748"/>
    <cellStyle name="SAPBEXstdItemX 12 2" xfId="50749"/>
    <cellStyle name="SAPBEXstdItemX 12 2 2" xfId="50750"/>
    <cellStyle name="SAPBEXstdItemX 12 3" xfId="50751"/>
    <cellStyle name="SAPBEXstdItemX 12 3 2" xfId="50752"/>
    <cellStyle name="SAPBEXstdItemX 12 4" xfId="50753"/>
    <cellStyle name="SAPBEXstdItemX 13" xfId="50754"/>
    <cellStyle name="SAPBEXstdItemX 13 2" xfId="50755"/>
    <cellStyle name="SAPBEXstdItemX 14" xfId="50756"/>
    <cellStyle name="SAPBEXstdItemX 14 2" xfId="50757"/>
    <cellStyle name="SAPBEXstdItemX 15" xfId="50758"/>
    <cellStyle name="SAPBEXstdItemX 15 2" xfId="50759"/>
    <cellStyle name="SAPBEXstdItemX 16" xfId="50760"/>
    <cellStyle name="SAPBEXstdItemX 17" xfId="50761"/>
    <cellStyle name="SAPBEXstdItemX 2" xfId="50762"/>
    <cellStyle name="SAPBEXstdItemX 2 10" xfId="50763"/>
    <cellStyle name="SAPBEXstdItemX 2 2" xfId="50764"/>
    <cellStyle name="SAPBEXstdItemX 2 2 2" xfId="50765"/>
    <cellStyle name="SAPBEXstdItemX 2 2 2 2" xfId="50766"/>
    <cellStyle name="SAPBEXstdItemX 2 2 2 2 2" xfId="50767"/>
    <cellStyle name="SAPBEXstdItemX 2 2 2 2 2 2" xfId="50768"/>
    <cellStyle name="SAPBEXstdItemX 2 2 2 2 3" xfId="50769"/>
    <cellStyle name="SAPBEXstdItemX 2 2 2 3" xfId="50770"/>
    <cellStyle name="SAPBEXstdItemX 2 2 2 3 2" xfId="50771"/>
    <cellStyle name="SAPBEXstdItemX 2 2 2 4" xfId="50772"/>
    <cellStyle name="SAPBEXstdItemX 2 2 3" xfId="50773"/>
    <cellStyle name="SAPBEXstdItemX 2 2 3 2" xfId="50774"/>
    <cellStyle name="SAPBEXstdItemX 2 2 3 2 2" xfId="50775"/>
    <cellStyle name="SAPBEXstdItemX 2 2 3 3" xfId="50776"/>
    <cellStyle name="SAPBEXstdItemX 2 2 4" xfId="50777"/>
    <cellStyle name="SAPBEXstdItemX 2 2 4 2" xfId="50778"/>
    <cellStyle name="SAPBEXstdItemX 2 2 4 2 2" xfId="50779"/>
    <cellStyle name="SAPBEXstdItemX 2 2 4 3" xfId="50780"/>
    <cellStyle name="SAPBEXstdItemX 2 2 5" xfId="50781"/>
    <cellStyle name="SAPBEXstdItemX 2 2 5 2" xfId="50782"/>
    <cellStyle name="SAPBEXstdItemX 2 2 5 2 2" xfId="50783"/>
    <cellStyle name="SAPBEXstdItemX 2 2 5 3" xfId="50784"/>
    <cellStyle name="SAPBEXstdItemX 2 2 6" xfId="50785"/>
    <cellStyle name="SAPBEXstdItemX 2 2 6 2" xfId="50786"/>
    <cellStyle name="SAPBEXstdItemX 2 2 7" xfId="50787"/>
    <cellStyle name="SAPBEXstdItemX 2 3" xfId="50788"/>
    <cellStyle name="SAPBEXstdItemX 2 3 2" xfId="50789"/>
    <cellStyle name="SAPBEXstdItemX 2 3 2 2" xfId="50790"/>
    <cellStyle name="SAPBEXstdItemX 2 3 2 2 2" xfId="50791"/>
    <cellStyle name="SAPBEXstdItemX 2 3 2 2 2 2" xfId="50792"/>
    <cellStyle name="SAPBEXstdItemX 2 3 2 2 2 2 2" xfId="50793"/>
    <cellStyle name="SAPBEXstdItemX 2 3 2 2 2 3" xfId="50794"/>
    <cellStyle name="SAPBEXstdItemX 2 3 2 2 3" xfId="50795"/>
    <cellStyle name="SAPBEXstdItemX 2 3 2 2 3 2" xfId="50796"/>
    <cellStyle name="SAPBEXstdItemX 2 3 2 2 4" xfId="50797"/>
    <cellStyle name="SAPBEXstdItemX 2 3 2 3" xfId="50798"/>
    <cellStyle name="SAPBEXstdItemX 2 3 2 3 2" xfId="50799"/>
    <cellStyle name="SAPBEXstdItemX 2 3 2 3 2 2" xfId="50800"/>
    <cellStyle name="SAPBEXstdItemX 2 3 2 3 3" xfId="50801"/>
    <cellStyle name="SAPBEXstdItemX 2 3 2 4" xfId="50802"/>
    <cellStyle name="SAPBEXstdItemX 2 3 2 4 2" xfId="50803"/>
    <cellStyle name="SAPBEXstdItemX 2 3 2 4 2 2" xfId="50804"/>
    <cellStyle name="SAPBEXstdItemX 2 3 2 4 3" xfId="50805"/>
    <cellStyle name="SAPBEXstdItemX 2 3 2 5" xfId="50806"/>
    <cellStyle name="SAPBEXstdItemX 2 3 2 5 2" xfId="50807"/>
    <cellStyle name="SAPBEXstdItemX 2 3 2 6" xfId="50808"/>
    <cellStyle name="SAPBEXstdItemX 2 3 3" xfId="50809"/>
    <cellStyle name="SAPBEXstdItemX 2 3 3 2" xfId="50810"/>
    <cellStyle name="SAPBEXstdItemX 2 3 3 2 2" xfId="50811"/>
    <cellStyle name="SAPBEXstdItemX 2 3 3 2 2 2" xfId="50812"/>
    <cellStyle name="SAPBEXstdItemX 2 3 3 2 2 2 2" xfId="50813"/>
    <cellStyle name="SAPBEXstdItemX 2 3 3 2 2 3" xfId="50814"/>
    <cellStyle name="SAPBEXstdItemX 2 3 3 2 3" xfId="50815"/>
    <cellStyle name="SAPBEXstdItemX 2 3 3 2 3 2" xfId="50816"/>
    <cellStyle name="SAPBEXstdItemX 2 3 3 2 4" xfId="50817"/>
    <cellStyle name="SAPBEXstdItemX 2 3 3 3" xfId="50818"/>
    <cellStyle name="SAPBEXstdItemX 2 3 3 3 2" xfId="50819"/>
    <cellStyle name="SAPBEXstdItemX 2 3 3 3 2 2" xfId="50820"/>
    <cellStyle name="SAPBEXstdItemX 2 3 3 3 3" xfId="50821"/>
    <cellStyle name="SAPBEXstdItemX 2 3 3 4" xfId="50822"/>
    <cellStyle name="SAPBEXstdItemX 2 3 3 4 2" xfId="50823"/>
    <cellStyle name="SAPBEXstdItemX 2 3 3 5" xfId="50824"/>
    <cellStyle name="SAPBEXstdItemX 2 3 4" xfId="50825"/>
    <cellStyle name="SAPBEXstdItemX 2 3 4 2" xfId="50826"/>
    <cellStyle name="SAPBEXstdItemX 2 3 4 2 2" xfId="50827"/>
    <cellStyle name="SAPBEXstdItemX 2 3 4 3" xfId="50828"/>
    <cellStyle name="SAPBEXstdItemX 2 3 5" xfId="50829"/>
    <cellStyle name="SAPBEXstdItemX 2 3 5 2" xfId="50830"/>
    <cellStyle name="SAPBEXstdItemX 2 3 5 2 2" xfId="50831"/>
    <cellStyle name="SAPBEXstdItemX 2 3 5 3" xfId="50832"/>
    <cellStyle name="SAPBEXstdItemX 2 3 6" xfId="50833"/>
    <cellStyle name="SAPBEXstdItemX 2 3 6 2" xfId="50834"/>
    <cellStyle name="SAPBEXstdItemX 2 3 6 2 2" xfId="50835"/>
    <cellStyle name="SAPBEXstdItemX 2 3 6 3" xfId="50836"/>
    <cellStyle name="SAPBEXstdItemX 2 3 7" xfId="50837"/>
    <cellStyle name="SAPBEXstdItemX 2 3 7 2" xfId="50838"/>
    <cellStyle name="SAPBEXstdItemX 2 3 8" xfId="50839"/>
    <cellStyle name="SAPBEXstdItemX 2 4" xfId="50840"/>
    <cellStyle name="SAPBEXstdItemX 2 4 2" xfId="50841"/>
    <cellStyle name="SAPBEXstdItemX 2 4 2 2" xfId="50842"/>
    <cellStyle name="SAPBEXstdItemX 2 4 2 2 2" xfId="50843"/>
    <cellStyle name="SAPBEXstdItemX 2 4 2 2 2 2" xfId="50844"/>
    <cellStyle name="SAPBEXstdItemX 2 4 2 2 3" xfId="50845"/>
    <cellStyle name="SAPBEXstdItemX 2 4 2 3" xfId="50846"/>
    <cellStyle name="SAPBEXstdItemX 2 4 2 3 2" xfId="50847"/>
    <cellStyle name="SAPBEXstdItemX 2 4 2 3 2 2" xfId="50848"/>
    <cellStyle name="SAPBEXstdItemX 2 4 2 3 3" xfId="50849"/>
    <cellStyle name="SAPBEXstdItemX 2 4 2 4" xfId="50850"/>
    <cellStyle name="SAPBEXstdItemX 2 4 2 4 2" xfId="50851"/>
    <cellStyle name="SAPBEXstdItemX 2 4 2 5" xfId="50852"/>
    <cellStyle name="SAPBEXstdItemX 2 4 3" xfId="50853"/>
    <cellStyle name="SAPBEXstdItemX 2 4 3 2" xfId="50854"/>
    <cellStyle name="SAPBEXstdItemX 2 4 3 2 2" xfId="50855"/>
    <cellStyle name="SAPBEXstdItemX 2 4 3 2 2 2" xfId="50856"/>
    <cellStyle name="SAPBEXstdItemX 2 4 3 2 3" xfId="50857"/>
    <cellStyle name="SAPBEXstdItemX 2 4 3 3" xfId="50858"/>
    <cellStyle name="SAPBEXstdItemX 2 4 3 3 2" xfId="50859"/>
    <cellStyle name="SAPBEXstdItemX 2 4 3 4" xfId="50860"/>
    <cellStyle name="SAPBEXstdItemX 2 4 4" xfId="50861"/>
    <cellStyle name="SAPBEXstdItemX 2 4 4 2" xfId="50862"/>
    <cellStyle name="SAPBEXstdItemX 2 4 4 2 2" xfId="50863"/>
    <cellStyle name="SAPBEXstdItemX 2 4 4 3" xfId="50864"/>
    <cellStyle name="SAPBEXstdItemX 2 4 5" xfId="50865"/>
    <cellStyle name="SAPBEXstdItemX 2 4 5 2" xfId="50866"/>
    <cellStyle name="SAPBEXstdItemX 2 4 6" xfId="50867"/>
    <cellStyle name="SAPBEXstdItemX 2 5" xfId="50868"/>
    <cellStyle name="SAPBEXstdItemX 2 5 2" xfId="50869"/>
    <cellStyle name="SAPBEXstdItemX 2 5 2 2" xfId="50870"/>
    <cellStyle name="SAPBEXstdItemX 2 5 2 2 2" xfId="50871"/>
    <cellStyle name="SAPBEXstdItemX 2 5 2 2 2 2" xfId="50872"/>
    <cellStyle name="SAPBEXstdItemX 2 5 2 2 3" xfId="50873"/>
    <cellStyle name="SAPBEXstdItemX 2 5 2 3" xfId="50874"/>
    <cellStyle name="SAPBEXstdItemX 2 5 2 3 2" xfId="50875"/>
    <cellStyle name="SAPBEXstdItemX 2 5 2 4" xfId="50876"/>
    <cellStyle name="SAPBEXstdItemX 2 5 3" xfId="50877"/>
    <cellStyle name="SAPBEXstdItemX 2 5 3 2" xfId="50878"/>
    <cellStyle name="SAPBEXstdItemX 2 5 3 2 2" xfId="50879"/>
    <cellStyle name="SAPBEXstdItemX 2 5 3 3" xfId="50880"/>
    <cellStyle name="SAPBEXstdItemX 2 5 4" xfId="50881"/>
    <cellStyle name="SAPBEXstdItemX 2 5 4 2" xfId="50882"/>
    <cellStyle name="SAPBEXstdItemX 2 5 5" xfId="50883"/>
    <cellStyle name="SAPBEXstdItemX 2 6" xfId="50884"/>
    <cellStyle name="SAPBEXstdItemX 2 6 2" xfId="50885"/>
    <cellStyle name="SAPBEXstdItemX 2 6 2 2" xfId="50886"/>
    <cellStyle name="SAPBEXstdItemX 2 6 3" xfId="50887"/>
    <cellStyle name="SAPBEXstdItemX 2 7" xfId="50888"/>
    <cellStyle name="SAPBEXstdItemX 2 7 2" xfId="50889"/>
    <cellStyle name="SAPBEXstdItemX 2 7 2 2" xfId="50890"/>
    <cellStyle name="SAPBEXstdItemX 2 7 3" xfId="50891"/>
    <cellStyle name="SAPBEXstdItemX 2 8" xfId="50892"/>
    <cellStyle name="SAPBEXstdItemX 2 8 2" xfId="50893"/>
    <cellStyle name="SAPBEXstdItemX 2 8 2 2" xfId="50894"/>
    <cellStyle name="SAPBEXstdItemX 2 8 3" xfId="50895"/>
    <cellStyle name="SAPBEXstdItemX 2 9" xfId="50896"/>
    <cellStyle name="SAPBEXstdItemX 2 9 2" xfId="50897"/>
    <cellStyle name="SAPBEXstdItemX 3" xfId="50898"/>
    <cellStyle name="SAPBEXstdItemX 3 2" xfId="50899"/>
    <cellStyle name="SAPBEXstdItemX 3 2 2" xfId="50900"/>
    <cellStyle name="SAPBEXstdItemX 3 2 2 2" xfId="50901"/>
    <cellStyle name="SAPBEXstdItemX 3 2 2 2 2" xfId="50902"/>
    <cellStyle name="SAPBEXstdItemX 3 2 2 2 2 2" xfId="50903"/>
    <cellStyle name="SAPBEXstdItemX 3 2 2 2 3" xfId="50904"/>
    <cellStyle name="SAPBEXstdItemX 3 2 2 3" xfId="50905"/>
    <cellStyle name="SAPBEXstdItemX 3 2 2 3 2" xfId="50906"/>
    <cellStyle name="SAPBEXstdItemX 3 2 2 4" xfId="50907"/>
    <cellStyle name="SAPBEXstdItemX 3 2 3" xfId="50908"/>
    <cellStyle name="SAPBEXstdItemX 3 2 3 2" xfId="50909"/>
    <cellStyle name="SAPBEXstdItemX 3 2 3 2 2" xfId="50910"/>
    <cellStyle name="SAPBEXstdItemX 3 2 3 3" xfId="50911"/>
    <cellStyle name="SAPBEXstdItemX 3 2 4" xfId="50912"/>
    <cellStyle name="SAPBEXstdItemX 3 2 4 2" xfId="50913"/>
    <cellStyle name="SAPBEXstdItemX 3 2 4 2 2" xfId="50914"/>
    <cellStyle name="SAPBEXstdItemX 3 2 4 3" xfId="50915"/>
    <cellStyle name="SAPBEXstdItemX 3 2 5" xfId="50916"/>
    <cellStyle name="SAPBEXstdItemX 3 2 5 2" xfId="50917"/>
    <cellStyle name="SAPBEXstdItemX 3 2 5 2 2" xfId="50918"/>
    <cellStyle name="SAPBEXstdItemX 3 2 5 3" xfId="50919"/>
    <cellStyle name="SAPBEXstdItemX 3 2 6" xfId="50920"/>
    <cellStyle name="SAPBEXstdItemX 3 2 6 2" xfId="50921"/>
    <cellStyle name="SAPBEXstdItemX 3 2 7" xfId="50922"/>
    <cellStyle name="SAPBEXstdItemX 3 3" xfId="50923"/>
    <cellStyle name="SAPBEXstdItemX 3 3 2" xfId="50924"/>
    <cellStyle name="SAPBEXstdItemX 3 3 2 2" xfId="50925"/>
    <cellStyle name="SAPBEXstdItemX 3 3 2 2 2" xfId="50926"/>
    <cellStyle name="SAPBEXstdItemX 3 3 2 2 2 2" xfId="50927"/>
    <cellStyle name="SAPBEXstdItemX 3 3 2 2 3" xfId="50928"/>
    <cellStyle name="SAPBEXstdItemX 3 3 2 3" xfId="50929"/>
    <cellStyle name="SAPBEXstdItemX 3 3 2 3 2" xfId="50930"/>
    <cellStyle name="SAPBEXstdItemX 3 3 2 4" xfId="50931"/>
    <cellStyle name="SAPBEXstdItemX 3 3 3" xfId="50932"/>
    <cellStyle name="SAPBEXstdItemX 3 3 3 2" xfId="50933"/>
    <cellStyle name="SAPBEXstdItemX 3 3 3 2 2" xfId="50934"/>
    <cellStyle name="SAPBEXstdItemX 3 3 3 3" xfId="50935"/>
    <cellStyle name="SAPBEXstdItemX 3 3 4" xfId="50936"/>
    <cellStyle name="SAPBEXstdItemX 3 3 4 2" xfId="50937"/>
    <cellStyle name="SAPBEXstdItemX 3 3 5" xfId="50938"/>
    <cellStyle name="SAPBEXstdItemX 3 4" xfId="50939"/>
    <cellStyle name="SAPBEXstdItemX 3 4 2" xfId="50940"/>
    <cellStyle name="SAPBEXstdItemX 3 4 2 2" xfId="50941"/>
    <cellStyle name="SAPBEXstdItemX 3 4 3" xfId="50942"/>
    <cellStyle name="SAPBEXstdItemX 3 5" xfId="50943"/>
    <cellStyle name="SAPBEXstdItemX 3 5 2" xfId="50944"/>
    <cellStyle name="SAPBEXstdItemX 3 5 2 2" xfId="50945"/>
    <cellStyle name="SAPBEXstdItemX 3 5 3" xfId="50946"/>
    <cellStyle name="SAPBEXstdItemX 3 6" xfId="50947"/>
    <cellStyle name="SAPBEXstdItemX 3 6 2" xfId="50948"/>
    <cellStyle name="SAPBEXstdItemX 3 6 2 2" xfId="50949"/>
    <cellStyle name="SAPBEXstdItemX 3 6 3" xfId="50950"/>
    <cellStyle name="SAPBEXstdItemX 3 7" xfId="50951"/>
    <cellStyle name="SAPBEXstdItemX 3 7 2" xfId="50952"/>
    <cellStyle name="SAPBEXstdItemX 3 8" xfId="50953"/>
    <cellStyle name="SAPBEXstdItemX 4" xfId="50954"/>
    <cellStyle name="SAPBEXstdItemX 4 2" xfId="50955"/>
    <cellStyle name="SAPBEXstdItemX 4 2 2" xfId="50956"/>
    <cellStyle name="SAPBEXstdItemX 4 2 2 2" xfId="50957"/>
    <cellStyle name="SAPBEXstdItemX 4 2 2 2 2" xfId="50958"/>
    <cellStyle name="SAPBEXstdItemX 4 2 2 2 2 2" xfId="50959"/>
    <cellStyle name="SAPBEXstdItemX 4 2 2 2 3" xfId="50960"/>
    <cellStyle name="SAPBEXstdItemX 4 2 2 3" xfId="50961"/>
    <cellStyle name="SAPBEXstdItemX 4 2 2 3 2" xfId="50962"/>
    <cellStyle name="SAPBEXstdItemX 4 2 2 4" xfId="50963"/>
    <cellStyle name="SAPBEXstdItemX 4 2 3" xfId="50964"/>
    <cellStyle name="SAPBEXstdItemX 4 2 3 2" xfId="50965"/>
    <cellStyle name="SAPBEXstdItemX 4 2 3 2 2" xfId="50966"/>
    <cellStyle name="SAPBEXstdItemX 4 2 3 3" xfId="50967"/>
    <cellStyle name="SAPBEXstdItemX 4 2 4" xfId="50968"/>
    <cellStyle name="SAPBEXstdItemX 4 2 4 2" xfId="50969"/>
    <cellStyle name="SAPBEXstdItemX 4 2 4 2 2" xfId="50970"/>
    <cellStyle name="SAPBEXstdItemX 4 2 4 3" xfId="50971"/>
    <cellStyle name="SAPBEXstdItemX 4 2 5" xfId="50972"/>
    <cellStyle name="SAPBEXstdItemX 4 2 5 2" xfId="50973"/>
    <cellStyle name="SAPBEXstdItemX 4 2 5 2 2" xfId="50974"/>
    <cellStyle name="SAPBEXstdItemX 4 2 5 3" xfId="50975"/>
    <cellStyle name="SAPBEXstdItemX 4 2 6" xfId="50976"/>
    <cellStyle name="SAPBEXstdItemX 4 2 6 2" xfId="50977"/>
    <cellStyle name="SAPBEXstdItemX 4 2 7" xfId="50978"/>
    <cellStyle name="SAPBEXstdItemX 4 3" xfId="50979"/>
    <cellStyle name="SAPBEXstdItemX 4 3 2" xfId="50980"/>
    <cellStyle name="SAPBEXstdItemX 4 3 2 2" xfId="50981"/>
    <cellStyle name="SAPBEXstdItemX 4 3 2 2 2" xfId="50982"/>
    <cellStyle name="SAPBEXstdItemX 4 3 2 2 2 2" xfId="50983"/>
    <cellStyle name="SAPBEXstdItemX 4 3 2 2 2 2 2" xfId="50984"/>
    <cellStyle name="SAPBEXstdItemX 4 3 2 2 2 3" xfId="50985"/>
    <cellStyle name="SAPBEXstdItemX 4 3 2 2 3" xfId="50986"/>
    <cellStyle name="SAPBEXstdItemX 4 3 2 2 3 2" xfId="50987"/>
    <cellStyle name="SAPBEXstdItemX 4 3 2 2 4" xfId="50988"/>
    <cellStyle name="SAPBEXstdItemX 4 3 2 3" xfId="50989"/>
    <cellStyle name="SAPBEXstdItemX 4 3 2 3 2" xfId="50990"/>
    <cellStyle name="SAPBEXstdItemX 4 3 2 3 2 2" xfId="50991"/>
    <cellStyle name="SAPBEXstdItemX 4 3 2 3 3" xfId="50992"/>
    <cellStyle name="SAPBEXstdItemX 4 3 2 4" xfId="50993"/>
    <cellStyle name="SAPBEXstdItemX 4 3 2 4 2" xfId="50994"/>
    <cellStyle name="SAPBEXstdItemX 4 3 2 4 2 2" xfId="50995"/>
    <cellStyle name="SAPBEXstdItemX 4 3 2 4 3" xfId="50996"/>
    <cellStyle name="SAPBEXstdItemX 4 3 2 5" xfId="50997"/>
    <cellStyle name="SAPBEXstdItemX 4 3 2 5 2" xfId="50998"/>
    <cellStyle name="SAPBEXstdItemX 4 3 2 6" xfId="50999"/>
    <cellStyle name="SAPBEXstdItemX 4 3 3" xfId="51000"/>
    <cellStyle name="SAPBEXstdItemX 4 3 3 2" xfId="51001"/>
    <cellStyle name="SAPBEXstdItemX 4 3 3 2 2" xfId="51002"/>
    <cellStyle name="SAPBEXstdItemX 4 3 3 2 2 2" xfId="51003"/>
    <cellStyle name="SAPBEXstdItemX 4 3 3 2 2 2 2" xfId="51004"/>
    <cellStyle name="SAPBEXstdItemX 4 3 3 2 2 3" xfId="51005"/>
    <cellStyle name="SAPBEXstdItemX 4 3 3 2 3" xfId="51006"/>
    <cellStyle name="SAPBEXstdItemX 4 3 3 2 3 2" xfId="51007"/>
    <cellStyle name="SAPBEXstdItemX 4 3 3 2 4" xfId="51008"/>
    <cellStyle name="SAPBEXstdItemX 4 3 3 3" xfId="51009"/>
    <cellStyle name="SAPBEXstdItemX 4 3 3 3 2" xfId="51010"/>
    <cellStyle name="SAPBEXstdItemX 4 3 3 3 2 2" xfId="51011"/>
    <cellStyle name="SAPBEXstdItemX 4 3 3 3 3" xfId="51012"/>
    <cellStyle name="SAPBEXstdItemX 4 3 3 4" xfId="51013"/>
    <cellStyle name="SAPBEXstdItemX 4 3 3 4 2" xfId="51014"/>
    <cellStyle name="SAPBEXstdItemX 4 3 3 5" xfId="51015"/>
    <cellStyle name="SAPBEXstdItemX 4 3 4" xfId="51016"/>
    <cellStyle name="SAPBEXstdItemX 4 3 4 2" xfId="51017"/>
    <cellStyle name="SAPBEXstdItemX 4 3 4 2 2" xfId="51018"/>
    <cellStyle name="SAPBEXstdItemX 4 3 4 3" xfId="51019"/>
    <cellStyle name="SAPBEXstdItemX 4 3 5" xfId="51020"/>
    <cellStyle name="SAPBEXstdItemX 4 3 5 2" xfId="51021"/>
    <cellStyle name="SAPBEXstdItemX 4 3 5 2 2" xfId="51022"/>
    <cellStyle name="SAPBEXstdItemX 4 3 5 3" xfId="51023"/>
    <cellStyle name="SAPBEXstdItemX 4 3 6" xfId="51024"/>
    <cellStyle name="SAPBEXstdItemX 4 3 6 2" xfId="51025"/>
    <cellStyle name="SAPBEXstdItemX 4 3 6 2 2" xfId="51026"/>
    <cellStyle name="SAPBEXstdItemX 4 3 6 3" xfId="51027"/>
    <cellStyle name="SAPBEXstdItemX 4 3 7" xfId="51028"/>
    <cellStyle name="SAPBEXstdItemX 4 3 7 2" xfId="51029"/>
    <cellStyle name="SAPBEXstdItemX 4 3 8" xfId="51030"/>
    <cellStyle name="SAPBEXstdItemX 4 4" xfId="51031"/>
    <cellStyle name="SAPBEXstdItemX 4 4 2" xfId="51032"/>
    <cellStyle name="SAPBEXstdItemX 4 4 2 2" xfId="51033"/>
    <cellStyle name="SAPBEXstdItemX 4 4 2 2 2" xfId="51034"/>
    <cellStyle name="SAPBEXstdItemX 4 4 2 2 2 2" xfId="51035"/>
    <cellStyle name="SAPBEXstdItemX 4 4 2 2 3" xfId="51036"/>
    <cellStyle name="SAPBEXstdItemX 4 4 2 3" xfId="51037"/>
    <cellStyle name="SAPBEXstdItemX 4 4 2 3 2" xfId="51038"/>
    <cellStyle name="SAPBEXstdItemX 4 4 2 4" xfId="51039"/>
    <cellStyle name="SAPBEXstdItemX 4 4 3" xfId="51040"/>
    <cellStyle name="SAPBEXstdItemX 4 4 3 2" xfId="51041"/>
    <cellStyle name="SAPBEXstdItemX 4 4 3 2 2" xfId="51042"/>
    <cellStyle name="SAPBEXstdItemX 4 4 3 3" xfId="51043"/>
    <cellStyle name="SAPBEXstdItemX 4 4 4" xfId="51044"/>
    <cellStyle name="SAPBEXstdItemX 4 4 4 2" xfId="51045"/>
    <cellStyle name="SAPBEXstdItemX 4 4 5" xfId="51046"/>
    <cellStyle name="SAPBEXstdItemX 4 5" xfId="51047"/>
    <cellStyle name="SAPBEXstdItemX 4 5 2" xfId="51048"/>
    <cellStyle name="SAPBEXstdItemX 4 5 2 2" xfId="51049"/>
    <cellStyle name="SAPBEXstdItemX 4 5 3" xfId="51050"/>
    <cellStyle name="SAPBEXstdItemX 4 6" xfId="51051"/>
    <cellStyle name="SAPBEXstdItemX 4 6 2" xfId="51052"/>
    <cellStyle name="SAPBEXstdItemX 4 6 2 2" xfId="51053"/>
    <cellStyle name="SAPBEXstdItemX 4 6 3" xfId="51054"/>
    <cellStyle name="SAPBEXstdItemX 4 7" xfId="51055"/>
    <cellStyle name="SAPBEXstdItemX 4 7 2" xfId="51056"/>
    <cellStyle name="SAPBEXstdItemX 4 7 2 2" xfId="51057"/>
    <cellStyle name="SAPBEXstdItemX 4 7 3" xfId="51058"/>
    <cellStyle name="SAPBEXstdItemX 4 8" xfId="51059"/>
    <cellStyle name="SAPBEXstdItemX 4 8 2" xfId="51060"/>
    <cellStyle name="SAPBEXstdItemX 4 9" xfId="51061"/>
    <cellStyle name="SAPBEXstdItemX 5" xfId="51062"/>
    <cellStyle name="SAPBEXstdItemX 5 2" xfId="51063"/>
    <cellStyle name="SAPBEXstdItemX 5 2 2" xfId="51064"/>
    <cellStyle name="SAPBEXstdItemX 5 2 2 2" xfId="51065"/>
    <cellStyle name="SAPBEXstdItemX 5 2 2 2 2" xfId="51066"/>
    <cellStyle name="SAPBEXstdItemX 5 2 2 3" xfId="51067"/>
    <cellStyle name="SAPBEXstdItemX 5 2 3" xfId="51068"/>
    <cellStyle name="SAPBEXstdItemX 5 2 3 2" xfId="51069"/>
    <cellStyle name="SAPBEXstdItemX 5 2 4" xfId="51070"/>
    <cellStyle name="SAPBEXstdItemX 5 3" xfId="51071"/>
    <cellStyle name="SAPBEXstdItemX 5 3 2" xfId="51072"/>
    <cellStyle name="SAPBEXstdItemX 5 3 2 2" xfId="51073"/>
    <cellStyle name="SAPBEXstdItemX 5 3 3" xfId="51074"/>
    <cellStyle name="SAPBEXstdItemX 5 4" xfId="51075"/>
    <cellStyle name="SAPBEXstdItemX 5 4 2" xfId="51076"/>
    <cellStyle name="SAPBEXstdItemX 5 4 2 2" xfId="51077"/>
    <cellStyle name="SAPBEXstdItemX 5 4 3" xfId="51078"/>
    <cellStyle name="SAPBEXstdItemX 5 5" xfId="51079"/>
    <cellStyle name="SAPBEXstdItemX 5 5 2" xfId="51080"/>
    <cellStyle name="SAPBEXstdItemX 5 5 2 2" xfId="51081"/>
    <cellStyle name="SAPBEXstdItemX 5 5 3" xfId="51082"/>
    <cellStyle name="SAPBEXstdItemX 5 6" xfId="51083"/>
    <cellStyle name="SAPBEXstdItemX 5 6 2" xfId="51084"/>
    <cellStyle name="SAPBEXstdItemX 5 7" xfId="51085"/>
    <cellStyle name="SAPBEXstdItemX 6" xfId="51086"/>
    <cellStyle name="SAPBEXstdItemX 6 2" xfId="51087"/>
    <cellStyle name="SAPBEXstdItemX 6 2 2" xfId="51088"/>
    <cellStyle name="SAPBEXstdItemX 6 3" xfId="51089"/>
    <cellStyle name="SAPBEXstdItemX 6 3 2" xfId="51090"/>
    <cellStyle name="SAPBEXstdItemX 6 3 2 2" xfId="51091"/>
    <cellStyle name="SAPBEXstdItemX 6 3 3" xfId="51092"/>
    <cellStyle name="SAPBEXstdItemX 6 4" xfId="51093"/>
    <cellStyle name="SAPBEXstdItemX 6 4 2" xfId="51094"/>
    <cellStyle name="SAPBEXstdItemX 6 4 2 2" xfId="51095"/>
    <cellStyle name="SAPBEXstdItemX 6 4 3" xfId="51096"/>
    <cellStyle name="SAPBEXstdItemX 6 5" xfId="51097"/>
    <cellStyle name="SAPBEXstdItemX 7" xfId="51098"/>
    <cellStyle name="SAPBEXstdItemX 7 2" xfId="51099"/>
    <cellStyle name="SAPBEXstdItemX 7 2 2" xfId="51100"/>
    <cellStyle name="SAPBEXstdItemX 7 2 2 2" xfId="51101"/>
    <cellStyle name="SAPBEXstdItemX 7 2 3" xfId="51102"/>
    <cellStyle name="SAPBEXstdItemX 7 2 3 2" xfId="51103"/>
    <cellStyle name="SAPBEXstdItemX 7 2 3 2 2" xfId="51104"/>
    <cellStyle name="SAPBEXstdItemX 7 2 3 3" xfId="51105"/>
    <cellStyle name="SAPBEXstdItemX 7 2 4" xfId="51106"/>
    <cellStyle name="SAPBEXstdItemX 7 3" xfId="51107"/>
    <cellStyle name="SAPBEXstdItemX 7 3 2" xfId="51108"/>
    <cellStyle name="SAPBEXstdItemX 7 3 2 2" xfId="51109"/>
    <cellStyle name="SAPBEXstdItemX 7 3 3" xfId="51110"/>
    <cellStyle name="SAPBEXstdItemX 7 4" xfId="51111"/>
    <cellStyle name="SAPBEXstdItemX 7 4 2" xfId="51112"/>
    <cellStyle name="SAPBEXstdItemX 7 4 2 2" xfId="51113"/>
    <cellStyle name="SAPBEXstdItemX 7 4 3" xfId="51114"/>
    <cellStyle name="SAPBEXstdItemX 7 5" xfId="51115"/>
    <cellStyle name="SAPBEXstdItemX 7 5 2" xfId="51116"/>
    <cellStyle name="SAPBEXstdItemX 7 5 2 2" xfId="51117"/>
    <cellStyle name="SAPBEXstdItemX 7 5 3" xfId="51118"/>
    <cellStyle name="SAPBEXstdItemX 7 6" xfId="51119"/>
    <cellStyle name="SAPBEXstdItemX 8" xfId="51120"/>
    <cellStyle name="SAPBEXstdItemX 8 2" xfId="51121"/>
    <cellStyle name="SAPBEXstdItemX 8 2 2" xfId="51122"/>
    <cellStyle name="SAPBEXstdItemX 8 3" xfId="51123"/>
    <cellStyle name="SAPBEXstdItemX 9" xfId="51124"/>
    <cellStyle name="SAPBEXstdItemX 9 2" xfId="51125"/>
    <cellStyle name="SAPBEXstdItemX 9 2 2" xfId="51126"/>
    <cellStyle name="SAPBEXstdItemX 9 3" xfId="51127"/>
    <cellStyle name="SAPBEXtitle" xfId="76"/>
    <cellStyle name="SAPBEXtitle 10" xfId="51128"/>
    <cellStyle name="SAPBEXtitle 10 2" xfId="51129"/>
    <cellStyle name="SAPBEXtitle 11" xfId="51130"/>
    <cellStyle name="SAPBEXtitle 11 2" xfId="51131"/>
    <cellStyle name="SAPBEXtitle 12" xfId="51132"/>
    <cellStyle name="SAPBEXtitle 2" xfId="51133"/>
    <cellStyle name="SAPBEXtitle 2 2" xfId="51134"/>
    <cellStyle name="SAPBEXtitle 2 2 2" xfId="51135"/>
    <cellStyle name="SAPBEXtitle 2 2 2 2" xfId="51136"/>
    <cellStyle name="SAPBEXtitle 2 2 2 2 2" xfId="51137"/>
    <cellStyle name="SAPBEXtitle 2 2 2 2 2 2" xfId="51138"/>
    <cellStyle name="SAPBEXtitle 2 2 2 2 3" xfId="51139"/>
    <cellStyle name="SAPBEXtitle 2 2 2 3" xfId="51140"/>
    <cellStyle name="SAPBEXtitle 2 2 2 3 2" xfId="51141"/>
    <cellStyle name="SAPBEXtitle 2 2 2 4" xfId="51142"/>
    <cellStyle name="SAPBEXtitle 2 2 3" xfId="51143"/>
    <cellStyle name="SAPBEXtitle 2 2 3 2" xfId="51144"/>
    <cellStyle name="SAPBEXtitle 2 2 3 2 2" xfId="51145"/>
    <cellStyle name="SAPBEXtitle 2 2 3 3" xfId="51146"/>
    <cellStyle name="SAPBEXtitle 2 2 4" xfId="51147"/>
    <cellStyle name="SAPBEXtitle 2 2 4 2" xfId="51148"/>
    <cellStyle name="SAPBEXtitle 2 2 4 2 2" xfId="51149"/>
    <cellStyle name="SAPBEXtitle 2 2 4 3" xfId="51150"/>
    <cellStyle name="SAPBEXtitle 2 2 5" xfId="51151"/>
    <cellStyle name="SAPBEXtitle 2 2 5 2" xfId="51152"/>
    <cellStyle name="SAPBEXtitle 2 2 6" xfId="51153"/>
    <cellStyle name="SAPBEXtitle 2 3" xfId="51154"/>
    <cellStyle name="SAPBEXtitle 2 4" xfId="51155"/>
    <cellStyle name="SAPBEXtitle 2 4 2" xfId="51156"/>
    <cellStyle name="SAPBEXtitle 2 4 2 2" xfId="51157"/>
    <cellStyle name="SAPBEXtitle 2 4 3" xfId="51158"/>
    <cellStyle name="SAPBEXtitle 2 5" xfId="51159"/>
    <cellStyle name="SAPBEXtitle 2 5 2" xfId="51160"/>
    <cellStyle name="SAPBEXtitle 2 5 2 2" xfId="51161"/>
    <cellStyle name="SAPBEXtitle 2 5 3" xfId="51162"/>
    <cellStyle name="SAPBEXtitle 3" xfId="51163"/>
    <cellStyle name="SAPBEXtitle 3 2" xfId="51164"/>
    <cellStyle name="SAPBEXtitle 3 2 2" xfId="51165"/>
    <cellStyle name="SAPBEXtitle 3 3" xfId="51166"/>
    <cellStyle name="SAPBEXtitle 3 3 2" xfId="51167"/>
    <cellStyle name="SAPBEXtitle 3 3 2 2" xfId="51168"/>
    <cellStyle name="SAPBEXtitle 3 3 3" xfId="51169"/>
    <cellStyle name="SAPBEXtitle 3 4" xfId="51170"/>
    <cellStyle name="SAPBEXtitle 3 4 2" xfId="51171"/>
    <cellStyle name="SAPBEXtitle 3 4 2 2" xfId="51172"/>
    <cellStyle name="SAPBEXtitle 3 4 3" xfId="51173"/>
    <cellStyle name="SAPBEXtitle 3 5" xfId="51174"/>
    <cellStyle name="SAPBEXtitle 4" xfId="51175"/>
    <cellStyle name="SAPBEXtitle 4 2" xfId="51176"/>
    <cellStyle name="SAPBEXtitle 4 2 2" xfId="51177"/>
    <cellStyle name="SAPBEXtitle 4 2 2 2" xfId="51178"/>
    <cellStyle name="SAPBEXtitle 4 2 3" xfId="51179"/>
    <cellStyle name="SAPBEXtitle 4 2 3 2" xfId="51180"/>
    <cellStyle name="SAPBEXtitle 4 2 3 2 2" xfId="51181"/>
    <cellStyle name="SAPBEXtitle 4 2 3 3" xfId="51182"/>
    <cellStyle name="SAPBEXtitle 4 2 4" xfId="51183"/>
    <cellStyle name="SAPBEXtitle 4 3" xfId="51184"/>
    <cellStyle name="SAPBEXtitle 4 3 2" xfId="51185"/>
    <cellStyle name="SAPBEXtitle 4 3 2 2" xfId="51186"/>
    <cellStyle name="SAPBEXtitle 4 3 3" xfId="51187"/>
    <cellStyle name="SAPBEXtitle 4 4" xfId="51188"/>
    <cellStyle name="SAPBEXtitle 4 4 2" xfId="51189"/>
    <cellStyle name="SAPBEXtitle 4 4 2 2" xfId="51190"/>
    <cellStyle name="SAPBEXtitle 4 4 3" xfId="51191"/>
    <cellStyle name="SAPBEXtitle 4 5" xfId="51192"/>
    <cellStyle name="SAPBEXtitle 4 5 2" xfId="51193"/>
    <cellStyle name="SAPBEXtitle 4 5 2 2" xfId="51194"/>
    <cellStyle name="SAPBEXtitle 4 5 3" xfId="51195"/>
    <cellStyle name="SAPBEXtitle 4 6" xfId="51196"/>
    <cellStyle name="SAPBEXtitle 5" xfId="51197"/>
    <cellStyle name="SAPBEXtitle 5 2" xfId="51198"/>
    <cellStyle name="SAPBEXtitle 5 2 2" xfId="51199"/>
    <cellStyle name="SAPBEXtitle 5 3" xfId="51200"/>
    <cellStyle name="SAPBEXtitle 6" xfId="51201"/>
    <cellStyle name="SAPBEXtitle 6 2" xfId="51202"/>
    <cellStyle name="SAPBEXtitle 6 2 2" xfId="51203"/>
    <cellStyle name="SAPBEXtitle 6 3" xfId="51204"/>
    <cellStyle name="SAPBEXtitle 7" xfId="51205"/>
    <cellStyle name="SAPBEXtitle 7 2" xfId="51206"/>
    <cellStyle name="SAPBEXtitle 7 2 2" xfId="51207"/>
    <cellStyle name="SAPBEXtitle 7 3" xfId="51208"/>
    <cellStyle name="SAPBEXtitle 8" xfId="51209"/>
    <cellStyle name="SAPBEXtitle 8 2" xfId="51210"/>
    <cellStyle name="SAPBEXtitle 9" xfId="51211"/>
    <cellStyle name="SAPBEXtitle 9 2" xfId="51212"/>
    <cellStyle name="SAPBEXunassignedItem" xfId="51213"/>
    <cellStyle name="SAPBEXunassignedItem 10" xfId="51214"/>
    <cellStyle name="SAPBEXunassignedItem 11" xfId="51215"/>
    <cellStyle name="SAPBEXunassignedItem 2" xfId="51216"/>
    <cellStyle name="SAPBEXunassignedItem 2 2" xfId="51217"/>
    <cellStyle name="SAPBEXunassignedItem 2 2 2" xfId="51218"/>
    <cellStyle name="SAPBEXunassignedItem 2 2 2 2" xfId="51219"/>
    <cellStyle name="SAPBEXunassignedItem 2 2 3" xfId="51220"/>
    <cellStyle name="SAPBEXunassignedItem 2 2 3 2" xfId="51221"/>
    <cellStyle name="SAPBEXunassignedItem 2 2 3 2 2" xfId="51222"/>
    <cellStyle name="SAPBEXunassignedItem 2 2 3 3" xfId="51223"/>
    <cellStyle name="SAPBEXunassignedItem 2 2 4" xfId="51224"/>
    <cellStyle name="SAPBEXunassignedItem 2 2 4 2" xfId="51225"/>
    <cellStyle name="SAPBEXunassignedItem 2 2 4 2 2" xfId="51226"/>
    <cellStyle name="SAPBEXunassignedItem 2 2 4 3" xfId="51227"/>
    <cellStyle name="SAPBEXunassignedItem 2 2 5" xfId="51228"/>
    <cellStyle name="SAPBEXunassignedItem 2 3" xfId="51229"/>
    <cellStyle name="SAPBEXunassignedItem 2 3 2" xfId="51230"/>
    <cellStyle name="SAPBEXunassignedItem 2 3 2 2" xfId="51231"/>
    <cellStyle name="SAPBEXunassignedItem 2 3 2 2 2" xfId="51232"/>
    <cellStyle name="SAPBEXunassignedItem 2 3 2 3" xfId="51233"/>
    <cellStyle name="SAPBEXunassignedItem 2 3 2 3 2" xfId="51234"/>
    <cellStyle name="SAPBEXunassignedItem 2 3 2 3 2 2" xfId="51235"/>
    <cellStyle name="SAPBEXunassignedItem 2 3 2 3 3" xfId="51236"/>
    <cellStyle name="SAPBEXunassignedItem 2 3 2 4" xfId="51237"/>
    <cellStyle name="SAPBEXunassignedItem 2 3 3" xfId="51238"/>
    <cellStyle name="SAPBEXunassignedItem 2 3 3 2" xfId="51239"/>
    <cellStyle name="SAPBEXunassignedItem 2 3 3 2 2" xfId="51240"/>
    <cellStyle name="SAPBEXunassignedItem 2 3 3 3" xfId="51241"/>
    <cellStyle name="SAPBEXunassignedItem 2 3 4" xfId="51242"/>
    <cellStyle name="SAPBEXunassignedItem 2 3 4 2" xfId="51243"/>
    <cellStyle name="SAPBEXunassignedItem 2 3 4 2 2" xfId="51244"/>
    <cellStyle name="SAPBEXunassignedItem 2 3 4 3" xfId="51245"/>
    <cellStyle name="SAPBEXunassignedItem 2 3 5" xfId="51246"/>
    <cellStyle name="SAPBEXunassignedItem 2 3 5 2" xfId="51247"/>
    <cellStyle name="SAPBEXunassignedItem 2 3 5 2 2" xfId="51248"/>
    <cellStyle name="SAPBEXunassignedItem 2 3 5 3" xfId="51249"/>
    <cellStyle name="SAPBEXunassignedItem 2 3 6" xfId="51250"/>
    <cellStyle name="SAPBEXunassignedItem 2 4" xfId="51251"/>
    <cellStyle name="SAPBEXunassignedItem 2 4 2" xfId="51252"/>
    <cellStyle name="SAPBEXunassignedItem 2 4 2 2" xfId="51253"/>
    <cellStyle name="SAPBEXunassignedItem 2 4 3" xfId="51254"/>
    <cellStyle name="SAPBEXunassignedItem 2 5" xfId="51255"/>
    <cellStyle name="SAPBEXunassignedItem 2 5 2" xfId="51256"/>
    <cellStyle name="SAPBEXunassignedItem 2 5 2 2" xfId="51257"/>
    <cellStyle name="SAPBEXunassignedItem 2 5 3" xfId="51258"/>
    <cellStyle name="SAPBEXunassignedItem 2 6" xfId="51259"/>
    <cellStyle name="SAPBEXunassignedItem 2 6 2" xfId="51260"/>
    <cellStyle name="SAPBEXunassignedItem 2 6 2 2" xfId="51261"/>
    <cellStyle name="SAPBEXunassignedItem 2 6 3" xfId="51262"/>
    <cellStyle name="SAPBEXunassignedItem 2 7" xfId="51263"/>
    <cellStyle name="SAPBEXunassignedItem 3" xfId="51264"/>
    <cellStyle name="SAPBEXunassignedItem 3 2" xfId="51265"/>
    <cellStyle name="SAPBEXunassignedItem 3 2 2" xfId="51266"/>
    <cellStyle name="SAPBEXunassignedItem 3 2 2 2" xfId="51267"/>
    <cellStyle name="SAPBEXunassignedItem 3 2 3" xfId="51268"/>
    <cellStyle name="SAPBEXunassignedItem 3 2 3 2" xfId="51269"/>
    <cellStyle name="SAPBEXunassignedItem 3 2 3 2 2" xfId="51270"/>
    <cellStyle name="SAPBEXunassignedItem 3 2 3 3" xfId="51271"/>
    <cellStyle name="SAPBEXunassignedItem 3 2 4" xfId="51272"/>
    <cellStyle name="SAPBEXunassignedItem 3 2 4 2" xfId="51273"/>
    <cellStyle name="SAPBEXunassignedItem 3 2 4 2 2" xfId="51274"/>
    <cellStyle name="SAPBEXunassignedItem 3 2 4 3" xfId="51275"/>
    <cellStyle name="SAPBEXunassignedItem 3 2 5" xfId="51276"/>
    <cellStyle name="SAPBEXunassignedItem 3 3" xfId="51277"/>
    <cellStyle name="SAPBEXunassignedItem 3 3 2" xfId="51278"/>
    <cellStyle name="SAPBEXunassignedItem 3 3 2 2" xfId="51279"/>
    <cellStyle name="SAPBEXunassignedItem 3 3 3" xfId="51280"/>
    <cellStyle name="SAPBEXunassignedItem 3 4" xfId="51281"/>
    <cellStyle name="SAPBEXunassignedItem 3 4 2" xfId="51282"/>
    <cellStyle name="SAPBEXunassignedItem 3 4 2 2" xfId="51283"/>
    <cellStyle name="SAPBEXunassignedItem 3 4 3" xfId="51284"/>
    <cellStyle name="SAPBEXunassignedItem 3 5" xfId="51285"/>
    <cellStyle name="SAPBEXunassignedItem 3 5 2" xfId="51286"/>
    <cellStyle name="SAPBEXunassignedItem 3 5 2 2" xfId="51287"/>
    <cellStyle name="SAPBEXunassignedItem 3 5 3" xfId="51288"/>
    <cellStyle name="SAPBEXunassignedItem 3 6" xfId="51289"/>
    <cellStyle name="SAPBEXunassignedItem 4" xfId="51290"/>
    <cellStyle name="SAPBEXunassignedItem 4 2" xfId="51291"/>
    <cellStyle name="SAPBEXunassignedItem 4 2 2" xfId="51292"/>
    <cellStyle name="SAPBEXunassignedItem 4 3" xfId="51293"/>
    <cellStyle name="SAPBEXunassignedItem 4 3 2" xfId="51294"/>
    <cellStyle name="SAPBEXunassignedItem 4 3 2 2" xfId="51295"/>
    <cellStyle name="SAPBEXunassignedItem 4 3 3" xfId="51296"/>
    <cellStyle name="SAPBEXunassignedItem 4 4" xfId="51297"/>
    <cellStyle name="SAPBEXunassignedItem 4 4 2" xfId="51298"/>
    <cellStyle name="SAPBEXunassignedItem 4 4 2 2" xfId="51299"/>
    <cellStyle name="SAPBEXunassignedItem 4 4 3" xfId="51300"/>
    <cellStyle name="SAPBEXunassignedItem 4 5" xfId="51301"/>
    <cellStyle name="SAPBEXunassignedItem 5" xfId="51302"/>
    <cellStyle name="SAPBEXunassignedItem 5 2" xfId="51303"/>
    <cellStyle name="SAPBEXunassignedItem 5 2 2" xfId="51304"/>
    <cellStyle name="SAPBEXunassignedItem 5 3" xfId="51305"/>
    <cellStyle name="SAPBEXunassignedItem 6" xfId="51306"/>
    <cellStyle name="SAPBEXunassignedItem 6 2" xfId="51307"/>
    <cellStyle name="SAPBEXunassignedItem 6 2 2" xfId="51308"/>
    <cellStyle name="SAPBEXunassignedItem 6 3" xfId="51309"/>
    <cellStyle name="SAPBEXunassignedItem 7" xfId="51310"/>
    <cellStyle name="SAPBEXunassignedItem 7 2" xfId="51311"/>
    <cellStyle name="SAPBEXunassignedItem 7 2 2" xfId="51312"/>
    <cellStyle name="SAPBEXunassignedItem 7 3" xfId="51313"/>
    <cellStyle name="SAPBEXunassignedItem 8" xfId="51314"/>
    <cellStyle name="SAPBEXunassignedItem 8 2" xfId="51315"/>
    <cellStyle name="SAPBEXunassignedItem 9" xfId="51316"/>
    <cellStyle name="SAPBEXunassignedItem 9 2" xfId="51317"/>
    <cellStyle name="SAPBEXundefined" xfId="77"/>
    <cellStyle name="SAPBEXundefined 10" xfId="51318"/>
    <cellStyle name="SAPBEXundefined 10 2" xfId="51319"/>
    <cellStyle name="SAPBEXundefined 11" xfId="51320"/>
    <cellStyle name="SAPBEXundefined 11 2" xfId="51321"/>
    <cellStyle name="SAPBEXundefined 12" xfId="51322"/>
    <cellStyle name="SAPBEXundefined 13" xfId="51323"/>
    <cellStyle name="SAPBEXundefined 2" xfId="51324"/>
    <cellStyle name="SAPBEXundefined 2 2" xfId="51325"/>
    <cellStyle name="SAPBEXundefined 2 2 2" xfId="51326"/>
    <cellStyle name="SAPBEXundefined 2 2 2 2" xfId="51327"/>
    <cellStyle name="SAPBEXundefined 2 2 2 2 2" xfId="51328"/>
    <cellStyle name="SAPBEXundefined 2 2 2 2 2 2" xfId="51329"/>
    <cellStyle name="SAPBEXundefined 2 2 2 2 3" xfId="51330"/>
    <cellStyle name="SAPBEXundefined 2 2 2 3" xfId="51331"/>
    <cellStyle name="SAPBEXundefined 2 2 2 3 2" xfId="51332"/>
    <cellStyle name="SAPBEXundefined 2 2 2 4" xfId="51333"/>
    <cellStyle name="SAPBEXundefined 2 2 3" xfId="51334"/>
    <cellStyle name="SAPBEXundefined 2 2 3 2" xfId="51335"/>
    <cellStyle name="SAPBEXundefined 2 2 3 2 2" xfId="51336"/>
    <cellStyle name="SAPBEXundefined 2 2 3 3" xfId="51337"/>
    <cellStyle name="SAPBEXundefined 2 2 4" xfId="51338"/>
    <cellStyle name="SAPBEXundefined 2 2 4 2" xfId="51339"/>
    <cellStyle name="SAPBEXundefined 2 2 4 2 2" xfId="51340"/>
    <cellStyle name="SAPBEXundefined 2 2 4 3" xfId="51341"/>
    <cellStyle name="SAPBEXundefined 2 2 5" xfId="51342"/>
    <cellStyle name="SAPBEXundefined 2 2 5 2" xfId="51343"/>
    <cellStyle name="SAPBEXundefined 2 2 6" xfId="51344"/>
    <cellStyle name="SAPBEXundefined 2 3" xfId="51345"/>
    <cellStyle name="SAPBEXundefined 2 3 2" xfId="51346"/>
    <cellStyle name="SAPBEXundefined 2 4" xfId="51347"/>
    <cellStyle name="SAPBEXundefined 2 4 2" xfId="51348"/>
    <cellStyle name="SAPBEXundefined 2 4 2 2" xfId="51349"/>
    <cellStyle name="SAPBEXundefined 2 4 3" xfId="51350"/>
    <cellStyle name="SAPBEXundefined 2 5" xfId="51351"/>
    <cellStyle name="SAPBEXundefined 2 5 2" xfId="51352"/>
    <cellStyle name="SAPBEXundefined 2 5 2 2" xfId="51353"/>
    <cellStyle name="SAPBEXundefined 2 5 3" xfId="51354"/>
    <cellStyle name="SAPBEXundefined 2 6" xfId="51355"/>
    <cellStyle name="SAPBEXundefined 3" xfId="51356"/>
    <cellStyle name="SAPBEXundefined 3 2" xfId="51357"/>
    <cellStyle name="SAPBEXundefined 3 2 2" xfId="51358"/>
    <cellStyle name="SAPBEXundefined 3 3" xfId="51359"/>
    <cellStyle name="SAPBEXundefined 3 3 2" xfId="51360"/>
    <cellStyle name="SAPBEXundefined 3 3 2 2" xfId="51361"/>
    <cellStyle name="SAPBEXundefined 3 3 3" xfId="51362"/>
    <cellStyle name="SAPBEXundefined 3 4" xfId="51363"/>
    <cellStyle name="SAPBEXundefined 3 4 2" xfId="51364"/>
    <cellStyle name="SAPBEXundefined 3 4 2 2" xfId="51365"/>
    <cellStyle name="SAPBEXundefined 3 4 3" xfId="51366"/>
    <cellStyle name="SAPBEXundefined 3 5" xfId="51367"/>
    <cellStyle name="SAPBEXundefined 4" xfId="51368"/>
    <cellStyle name="SAPBEXundefined 4 2" xfId="51369"/>
    <cellStyle name="SAPBEXundefined 4 2 2" xfId="51370"/>
    <cellStyle name="SAPBEXundefined 4 2 2 2" xfId="51371"/>
    <cellStyle name="SAPBEXundefined 4 2 3" xfId="51372"/>
    <cellStyle name="SAPBEXundefined 4 2 3 2" xfId="51373"/>
    <cellStyle name="SAPBEXundefined 4 2 3 2 2" xfId="51374"/>
    <cellStyle name="SAPBEXundefined 4 2 3 3" xfId="51375"/>
    <cellStyle name="SAPBEXundefined 4 2 4" xfId="51376"/>
    <cellStyle name="SAPBEXundefined 4 3" xfId="51377"/>
    <cellStyle name="SAPBEXundefined 4 3 2" xfId="51378"/>
    <cellStyle name="SAPBEXundefined 4 3 2 2" xfId="51379"/>
    <cellStyle name="SAPBEXundefined 4 3 3" xfId="51380"/>
    <cellStyle name="SAPBEXundefined 4 4" xfId="51381"/>
    <cellStyle name="SAPBEXundefined 4 4 2" xfId="51382"/>
    <cellStyle name="SAPBEXundefined 4 4 2 2" xfId="51383"/>
    <cellStyle name="SAPBEXundefined 4 4 3" xfId="51384"/>
    <cellStyle name="SAPBEXundefined 4 5" xfId="51385"/>
    <cellStyle name="SAPBEXundefined 4 5 2" xfId="51386"/>
    <cellStyle name="SAPBEXundefined 4 5 2 2" xfId="51387"/>
    <cellStyle name="SAPBEXundefined 4 5 3" xfId="51388"/>
    <cellStyle name="SAPBEXundefined 4 6" xfId="51389"/>
    <cellStyle name="SAPBEXundefined 5" xfId="51390"/>
    <cellStyle name="SAPBEXundefined 5 2" xfId="51391"/>
    <cellStyle name="SAPBEXundefined 5 2 2" xfId="51392"/>
    <cellStyle name="SAPBEXundefined 5 3" xfId="51393"/>
    <cellStyle name="SAPBEXundefined 6" xfId="51394"/>
    <cellStyle name="SAPBEXundefined 6 2" xfId="51395"/>
    <cellStyle name="SAPBEXundefined 6 2 2" xfId="51396"/>
    <cellStyle name="SAPBEXundefined 6 3" xfId="51397"/>
    <cellStyle name="SAPBEXundefined 7" xfId="51398"/>
    <cellStyle name="SAPBEXundefined 7 2" xfId="51399"/>
    <cellStyle name="SAPBEXundefined 7 2 2" xfId="51400"/>
    <cellStyle name="SAPBEXundefined 7 3" xfId="51401"/>
    <cellStyle name="SAPBEXundefined 8" xfId="51402"/>
    <cellStyle name="SAPBEXundefined 8 2" xfId="51403"/>
    <cellStyle name="SAPBEXundefined 9" xfId="51404"/>
    <cellStyle name="SAPBEXundefined 9 2" xfId="51405"/>
    <cellStyle name="SHADEDSTORES" xfId="51406"/>
    <cellStyle name="SHADEDSTORES 10" xfId="51407"/>
    <cellStyle name="SHADEDSTORES 10 2" xfId="51408"/>
    <cellStyle name="SHADEDSTORES 10 2 2" xfId="51409"/>
    <cellStyle name="SHADEDSTORES 10 2 2 2" xfId="51410"/>
    <cellStyle name="SHADEDSTORES 10 2 2 2 2" xfId="51411"/>
    <cellStyle name="SHADEDSTORES 10 2 2 2 3" xfId="51412"/>
    <cellStyle name="SHADEDSTORES 10 2 2 3" xfId="51413"/>
    <cellStyle name="SHADEDSTORES 10 2 3" xfId="51414"/>
    <cellStyle name="SHADEDSTORES 10 3" xfId="51415"/>
    <cellStyle name="SHADEDSTORES 10 3 2" xfId="51416"/>
    <cellStyle name="SHADEDSTORES 10 3 2 2" xfId="51417"/>
    <cellStyle name="SHADEDSTORES 10 3 2 2 2" xfId="51418"/>
    <cellStyle name="SHADEDSTORES 10 3 2 2 3" xfId="51419"/>
    <cellStyle name="SHADEDSTORES 10 3 2 3" xfId="51420"/>
    <cellStyle name="SHADEDSTORES 10 3 3" xfId="51421"/>
    <cellStyle name="SHADEDSTORES 10 3 3 2" xfId="51422"/>
    <cellStyle name="SHADEDSTORES 10 3 3 3" xfId="51423"/>
    <cellStyle name="SHADEDSTORES 10 3 4" xfId="51424"/>
    <cellStyle name="SHADEDSTORES 10 4" xfId="51425"/>
    <cellStyle name="SHADEDSTORES 10 4 2" xfId="51426"/>
    <cellStyle name="SHADEDSTORES 10 4 2 2" xfId="51427"/>
    <cellStyle name="SHADEDSTORES 10 4 2 3" xfId="51428"/>
    <cellStyle name="SHADEDSTORES 10 4 3" xfId="51429"/>
    <cellStyle name="SHADEDSTORES 10 5" xfId="51430"/>
    <cellStyle name="SHADEDSTORES 10 5 2" xfId="51431"/>
    <cellStyle name="SHADEDSTORES 10 5 3" xfId="51432"/>
    <cellStyle name="SHADEDSTORES 10 6" xfId="51433"/>
    <cellStyle name="SHADEDSTORES 11" xfId="51434"/>
    <cellStyle name="SHADEDSTORES 2" xfId="51435"/>
    <cellStyle name="SHADEDSTORES 2 2" xfId="51436"/>
    <cellStyle name="SHADEDSTORES 2 2 2" xfId="51437"/>
    <cellStyle name="SHADEDSTORES 2 2 2 2" xfId="51438"/>
    <cellStyle name="SHADEDSTORES 2 2 2 2 2" xfId="51439"/>
    <cellStyle name="SHADEDSTORES 2 2 2 2 2 2" xfId="51440"/>
    <cellStyle name="SHADEDSTORES 2 2 2 2 2 2 2" xfId="51441"/>
    <cellStyle name="SHADEDSTORES 2 2 2 2 2 2 2 2" xfId="51442"/>
    <cellStyle name="SHADEDSTORES 2 2 2 2 2 2 2 3" xfId="51443"/>
    <cellStyle name="SHADEDSTORES 2 2 2 2 2 2 3" xfId="51444"/>
    <cellStyle name="SHADEDSTORES 2 2 2 2 2 3" xfId="51445"/>
    <cellStyle name="SHADEDSTORES 2 2 2 2 3" xfId="51446"/>
    <cellStyle name="SHADEDSTORES 2 2 2 2 3 2" xfId="51447"/>
    <cellStyle name="SHADEDSTORES 2 2 2 2 3 2 2" xfId="51448"/>
    <cellStyle name="SHADEDSTORES 2 2 2 2 3 2 2 2" xfId="51449"/>
    <cellStyle name="SHADEDSTORES 2 2 2 2 3 2 2 3" xfId="51450"/>
    <cellStyle name="SHADEDSTORES 2 2 2 2 3 2 3" xfId="51451"/>
    <cellStyle name="SHADEDSTORES 2 2 2 2 3 3" xfId="51452"/>
    <cellStyle name="SHADEDSTORES 2 2 2 2 3 3 2" xfId="51453"/>
    <cellStyle name="SHADEDSTORES 2 2 2 2 3 3 3" xfId="51454"/>
    <cellStyle name="SHADEDSTORES 2 2 2 2 3 4" xfId="51455"/>
    <cellStyle name="SHADEDSTORES 2 2 2 2 4" xfId="51456"/>
    <cellStyle name="SHADEDSTORES 2 2 2 2 4 2" xfId="51457"/>
    <cellStyle name="SHADEDSTORES 2 2 2 2 4 2 2" xfId="51458"/>
    <cellStyle name="SHADEDSTORES 2 2 2 2 4 2 3" xfId="51459"/>
    <cellStyle name="SHADEDSTORES 2 2 2 2 4 3" xfId="51460"/>
    <cellStyle name="SHADEDSTORES 2 2 2 2 5" xfId="51461"/>
    <cellStyle name="SHADEDSTORES 2 2 2 2 5 2" xfId="51462"/>
    <cellStyle name="SHADEDSTORES 2 2 2 2 5 3" xfId="51463"/>
    <cellStyle name="SHADEDSTORES 2 2 2 2 6" xfId="51464"/>
    <cellStyle name="SHADEDSTORES 2 2 2 3" xfId="51465"/>
    <cellStyle name="SHADEDSTORES 2 2 3" xfId="51466"/>
    <cellStyle name="SHADEDSTORES 2 2 3 2" xfId="51467"/>
    <cellStyle name="SHADEDSTORES 2 2 3 2 2" xfId="51468"/>
    <cellStyle name="SHADEDSTORES 2 2 3 3" xfId="51469"/>
    <cellStyle name="SHADEDSTORES 2 2 4" xfId="51470"/>
    <cellStyle name="SHADEDSTORES 2 2 4 2" xfId="51471"/>
    <cellStyle name="SHADEDSTORES 2 2 4 2 2" xfId="51472"/>
    <cellStyle name="SHADEDSTORES 2 2 4 3" xfId="51473"/>
    <cellStyle name="SHADEDSTORES 2 2 5" xfId="51474"/>
    <cellStyle name="SHADEDSTORES 2 2 5 2" xfId="51475"/>
    <cellStyle name="SHADEDSTORES 2 2 5 2 2" xfId="51476"/>
    <cellStyle name="SHADEDSTORES 2 2 5 2 2 2" xfId="51477"/>
    <cellStyle name="SHADEDSTORES 2 2 5 2 3" xfId="51478"/>
    <cellStyle name="SHADEDSTORES 2 2 5 3" xfId="51479"/>
    <cellStyle name="SHADEDSTORES 2 2 5 3 2" xfId="51480"/>
    <cellStyle name="SHADEDSTORES 2 2 5 4" xfId="51481"/>
    <cellStyle name="SHADEDSTORES 2 2 6" xfId="51482"/>
    <cellStyle name="SHADEDSTORES 2 3" xfId="51483"/>
    <cellStyle name="SHADEDSTORES 2 3 10" xfId="51484"/>
    <cellStyle name="SHADEDSTORES 2 3 2" xfId="51485"/>
    <cellStyle name="SHADEDSTORES 2 3 2 2" xfId="51486"/>
    <cellStyle name="SHADEDSTORES 2 3 2 2 2" xfId="51487"/>
    <cellStyle name="SHADEDSTORES 2 3 2 2 2 2" xfId="51488"/>
    <cellStyle name="SHADEDSTORES 2 3 2 2 2 2 2" xfId="51489"/>
    <cellStyle name="SHADEDSTORES 2 3 2 2 2 2 2 2" xfId="51490"/>
    <cellStyle name="SHADEDSTORES 2 3 2 2 2 2 3" xfId="51491"/>
    <cellStyle name="SHADEDSTORES 2 3 2 2 2 3" xfId="51492"/>
    <cellStyle name="SHADEDSTORES 2 3 2 2 2 3 2" xfId="51493"/>
    <cellStyle name="SHADEDSTORES 2 3 2 2 2 4" xfId="51494"/>
    <cellStyle name="SHADEDSTORES 2 3 2 2 3" xfId="51495"/>
    <cellStyle name="SHADEDSTORES 2 3 2 2 3 2" xfId="51496"/>
    <cellStyle name="SHADEDSTORES 2 3 2 2 3 2 2" xfId="51497"/>
    <cellStyle name="SHADEDSTORES 2 3 2 2 3 3" xfId="51498"/>
    <cellStyle name="SHADEDSTORES 2 3 2 2 3 3 2" xfId="51499"/>
    <cellStyle name="SHADEDSTORES 2 3 2 2 3 4" xfId="51500"/>
    <cellStyle name="SHADEDSTORES 2 3 2 2 4" xfId="51501"/>
    <cellStyle name="SHADEDSTORES 2 3 2 2 4 2" xfId="51502"/>
    <cellStyle name="SHADEDSTORES 2 3 2 2 5" xfId="51503"/>
    <cellStyle name="SHADEDSTORES 2 3 2 2 5 2" xfId="51504"/>
    <cellStyle name="SHADEDSTORES 2 3 2 2 6" xfId="51505"/>
    <cellStyle name="SHADEDSTORES 2 3 2 3" xfId="51506"/>
    <cellStyle name="SHADEDSTORES 2 3 2 3 2" xfId="51507"/>
    <cellStyle name="SHADEDSTORES 2 3 2 3 2 2" xfId="51508"/>
    <cellStyle name="SHADEDSTORES 2 3 2 3 3" xfId="51509"/>
    <cellStyle name="SHADEDSTORES 2 3 2 4" xfId="51510"/>
    <cellStyle name="SHADEDSTORES 2 3 2 4 2" xfId="51511"/>
    <cellStyle name="SHADEDSTORES 2 3 2 4 2 2" xfId="51512"/>
    <cellStyle name="SHADEDSTORES 2 3 2 4 2 2 2" xfId="51513"/>
    <cellStyle name="SHADEDSTORES 2 3 2 4 2 3" xfId="51514"/>
    <cellStyle name="SHADEDSTORES 2 3 2 4 3" xfId="51515"/>
    <cellStyle name="SHADEDSTORES 2 3 2 4 3 2" xfId="51516"/>
    <cellStyle name="SHADEDSTORES 2 3 2 4 4" xfId="51517"/>
    <cellStyle name="SHADEDSTORES 2 3 2 5" xfId="51518"/>
    <cellStyle name="SHADEDSTORES 2 3 2 5 2" xfId="51519"/>
    <cellStyle name="SHADEDSTORES 2 3 2 5 2 2" xfId="51520"/>
    <cellStyle name="SHADEDSTORES 2 3 2 5 3" xfId="51521"/>
    <cellStyle name="SHADEDSTORES 2 3 2 5 3 2" xfId="51522"/>
    <cellStyle name="SHADEDSTORES 2 3 2 5 4" xfId="51523"/>
    <cellStyle name="SHADEDSTORES 2 3 2 6" xfId="51524"/>
    <cellStyle name="SHADEDSTORES 2 3 2 6 2" xfId="51525"/>
    <cellStyle name="SHADEDSTORES 2 3 2 7" xfId="51526"/>
    <cellStyle name="SHADEDSTORES 2 3 2 7 2" xfId="51527"/>
    <cellStyle name="SHADEDSTORES 2 3 2 8" xfId="51528"/>
    <cellStyle name="SHADEDSTORES 2 3 3" xfId="51529"/>
    <cellStyle name="SHADEDSTORES 2 3 3 2" xfId="51530"/>
    <cellStyle name="SHADEDSTORES 2 3 3 2 2" xfId="51531"/>
    <cellStyle name="SHADEDSTORES 2 3 3 2 2 2" xfId="51532"/>
    <cellStyle name="SHADEDSTORES 2 3 3 2 2 2 2" xfId="51533"/>
    <cellStyle name="SHADEDSTORES 2 3 3 2 2 2 2 2" xfId="51534"/>
    <cellStyle name="SHADEDSTORES 2 3 3 2 2 2 3" xfId="51535"/>
    <cellStyle name="SHADEDSTORES 2 3 3 2 2 3" xfId="51536"/>
    <cellStyle name="SHADEDSTORES 2 3 3 2 2 3 2" xfId="51537"/>
    <cellStyle name="SHADEDSTORES 2 3 3 2 2 4" xfId="51538"/>
    <cellStyle name="SHADEDSTORES 2 3 3 2 3" xfId="51539"/>
    <cellStyle name="SHADEDSTORES 2 3 3 2 3 2" xfId="51540"/>
    <cellStyle name="SHADEDSTORES 2 3 3 2 3 2 2" xfId="51541"/>
    <cellStyle name="SHADEDSTORES 2 3 3 2 3 3" xfId="51542"/>
    <cellStyle name="SHADEDSTORES 2 3 3 2 3 3 2" xfId="51543"/>
    <cellStyle name="SHADEDSTORES 2 3 3 2 3 4" xfId="51544"/>
    <cellStyle name="SHADEDSTORES 2 3 3 2 4" xfId="51545"/>
    <cellStyle name="SHADEDSTORES 2 3 3 2 4 2" xfId="51546"/>
    <cellStyle name="SHADEDSTORES 2 3 3 2 5" xfId="51547"/>
    <cellStyle name="SHADEDSTORES 2 3 3 2 5 2" xfId="51548"/>
    <cellStyle name="SHADEDSTORES 2 3 3 2 6" xfId="51549"/>
    <cellStyle name="SHADEDSTORES 2 3 3 3" xfId="51550"/>
    <cellStyle name="SHADEDSTORES 2 3 3 3 2" xfId="51551"/>
    <cellStyle name="SHADEDSTORES 2 3 3 3 2 2" xfId="51552"/>
    <cellStyle name="SHADEDSTORES 2 3 3 3 2 2 2" xfId="51553"/>
    <cellStyle name="SHADEDSTORES 2 3 3 3 2 3" xfId="51554"/>
    <cellStyle name="SHADEDSTORES 2 3 3 3 3" xfId="51555"/>
    <cellStyle name="SHADEDSTORES 2 3 3 3 3 2" xfId="51556"/>
    <cellStyle name="SHADEDSTORES 2 3 3 3 4" xfId="51557"/>
    <cellStyle name="SHADEDSTORES 2 3 3 4" xfId="51558"/>
    <cellStyle name="SHADEDSTORES 2 3 3 4 2" xfId="51559"/>
    <cellStyle name="SHADEDSTORES 2 3 3 4 2 2" xfId="51560"/>
    <cellStyle name="SHADEDSTORES 2 3 3 4 3" xfId="51561"/>
    <cellStyle name="SHADEDSTORES 2 3 3 4 3 2" xfId="51562"/>
    <cellStyle name="SHADEDSTORES 2 3 3 4 4" xfId="51563"/>
    <cellStyle name="SHADEDSTORES 2 3 3 5" xfId="51564"/>
    <cellStyle name="SHADEDSTORES 2 3 3 5 2" xfId="51565"/>
    <cellStyle name="SHADEDSTORES 2 3 3 6" xfId="51566"/>
    <cellStyle name="SHADEDSTORES 2 3 3 6 2" xfId="51567"/>
    <cellStyle name="SHADEDSTORES 2 3 3 7" xfId="51568"/>
    <cellStyle name="SHADEDSTORES 2 3 4" xfId="51569"/>
    <cellStyle name="SHADEDSTORES 2 3 4 2" xfId="51570"/>
    <cellStyle name="SHADEDSTORES 2 3 4 2 2" xfId="51571"/>
    <cellStyle name="SHADEDSTORES 2 3 4 3" xfId="51572"/>
    <cellStyle name="SHADEDSTORES 2 3 5" xfId="51573"/>
    <cellStyle name="SHADEDSTORES 2 3 5 2" xfId="51574"/>
    <cellStyle name="SHADEDSTORES 2 3 5 2 2" xfId="51575"/>
    <cellStyle name="SHADEDSTORES 2 3 5 3" xfId="51576"/>
    <cellStyle name="SHADEDSTORES 2 3 6" xfId="51577"/>
    <cellStyle name="SHADEDSTORES 2 3 6 2" xfId="51578"/>
    <cellStyle name="SHADEDSTORES 2 3 6 2 2" xfId="51579"/>
    <cellStyle name="SHADEDSTORES 2 3 6 2 2 2" xfId="51580"/>
    <cellStyle name="SHADEDSTORES 2 3 6 2 3" xfId="51581"/>
    <cellStyle name="SHADEDSTORES 2 3 6 3" xfId="51582"/>
    <cellStyle name="SHADEDSTORES 2 3 6 3 2" xfId="51583"/>
    <cellStyle name="SHADEDSTORES 2 3 6 4" xfId="51584"/>
    <cellStyle name="SHADEDSTORES 2 3 7" xfId="51585"/>
    <cellStyle name="SHADEDSTORES 2 3 7 2" xfId="51586"/>
    <cellStyle name="SHADEDSTORES 2 3 7 2 2" xfId="51587"/>
    <cellStyle name="SHADEDSTORES 2 3 7 3" xfId="51588"/>
    <cellStyle name="SHADEDSTORES 2 3 7 3 2" xfId="51589"/>
    <cellStyle name="SHADEDSTORES 2 3 7 4" xfId="51590"/>
    <cellStyle name="SHADEDSTORES 2 3 8" xfId="51591"/>
    <cellStyle name="SHADEDSTORES 2 3 8 2" xfId="51592"/>
    <cellStyle name="SHADEDSTORES 2 3 9" xfId="51593"/>
    <cellStyle name="SHADEDSTORES 2 3 9 2" xfId="51594"/>
    <cellStyle name="SHADEDSTORES 2 4" xfId="51595"/>
    <cellStyle name="SHADEDSTORES 2 4 2" xfId="51596"/>
    <cellStyle name="SHADEDSTORES 2 4 2 2" xfId="51597"/>
    <cellStyle name="SHADEDSTORES 2 4 2 2 2" xfId="51598"/>
    <cellStyle name="SHADEDSTORES 2 4 2 2 2 2" xfId="51599"/>
    <cellStyle name="SHADEDSTORES 2 4 2 2 2 2 2" xfId="51600"/>
    <cellStyle name="SHADEDSTORES 2 4 2 2 2 3" xfId="51601"/>
    <cellStyle name="SHADEDSTORES 2 4 2 2 3" xfId="51602"/>
    <cellStyle name="SHADEDSTORES 2 4 2 2 3 2" xfId="51603"/>
    <cellStyle name="SHADEDSTORES 2 4 2 2 4" xfId="51604"/>
    <cellStyle name="SHADEDSTORES 2 4 2 3" xfId="51605"/>
    <cellStyle name="SHADEDSTORES 2 4 2 3 2" xfId="51606"/>
    <cellStyle name="SHADEDSTORES 2 4 2 3 2 2" xfId="51607"/>
    <cellStyle name="SHADEDSTORES 2 4 2 3 3" xfId="51608"/>
    <cellStyle name="SHADEDSTORES 2 4 2 3 3 2" xfId="51609"/>
    <cellStyle name="SHADEDSTORES 2 4 2 3 4" xfId="51610"/>
    <cellStyle name="SHADEDSTORES 2 4 2 4" xfId="51611"/>
    <cellStyle name="SHADEDSTORES 2 4 2 4 2" xfId="51612"/>
    <cellStyle name="SHADEDSTORES 2 4 2 5" xfId="51613"/>
    <cellStyle name="SHADEDSTORES 2 4 2 5 2" xfId="51614"/>
    <cellStyle name="SHADEDSTORES 2 4 2 6" xfId="51615"/>
    <cellStyle name="SHADEDSTORES 2 4 3" xfId="51616"/>
    <cellStyle name="SHADEDSTORES 2 4 3 2" xfId="51617"/>
    <cellStyle name="SHADEDSTORES 2 4 3 2 2" xfId="51618"/>
    <cellStyle name="SHADEDSTORES 2 4 3 2 2 2" xfId="51619"/>
    <cellStyle name="SHADEDSTORES 2 4 3 2 3" xfId="51620"/>
    <cellStyle name="SHADEDSTORES 2 4 3 3" xfId="51621"/>
    <cellStyle name="SHADEDSTORES 2 4 3 3 2" xfId="51622"/>
    <cellStyle name="SHADEDSTORES 2 4 3 4" xfId="51623"/>
    <cellStyle name="SHADEDSTORES 2 4 4" xfId="51624"/>
    <cellStyle name="SHADEDSTORES 2 4 4 2" xfId="51625"/>
    <cellStyle name="SHADEDSTORES 2 4 4 2 2" xfId="51626"/>
    <cellStyle name="SHADEDSTORES 2 4 4 3" xfId="51627"/>
    <cellStyle name="SHADEDSTORES 2 4 4 3 2" xfId="51628"/>
    <cellStyle name="SHADEDSTORES 2 4 4 4" xfId="51629"/>
    <cellStyle name="SHADEDSTORES 2 4 5" xfId="51630"/>
    <cellStyle name="SHADEDSTORES 2 4 5 2" xfId="51631"/>
    <cellStyle name="SHADEDSTORES 2 4 6" xfId="51632"/>
    <cellStyle name="SHADEDSTORES 2 4 6 2" xfId="51633"/>
    <cellStyle name="SHADEDSTORES 2 4 7" xfId="51634"/>
    <cellStyle name="SHADEDSTORES 2 5" xfId="51635"/>
    <cellStyle name="SHADEDSTORES 2 5 2" xfId="51636"/>
    <cellStyle name="SHADEDSTORES 2 5 2 2" xfId="51637"/>
    <cellStyle name="SHADEDSTORES 2 5 3" xfId="51638"/>
    <cellStyle name="SHADEDSTORES 2 6" xfId="51639"/>
    <cellStyle name="SHADEDSTORES 2 6 2" xfId="51640"/>
    <cellStyle name="SHADEDSTORES 2 6 2 2" xfId="51641"/>
    <cellStyle name="SHADEDSTORES 2 6 3" xfId="51642"/>
    <cellStyle name="SHADEDSTORES 2 7" xfId="51643"/>
    <cellStyle name="SHADEDSTORES 2 7 2" xfId="51644"/>
    <cellStyle name="SHADEDSTORES 2 7 2 2" xfId="51645"/>
    <cellStyle name="SHADEDSTORES 2 7 2 2 2" xfId="51646"/>
    <cellStyle name="SHADEDSTORES 2 7 2 3" xfId="51647"/>
    <cellStyle name="SHADEDSTORES 2 7 3" xfId="51648"/>
    <cellStyle name="SHADEDSTORES 2 7 3 2" xfId="51649"/>
    <cellStyle name="SHADEDSTORES 2 7 4" xfId="51650"/>
    <cellStyle name="SHADEDSTORES 2 8" xfId="51651"/>
    <cellStyle name="SHADEDSTORES 3" xfId="51652"/>
    <cellStyle name="SHADEDSTORES 3 10" xfId="51653"/>
    <cellStyle name="SHADEDSTORES 3 11" xfId="51654"/>
    <cellStyle name="SHADEDSTORES 3 2" xfId="51655"/>
    <cellStyle name="SHADEDSTORES 3 2 2" xfId="51656"/>
    <cellStyle name="SHADEDSTORES 3 2 2 2" xfId="51657"/>
    <cellStyle name="SHADEDSTORES 3 2 2 2 2" xfId="51658"/>
    <cellStyle name="SHADEDSTORES 3 2 2 2 2 2" xfId="51659"/>
    <cellStyle name="SHADEDSTORES 3 2 2 2 2 2 2" xfId="51660"/>
    <cellStyle name="SHADEDSTORES 3 2 2 2 2 3" xfId="51661"/>
    <cellStyle name="SHADEDSTORES 3 2 2 2 3" xfId="51662"/>
    <cellStyle name="SHADEDSTORES 3 2 2 2 3 2" xfId="51663"/>
    <cellStyle name="SHADEDSTORES 3 2 2 2 4" xfId="51664"/>
    <cellStyle name="SHADEDSTORES 3 2 2 3" xfId="51665"/>
    <cellStyle name="SHADEDSTORES 3 2 2 3 2" xfId="51666"/>
    <cellStyle name="SHADEDSTORES 3 2 2 3 2 2" xfId="51667"/>
    <cellStyle name="SHADEDSTORES 3 2 2 3 3" xfId="51668"/>
    <cellStyle name="SHADEDSTORES 3 2 2 3 3 2" xfId="51669"/>
    <cellStyle name="SHADEDSTORES 3 2 2 3 4" xfId="51670"/>
    <cellStyle name="SHADEDSTORES 3 2 2 4" xfId="51671"/>
    <cellStyle name="SHADEDSTORES 3 2 2 4 2" xfId="51672"/>
    <cellStyle name="SHADEDSTORES 3 2 2 5" xfId="51673"/>
    <cellStyle name="SHADEDSTORES 3 2 2 5 2" xfId="51674"/>
    <cellStyle name="SHADEDSTORES 3 2 2 6" xfId="51675"/>
    <cellStyle name="SHADEDSTORES 3 2 3" xfId="51676"/>
    <cellStyle name="SHADEDSTORES 3 2 3 2" xfId="51677"/>
    <cellStyle name="SHADEDSTORES 3 2 3 2 2" xfId="51678"/>
    <cellStyle name="SHADEDSTORES 3 2 3 3" xfId="51679"/>
    <cellStyle name="SHADEDSTORES 3 2 4" xfId="51680"/>
    <cellStyle name="SHADEDSTORES 3 2 4 2" xfId="51681"/>
    <cellStyle name="SHADEDSTORES 3 2 4 2 2" xfId="51682"/>
    <cellStyle name="SHADEDSTORES 3 2 4 3" xfId="51683"/>
    <cellStyle name="SHADEDSTORES 3 2 5" xfId="51684"/>
    <cellStyle name="SHADEDSTORES 3 2 5 2" xfId="51685"/>
    <cellStyle name="SHADEDSTORES 3 2 5 2 2" xfId="51686"/>
    <cellStyle name="SHADEDSTORES 3 2 5 2 2 2" xfId="51687"/>
    <cellStyle name="SHADEDSTORES 3 2 5 2 3" xfId="51688"/>
    <cellStyle name="SHADEDSTORES 3 2 5 3" xfId="51689"/>
    <cellStyle name="SHADEDSTORES 3 2 5 3 2" xfId="51690"/>
    <cellStyle name="SHADEDSTORES 3 2 5 4" xfId="51691"/>
    <cellStyle name="SHADEDSTORES 3 2 6" xfId="51692"/>
    <cellStyle name="SHADEDSTORES 3 2 6 2" xfId="51693"/>
    <cellStyle name="SHADEDSTORES 3 2 6 2 2" xfId="51694"/>
    <cellStyle name="SHADEDSTORES 3 2 6 3" xfId="51695"/>
    <cellStyle name="SHADEDSTORES 3 2 6 3 2" xfId="51696"/>
    <cellStyle name="SHADEDSTORES 3 2 6 4" xfId="51697"/>
    <cellStyle name="SHADEDSTORES 3 2 7" xfId="51698"/>
    <cellStyle name="SHADEDSTORES 3 2 7 2" xfId="51699"/>
    <cellStyle name="SHADEDSTORES 3 2 8" xfId="51700"/>
    <cellStyle name="SHADEDSTORES 3 2 8 2" xfId="51701"/>
    <cellStyle name="SHADEDSTORES 3 2 9" xfId="51702"/>
    <cellStyle name="SHADEDSTORES 3 3" xfId="51703"/>
    <cellStyle name="SHADEDSTORES 3 3 2" xfId="51704"/>
    <cellStyle name="SHADEDSTORES 3 3 2 2" xfId="51705"/>
    <cellStyle name="SHADEDSTORES 3 3 2 2 2" xfId="51706"/>
    <cellStyle name="SHADEDSTORES 3 3 2 2 2 2" xfId="51707"/>
    <cellStyle name="SHADEDSTORES 3 3 2 2 2 2 2" xfId="51708"/>
    <cellStyle name="SHADEDSTORES 3 3 2 2 2 3" xfId="51709"/>
    <cellStyle name="SHADEDSTORES 3 3 2 2 3" xfId="51710"/>
    <cellStyle name="SHADEDSTORES 3 3 2 2 3 2" xfId="51711"/>
    <cellStyle name="SHADEDSTORES 3 3 2 2 4" xfId="51712"/>
    <cellStyle name="SHADEDSTORES 3 3 2 3" xfId="51713"/>
    <cellStyle name="SHADEDSTORES 3 3 2 3 2" xfId="51714"/>
    <cellStyle name="SHADEDSTORES 3 3 2 3 2 2" xfId="51715"/>
    <cellStyle name="SHADEDSTORES 3 3 2 3 3" xfId="51716"/>
    <cellStyle name="SHADEDSTORES 3 3 2 3 3 2" xfId="51717"/>
    <cellStyle name="SHADEDSTORES 3 3 2 3 4" xfId="51718"/>
    <cellStyle name="SHADEDSTORES 3 3 2 4" xfId="51719"/>
    <cellStyle name="SHADEDSTORES 3 3 2 4 2" xfId="51720"/>
    <cellStyle name="SHADEDSTORES 3 3 2 5" xfId="51721"/>
    <cellStyle name="SHADEDSTORES 3 3 2 5 2" xfId="51722"/>
    <cellStyle name="SHADEDSTORES 3 3 2 6" xfId="51723"/>
    <cellStyle name="SHADEDSTORES 3 3 3" xfId="51724"/>
    <cellStyle name="SHADEDSTORES 3 3 3 2" xfId="51725"/>
    <cellStyle name="SHADEDSTORES 3 3 3 2 2" xfId="51726"/>
    <cellStyle name="SHADEDSTORES 3 3 3 2 2 2" xfId="51727"/>
    <cellStyle name="SHADEDSTORES 3 3 3 2 3" xfId="51728"/>
    <cellStyle name="SHADEDSTORES 3 3 3 3" xfId="51729"/>
    <cellStyle name="SHADEDSTORES 3 3 3 3 2" xfId="51730"/>
    <cellStyle name="SHADEDSTORES 3 3 3 4" xfId="51731"/>
    <cellStyle name="SHADEDSTORES 3 3 4" xfId="51732"/>
    <cellStyle name="SHADEDSTORES 3 3 4 2" xfId="51733"/>
    <cellStyle name="SHADEDSTORES 3 3 4 2 2" xfId="51734"/>
    <cellStyle name="SHADEDSTORES 3 3 4 3" xfId="51735"/>
    <cellStyle name="SHADEDSTORES 3 3 4 3 2" xfId="51736"/>
    <cellStyle name="SHADEDSTORES 3 3 4 4" xfId="51737"/>
    <cellStyle name="SHADEDSTORES 3 3 5" xfId="51738"/>
    <cellStyle name="SHADEDSTORES 3 3 5 2" xfId="51739"/>
    <cellStyle name="SHADEDSTORES 3 3 6" xfId="51740"/>
    <cellStyle name="SHADEDSTORES 3 3 6 2" xfId="51741"/>
    <cellStyle name="SHADEDSTORES 3 3 7" xfId="51742"/>
    <cellStyle name="SHADEDSTORES 3 4" xfId="51743"/>
    <cellStyle name="SHADEDSTORES 3 4 2" xfId="51744"/>
    <cellStyle name="SHADEDSTORES 3 4 2 2" xfId="51745"/>
    <cellStyle name="SHADEDSTORES 3 4 3" xfId="51746"/>
    <cellStyle name="SHADEDSTORES 3 5" xfId="51747"/>
    <cellStyle name="SHADEDSTORES 3 5 2" xfId="51748"/>
    <cellStyle name="SHADEDSTORES 3 5 2 2" xfId="51749"/>
    <cellStyle name="SHADEDSTORES 3 5 3" xfId="51750"/>
    <cellStyle name="SHADEDSTORES 3 6" xfId="51751"/>
    <cellStyle name="SHADEDSTORES 3 6 2" xfId="51752"/>
    <cellStyle name="SHADEDSTORES 3 6 2 2" xfId="51753"/>
    <cellStyle name="SHADEDSTORES 3 6 2 2 2" xfId="51754"/>
    <cellStyle name="SHADEDSTORES 3 6 2 3" xfId="51755"/>
    <cellStyle name="SHADEDSTORES 3 6 3" xfId="51756"/>
    <cellStyle name="SHADEDSTORES 3 6 3 2" xfId="51757"/>
    <cellStyle name="SHADEDSTORES 3 6 4" xfId="51758"/>
    <cellStyle name="SHADEDSTORES 3 7" xfId="51759"/>
    <cellStyle name="SHADEDSTORES 3 7 2" xfId="51760"/>
    <cellStyle name="SHADEDSTORES 3 7 2 2" xfId="51761"/>
    <cellStyle name="SHADEDSTORES 3 7 3" xfId="51762"/>
    <cellStyle name="SHADEDSTORES 3 7 3 2" xfId="51763"/>
    <cellStyle name="SHADEDSTORES 3 7 4" xfId="51764"/>
    <cellStyle name="SHADEDSTORES 3 8" xfId="51765"/>
    <cellStyle name="SHADEDSTORES 3 8 2" xfId="51766"/>
    <cellStyle name="SHADEDSTORES 3 9" xfId="51767"/>
    <cellStyle name="SHADEDSTORES 3 9 2" xfId="51768"/>
    <cellStyle name="SHADEDSTORES 4" xfId="51769"/>
    <cellStyle name="SHADEDSTORES 4 10" xfId="51770"/>
    <cellStyle name="SHADEDSTORES 4 11" xfId="51771"/>
    <cellStyle name="SHADEDSTORES 4 2" xfId="51772"/>
    <cellStyle name="SHADEDSTORES 4 2 2" xfId="51773"/>
    <cellStyle name="SHADEDSTORES 4 2 2 2" xfId="51774"/>
    <cellStyle name="SHADEDSTORES 4 2 2 2 2" xfId="51775"/>
    <cellStyle name="SHADEDSTORES 4 2 2 2 2 2" xfId="51776"/>
    <cellStyle name="SHADEDSTORES 4 2 2 2 2 2 2" xfId="51777"/>
    <cellStyle name="SHADEDSTORES 4 2 2 2 2 3" xfId="51778"/>
    <cellStyle name="SHADEDSTORES 4 2 2 2 3" xfId="51779"/>
    <cellStyle name="SHADEDSTORES 4 2 2 2 3 2" xfId="51780"/>
    <cellStyle name="SHADEDSTORES 4 2 2 2 4" xfId="51781"/>
    <cellStyle name="SHADEDSTORES 4 2 2 3" xfId="51782"/>
    <cellStyle name="SHADEDSTORES 4 2 2 3 2" xfId="51783"/>
    <cellStyle name="SHADEDSTORES 4 2 2 3 2 2" xfId="51784"/>
    <cellStyle name="SHADEDSTORES 4 2 2 3 3" xfId="51785"/>
    <cellStyle name="SHADEDSTORES 4 2 2 3 3 2" xfId="51786"/>
    <cellStyle name="SHADEDSTORES 4 2 2 3 4" xfId="51787"/>
    <cellStyle name="SHADEDSTORES 4 2 2 4" xfId="51788"/>
    <cellStyle name="SHADEDSTORES 4 2 2 4 2" xfId="51789"/>
    <cellStyle name="SHADEDSTORES 4 2 2 5" xfId="51790"/>
    <cellStyle name="SHADEDSTORES 4 2 2 5 2" xfId="51791"/>
    <cellStyle name="SHADEDSTORES 4 2 2 6" xfId="51792"/>
    <cellStyle name="SHADEDSTORES 4 2 3" xfId="51793"/>
    <cellStyle name="SHADEDSTORES 4 2 3 2" xfId="51794"/>
    <cellStyle name="SHADEDSTORES 4 2 3 2 2" xfId="51795"/>
    <cellStyle name="SHADEDSTORES 4 2 3 3" xfId="51796"/>
    <cellStyle name="SHADEDSTORES 4 2 4" xfId="51797"/>
    <cellStyle name="SHADEDSTORES 4 2 4 2" xfId="51798"/>
    <cellStyle name="SHADEDSTORES 4 2 4 2 2" xfId="51799"/>
    <cellStyle name="SHADEDSTORES 4 2 4 3" xfId="51800"/>
    <cellStyle name="SHADEDSTORES 4 2 5" xfId="51801"/>
    <cellStyle name="SHADEDSTORES 4 2 5 2" xfId="51802"/>
    <cellStyle name="SHADEDSTORES 4 2 5 2 2" xfId="51803"/>
    <cellStyle name="SHADEDSTORES 4 2 5 2 2 2" xfId="51804"/>
    <cellStyle name="SHADEDSTORES 4 2 5 2 3" xfId="51805"/>
    <cellStyle name="SHADEDSTORES 4 2 5 3" xfId="51806"/>
    <cellStyle name="SHADEDSTORES 4 2 5 3 2" xfId="51807"/>
    <cellStyle name="SHADEDSTORES 4 2 5 4" xfId="51808"/>
    <cellStyle name="SHADEDSTORES 4 2 6" xfId="51809"/>
    <cellStyle name="SHADEDSTORES 4 2 6 2" xfId="51810"/>
    <cellStyle name="SHADEDSTORES 4 2 6 2 2" xfId="51811"/>
    <cellStyle name="SHADEDSTORES 4 2 6 3" xfId="51812"/>
    <cellStyle name="SHADEDSTORES 4 2 6 3 2" xfId="51813"/>
    <cellStyle name="SHADEDSTORES 4 2 6 4" xfId="51814"/>
    <cellStyle name="SHADEDSTORES 4 2 7" xfId="51815"/>
    <cellStyle name="SHADEDSTORES 4 2 7 2" xfId="51816"/>
    <cellStyle name="SHADEDSTORES 4 2 8" xfId="51817"/>
    <cellStyle name="SHADEDSTORES 4 2 8 2" xfId="51818"/>
    <cellStyle name="SHADEDSTORES 4 2 9" xfId="51819"/>
    <cellStyle name="SHADEDSTORES 4 3" xfId="51820"/>
    <cellStyle name="SHADEDSTORES 4 3 2" xfId="51821"/>
    <cellStyle name="SHADEDSTORES 4 3 2 2" xfId="51822"/>
    <cellStyle name="SHADEDSTORES 4 3 2 2 2" xfId="51823"/>
    <cellStyle name="SHADEDSTORES 4 3 2 2 2 2" xfId="51824"/>
    <cellStyle name="SHADEDSTORES 4 3 2 2 2 2 2" xfId="51825"/>
    <cellStyle name="SHADEDSTORES 4 3 2 2 2 3" xfId="51826"/>
    <cellStyle name="SHADEDSTORES 4 3 2 2 3" xfId="51827"/>
    <cellStyle name="SHADEDSTORES 4 3 2 2 3 2" xfId="51828"/>
    <cellStyle name="SHADEDSTORES 4 3 2 2 4" xfId="51829"/>
    <cellStyle name="SHADEDSTORES 4 3 2 3" xfId="51830"/>
    <cellStyle name="SHADEDSTORES 4 3 2 3 2" xfId="51831"/>
    <cellStyle name="SHADEDSTORES 4 3 2 3 2 2" xfId="51832"/>
    <cellStyle name="SHADEDSTORES 4 3 2 3 3" xfId="51833"/>
    <cellStyle name="SHADEDSTORES 4 3 2 3 3 2" xfId="51834"/>
    <cellStyle name="SHADEDSTORES 4 3 2 3 4" xfId="51835"/>
    <cellStyle name="SHADEDSTORES 4 3 2 4" xfId="51836"/>
    <cellStyle name="SHADEDSTORES 4 3 2 4 2" xfId="51837"/>
    <cellStyle name="SHADEDSTORES 4 3 2 5" xfId="51838"/>
    <cellStyle name="SHADEDSTORES 4 3 2 5 2" xfId="51839"/>
    <cellStyle name="SHADEDSTORES 4 3 2 6" xfId="51840"/>
    <cellStyle name="SHADEDSTORES 4 3 3" xfId="51841"/>
    <cellStyle name="SHADEDSTORES 4 3 3 2" xfId="51842"/>
    <cellStyle name="SHADEDSTORES 4 3 3 2 2" xfId="51843"/>
    <cellStyle name="SHADEDSTORES 4 3 3 2 2 2" xfId="51844"/>
    <cellStyle name="SHADEDSTORES 4 3 3 2 3" xfId="51845"/>
    <cellStyle name="SHADEDSTORES 4 3 3 3" xfId="51846"/>
    <cellStyle name="SHADEDSTORES 4 3 3 3 2" xfId="51847"/>
    <cellStyle name="SHADEDSTORES 4 3 3 4" xfId="51848"/>
    <cellStyle name="SHADEDSTORES 4 3 4" xfId="51849"/>
    <cellStyle name="SHADEDSTORES 4 3 4 2" xfId="51850"/>
    <cellStyle name="SHADEDSTORES 4 3 4 2 2" xfId="51851"/>
    <cellStyle name="SHADEDSTORES 4 3 4 3" xfId="51852"/>
    <cellStyle name="SHADEDSTORES 4 3 4 3 2" xfId="51853"/>
    <cellStyle name="SHADEDSTORES 4 3 4 4" xfId="51854"/>
    <cellStyle name="SHADEDSTORES 4 3 5" xfId="51855"/>
    <cellStyle name="SHADEDSTORES 4 3 5 2" xfId="51856"/>
    <cellStyle name="SHADEDSTORES 4 3 6" xfId="51857"/>
    <cellStyle name="SHADEDSTORES 4 3 6 2" xfId="51858"/>
    <cellStyle name="SHADEDSTORES 4 3 7" xfId="51859"/>
    <cellStyle name="SHADEDSTORES 4 4" xfId="51860"/>
    <cellStyle name="SHADEDSTORES 4 4 2" xfId="51861"/>
    <cellStyle name="SHADEDSTORES 4 4 2 2" xfId="51862"/>
    <cellStyle name="SHADEDSTORES 4 4 3" xfId="51863"/>
    <cellStyle name="SHADEDSTORES 4 5" xfId="51864"/>
    <cellStyle name="SHADEDSTORES 4 5 2" xfId="51865"/>
    <cellStyle name="SHADEDSTORES 4 5 2 2" xfId="51866"/>
    <cellStyle name="SHADEDSTORES 4 5 3" xfId="51867"/>
    <cellStyle name="SHADEDSTORES 4 6" xfId="51868"/>
    <cellStyle name="SHADEDSTORES 4 6 2" xfId="51869"/>
    <cellStyle name="SHADEDSTORES 4 6 2 2" xfId="51870"/>
    <cellStyle name="SHADEDSTORES 4 6 2 2 2" xfId="51871"/>
    <cellStyle name="SHADEDSTORES 4 6 2 3" xfId="51872"/>
    <cellStyle name="SHADEDSTORES 4 6 3" xfId="51873"/>
    <cellStyle name="SHADEDSTORES 4 6 3 2" xfId="51874"/>
    <cellStyle name="SHADEDSTORES 4 6 4" xfId="51875"/>
    <cellStyle name="SHADEDSTORES 4 7" xfId="51876"/>
    <cellStyle name="SHADEDSTORES 4 7 2" xfId="51877"/>
    <cellStyle name="SHADEDSTORES 4 7 2 2" xfId="51878"/>
    <cellStyle name="SHADEDSTORES 4 7 3" xfId="51879"/>
    <cellStyle name="SHADEDSTORES 4 7 3 2" xfId="51880"/>
    <cellStyle name="SHADEDSTORES 4 7 4" xfId="51881"/>
    <cellStyle name="SHADEDSTORES 4 8" xfId="51882"/>
    <cellStyle name="SHADEDSTORES 4 8 2" xfId="51883"/>
    <cellStyle name="SHADEDSTORES 4 9" xfId="51884"/>
    <cellStyle name="SHADEDSTORES 4 9 2" xfId="51885"/>
    <cellStyle name="SHADEDSTORES 5" xfId="51886"/>
    <cellStyle name="SHADEDSTORES 5 2" xfId="51887"/>
    <cellStyle name="SHADEDSTORES 5 2 2" xfId="51888"/>
    <cellStyle name="SHADEDSTORES 5 2 2 2" xfId="51889"/>
    <cellStyle name="SHADEDSTORES 5 2 2 2 2" xfId="51890"/>
    <cellStyle name="SHADEDSTORES 5 2 2 2 2 2" xfId="51891"/>
    <cellStyle name="SHADEDSTORES 5 2 2 2 3" xfId="51892"/>
    <cellStyle name="SHADEDSTORES 5 2 2 3" xfId="51893"/>
    <cellStyle name="SHADEDSTORES 5 2 2 3 2" xfId="51894"/>
    <cellStyle name="SHADEDSTORES 5 2 2 4" xfId="51895"/>
    <cellStyle name="SHADEDSTORES 5 2 3" xfId="51896"/>
    <cellStyle name="SHADEDSTORES 5 2 3 2" xfId="51897"/>
    <cellStyle name="SHADEDSTORES 5 2 3 2 2" xfId="51898"/>
    <cellStyle name="SHADEDSTORES 5 2 3 3" xfId="51899"/>
    <cellStyle name="SHADEDSTORES 5 2 3 3 2" xfId="51900"/>
    <cellStyle name="SHADEDSTORES 5 2 3 4" xfId="51901"/>
    <cellStyle name="SHADEDSTORES 5 2 4" xfId="51902"/>
    <cellStyle name="SHADEDSTORES 5 2 4 2" xfId="51903"/>
    <cellStyle name="SHADEDSTORES 5 2 5" xfId="51904"/>
    <cellStyle name="SHADEDSTORES 5 2 5 2" xfId="51905"/>
    <cellStyle name="SHADEDSTORES 5 2 6" xfId="51906"/>
    <cellStyle name="SHADEDSTORES 5 3" xfId="51907"/>
    <cellStyle name="SHADEDSTORES 5 3 2" xfId="51908"/>
    <cellStyle name="SHADEDSTORES 5 3 2 2" xfId="51909"/>
    <cellStyle name="SHADEDSTORES 5 3 3" xfId="51910"/>
    <cellStyle name="SHADEDSTORES 5 4" xfId="51911"/>
    <cellStyle name="SHADEDSTORES 5 4 2" xfId="51912"/>
    <cellStyle name="SHADEDSTORES 5 4 2 2" xfId="51913"/>
    <cellStyle name="SHADEDSTORES 5 4 3" xfId="51914"/>
    <cellStyle name="SHADEDSTORES 5 5" xfId="51915"/>
    <cellStyle name="SHADEDSTORES 5 5 2" xfId="51916"/>
    <cellStyle name="SHADEDSTORES 5 5 2 2" xfId="51917"/>
    <cellStyle name="SHADEDSTORES 5 5 2 2 2" xfId="51918"/>
    <cellStyle name="SHADEDSTORES 5 5 2 3" xfId="51919"/>
    <cellStyle name="SHADEDSTORES 5 5 3" xfId="51920"/>
    <cellStyle name="SHADEDSTORES 5 5 3 2" xfId="51921"/>
    <cellStyle name="SHADEDSTORES 5 5 4" xfId="51922"/>
    <cellStyle name="SHADEDSTORES 5 6" xfId="51923"/>
    <cellStyle name="SHADEDSTORES 5 6 2" xfId="51924"/>
    <cellStyle name="SHADEDSTORES 5 6 2 2" xfId="51925"/>
    <cellStyle name="SHADEDSTORES 5 6 3" xfId="51926"/>
    <cellStyle name="SHADEDSTORES 5 6 3 2" xfId="51927"/>
    <cellStyle name="SHADEDSTORES 5 6 4" xfId="51928"/>
    <cellStyle name="SHADEDSTORES 5 7" xfId="51929"/>
    <cellStyle name="SHADEDSTORES 5 7 2" xfId="51930"/>
    <cellStyle name="SHADEDSTORES 5 8" xfId="51931"/>
    <cellStyle name="SHADEDSTORES 5 8 2" xfId="51932"/>
    <cellStyle name="SHADEDSTORES 5 9" xfId="51933"/>
    <cellStyle name="SHADEDSTORES 6" xfId="51934"/>
    <cellStyle name="SHADEDSTORES 6 2" xfId="51935"/>
    <cellStyle name="SHADEDSTORES 6 2 2" xfId="51936"/>
    <cellStyle name="SHADEDSTORES 6 2 2 2" xfId="51937"/>
    <cellStyle name="SHADEDSTORES 6 2 2 2 2" xfId="51938"/>
    <cellStyle name="SHADEDSTORES 6 2 2 2 2 2" xfId="51939"/>
    <cellStyle name="SHADEDSTORES 6 2 2 2 3" xfId="51940"/>
    <cellStyle name="SHADEDSTORES 6 2 2 3" xfId="51941"/>
    <cellStyle name="SHADEDSTORES 6 2 2 3 2" xfId="51942"/>
    <cellStyle name="SHADEDSTORES 6 2 2 4" xfId="51943"/>
    <cellStyle name="SHADEDSTORES 6 2 3" xfId="51944"/>
    <cellStyle name="SHADEDSTORES 6 2 3 2" xfId="51945"/>
    <cellStyle name="SHADEDSTORES 6 2 3 2 2" xfId="51946"/>
    <cellStyle name="SHADEDSTORES 6 2 3 3" xfId="51947"/>
    <cellStyle name="SHADEDSTORES 6 2 3 3 2" xfId="51948"/>
    <cellStyle name="SHADEDSTORES 6 2 3 4" xfId="51949"/>
    <cellStyle name="SHADEDSTORES 6 2 4" xfId="51950"/>
    <cellStyle name="SHADEDSTORES 6 2 4 2" xfId="51951"/>
    <cellStyle name="SHADEDSTORES 6 2 5" xfId="51952"/>
    <cellStyle name="SHADEDSTORES 6 2 5 2" xfId="51953"/>
    <cellStyle name="SHADEDSTORES 6 2 6" xfId="51954"/>
    <cellStyle name="SHADEDSTORES 6 3" xfId="51955"/>
    <cellStyle name="SHADEDSTORES 6 3 2" xfId="51956"/>
    <cellStyle name="SHADEDSTORES 6 3 2 2" xfId="51957"/>
    <cellStyle name="SHADEDSTORES 6 3 2 2 2" xfId="51958"/>
    <cellStyle name="SHADEDSTORES 6 3 2 3" xfId="51959"/>
    <cellStyle name="SHADEDSTORES 6 3 3" xfId="51960"/>
    <cellStyle name="SHADEDSTORES 6 3 3 2" xfId="51961"/>
    <cellStyle name="SHADEDSTORES 6 3 4" xfId="51962"/>
    <cellStyle name="SHADEDSTORES 6 4" xfId="51963"/>
    <cellStyle name="SHADEDSTORES 6 4 2" xfId="51964"/>
    <cellStyle name="SHADEDSTORES 6 4 2 2" xfId="51965"/>
    <cellStyle name="SHADEDSTORES 6 4 3" xfId="51966"/>
    <cellStyle name="SHADEDSTORES 6 4 3 2" xfId="51967"/>
    <cellStyle name="SHADEDSTORES 6 4 4" xfId="51968"/>
    <cellStyle name="SHADEDSTORES 6 5" xfId="51969"/>
    <cellStyle name="SHADEDSTORES 6 5 2" xfId="51970"/>
    <cellStyle name="SHADEDSTORES 6 6" xfId="51971"/>
    <cellStyle name="SHADEDSTORES 6 6 2" xfId="51972"/>
    <cellStyle name="SHADEDSTORES 6 7" xfId="51973"/>
    <cellStyle name="SHADEDSTORES 7" xfId="51974"/>
    <cellStyle name="SHADEDSTORES 7 2" xfId="51975"/>
    <cellStyle name="SHADEDSTORES 7 2 2" xfId="51976"/>
    <cellStyle name="SHADEDSTORES 7 3" xfId="51977"/>
    <cellStyle name="SHADEDSTORES 8" xfId="51978"/>
    <cellStyle name="SHADEDSTORES 8 2" xfId="51979"/>
    <cellStyle name="SHADEDSTORES 8 2 2" xfId="51980"/>
    <cellStyle name="SHADEDSTORES 8 3" xfId="51981"/>
    <cellStyle name="SHADEDSTORES 9" xfId="51982"/>
    <cellStyle name="SHADEDSTORES 9 2" xfId="51983"/>
    <cellStyle name="SHADEDSTORES 9 2 2" xfId="51984"/>
    <cellStyle name="SHADEDSTORES 9 2 2 2" xfId="51985"/>
    <cellStyle name="SHADEDSTORES 9 2 2 2 2" xfId="51986"/>
    <cellStyle name="SHADEDSTORES 9 2 2 3" xfId="51987"/>
    <cellStyle name="SHADEDSTORES 9 2 3" xfId="51988"/>
    <cellStyle name="SHADEDSTORES 9 2 3 2" xfId="51989"/>
    <cellStyle name="SHADEDSTORES 9 2 4" xfId="51990"/>
    <cellStyle name="SHADEDSTORES 9 3" xfId="51991"/>
    <cellStyle name="SHADEDSTORES 9 3 2" xfId="51992"/>
    <cellStyle name="SHADEDSTORES 9 3 2 2" xfId="51993"/>
    <cellStyle name="SHADEDSTORES 9 3 3" xfId="51994"/>
    <cellStyle name="SHADEDSTORES 9 3 3 2" xfId="51995"/>
    <cellStyle name="SHADEDSTORES 9 3 4" xfId="51996"/>
    <cellStyle name="SHADEDSTORES 9 4" xfId="51997"/>
    <cellStyle name="SHADEDSTORES 9 4 2" xfId="51998"/>
    <cellStyle name="SHADEDSTORES 9 5" xfId="51999"/>
    <cellStyle name="SHADEDSTORES 9 5 2" xfId="52000"/>
    <cellStyle name="SHADEDSTORES 9 6" xfId="52001"/>
    <cellStyle name="Sheet Title" xfId="78"/>
    <cellStyle name="Sheet Title 10" xfId="52002"/>
    <cellStyle name="Sheet Title 2" xfId="52003"/>
    <cellStyle name="Sheet Title 2 2" xfId="52004"/>
    <cellStyle name="Sheet Title 2 2 2" xfId="52005"/>
    <cellStyle name="Sheet Title 2 2 2 2" xfId="52006"/>
    <cellStyle name="Sheet Title 2 2 3" xfId="52007"/>
    <cellStyle name="Sheet Title 2 2 3 2" xfId="52008"/>
    <cellStyle name="Sheet Title 2 2 3 2 2" xfId="52009"/>
    <cellStyle name="Sheet Title 2 2 3 3" xfId="52010"/>
    <cellStyle name="Sheet Title 2 2 4" xfId="52011"/>
    <cellStyle name="Sheet Title 2 2 4 2" xfId="52012"/>
    <cellStyle name="Sheet Title 2 2 4 2 2" xfId="52013"/>
    <cellStyle name="Sheet Title 2 2 4 3" xfId="52014"/>
    <cellStyle name="Sheet Title 2 2 5" xfId="52015"/>
    <cellStyle name="Sheet Title 2 3" xfId="52016"/>
    <cellStyle name="Sheet Title 2 3 2" xfId="52017"/>
    <cellStyle name="Sheet Title 2 3 2 2" xfId="52018"/>
    <cellStyle name="Sheet Title 2 3 2 2 2" xfId="52019"/>
    <cellStyle name="Sheet Title 2 3 2 3" xfId="52020"/>
    <cellStyle name="Sheet Title 2 3 2 3 2" xfId="52021"/>
    <cellStyle name="Sheet Title 2 3 2 3 2 2" xfId="52022"/>
    <cellStyle name="Sheet Title 2 3 2 3 3" xfId="52023"/>
    <cellStyle name="Sheet Title 2 3 2 4" xfId="52024"/>
    <cellStyle name="Sheet Title 2 3 3" xfId="52025"/>
    <cellStyle name="Sheet Title 2 3 3 2" xfId="52026"/>
    <cellStyle name="Sheet Title 2 3 3 2 2" xfId="52027"/>
    <cellStyle name="Sheet Title 2 3 3 3" xfId="52028"/>
    <cellStyle name="Sheet Title 2 3 4" xfId="52029"/>
    <cellStyle name="Sheet Title 2 3 4 2" xfId="52030"/>
    <cellStyle name="Sheet Title 2 3 4 2 2" xfId="52031"/>
    <cellStyle name="Sheet Title 2 3 4 3" xfId="52032"/>
    <cellStyle name="Sheet Title 2 3 5" xfId="52033"/>
    <cellStyle name="Sheet Title 2 3 5 2" xfId="52034"/>
    <cellStyle name="Sheet Title 2 3 5 2 2" xfId="52035"/>
    <cellStyle name="Sheet Title 2 3 5 3" xfId="52036"/>
    <cellStyle name="Sheet Title 2 3 6" xfId="52037"/>
    <cellStyle name="Sheet Title 2 4" xfId="52038"/>
    <cellStyle name="Sheet Title 2 4 2" xfId="52039"/>
    <cellStyle name="Sheet Title 2 4 2 2" xfId="52040"/>
    <cellStyle name="Sheet Title 2 4 3" xfId="52041"/>
    <cellStyle name="Sheet Title 2 5" xfId="52042"/>
    <cellStyle name="Sheet Title 2 5 2" xfId="52043"/>
    <cellStyle name="Sheet Title 2 5 2 2" xfId="52044"/>
    <cellStyle name="Sheet Title 2 5 3" xfId="52045"/>
    <cellStyle name="Sheet Title 2 6" xfId="52046"/>
    <cellStyle name="Sheet Title 2 6 2" xfId="52047"/>
    <cellStyle name="Sheet Title 2 6 2 2" xfId="52048"/>
    <cellStyle name="Sheet Title 2 6 3" xfId="52049"/>
    <cellStyle name="Sheet Title 2 7" xfId="52050"/>
    <cellStyle name="Sheet Title 3" xfId="52051"/>
    <cellStyle name="Sheet Title 3 2" xfId="52052"/>
    <cellStyle name="Sheet Title 3 2 2" xfId="52053"/>
    <cellStyle name="Sheet Title 3 2 2 2" xfId="52054"/>
    <cellStyle name="Sheet Title 3 2 3" xfId="52055"/>
    <cellStyle name="Sheet Title 3 2 3 2" xfId="52056"/>
    <cellStyle name="Sheet Title 3 2 3 2 2" xfId="52057"/>
    <cellStyle name="Sheet Title 3 2 3 3" xfId="52058"/>
    <cellStyle name="Sheet Title 3 2 4" xfId="52059"/>
    <cellStyle name="Sheet Title 3 2 4 2" xfId="52060"/>
    <cellStyle name="Sheet Title 3 2 4 2 2" xfId="52061"/>
    <cellStyle name="Sheet Title 3 2 4 3" xfId="52062"/>
    <cellStyle name="Sheet Title 3 2 5" xfId="52063"/>
    <cellStyle name="Sheet Title 3 3" xfId="52064"/>
    <cellStyle name="Sheet Title 3 3 2" xfId="52065"/>
    <cellStyle name="Sheet Title 3 3 2 2" xfId="52066"/>
    <cellStyle name="Sheet Title 3 3 3" xfId="52067"/>
    <cellStyle name="Sheet Title 3 4" xfId="52068"/>
    <cellStyle name="Sheet Title 3 4 2" xfId="52069"/>
    <cellStyle name="Sheet Title 3 4 2 2" xfId="52070"/>
    <cellStyle name="Sheet Title 3 4 3" xfId="52071"/>
    <cellStyle name="Sheet Title 3 5" xfId="52072"/>
    <cellStyle name="Sheet Title 3 5 2" xfId="52073"/>
    <cellStyle name="Sheet Title 3 5 2 2" xfId="52074"/>
    <cellStyle name="Sheet Title 3 5 3" xfId="52075"/>
    <cellStyle name="Sheet Title 3 6" xfId="52076"/>
    <cellStyle name="Sheet Title 4" xfId="52077"/>
    <cellStyle name="Sheet Title 4 2" xfId="52078"/>
    <cellStyle name="Sheet Title 4 2 2" xfId="52079"/>
    <cellStyle name="Sheet Title 4 3" xfId="52080"/>
    <cellStyle name="Sheet Title 4 3 2" xfId="52081"/>
    <cellStyle name="Sheet Title 4 3 2 2" xfId="52082"/>
    <cellStyle name="Sheet Title 4 3 3" xfId="52083"/>
    <cellStyle name="Sheet Title 4 4" xfId="52084"/>
    <cellStyle name="Sheet Title 4 4 2" xfId="52085"/>
    <cellStyle name="Sheet Title 4 4 2 2" xfId="52086"/>
    <cellStyle name="Sheet Title 4 4 3" xfId="52087"/>
    <cellStyle name="Sheet Title 4 5" xfId="52088"/>
    <cellStyle name="Sheet Title 5" xfId="52089"/>
    <cellStyle name="Sheet Title 5 2" xfId="52090"/>
    <cellStyle name="Sheet Title 5 2 2" xfId="52091"/>
    <cellStyle name="Sheet Title 5 3" xfId="52092"/>
    <cellStyle name="Sheet Title 6" xfId="52093"/>
    <cellStyle name="Sheet Title 6 2" xfId="52094"/>
    <cellStyle name="Sheet Title 6 2 2" xfId="52095"/>
    <cellStyle name="Sheet Title 6 3" xfId="52096"/>
    <cellStyle name="Sheet Title 7" xfId="52097"/>
    <cellStyle name="Sheet Title 7 2" xfId="52098"/>
    <cellStyle name="Sheet Title 7 2 2" xfId="52099"/>
    <cellStyle name="Sheet Title 7 3" xfId="52100"/>
    <cellStyle name="Sheet Title 8" xfId="52101"/>
    <cellStyle name="Sheet Title 8 2" xfId="52102"/>
    <cellStyle name="Sheet Title 9" xfId="52103"/>
    <cellStyle name="specstores" xfId="52104"/>
    <cellStyle name="specstores 10" xfId="52105"/>
    <cellStyle name="specstores 2" xfId="52106"/>
    <cellStyle name="specstores 2 2" xfId="52107"/>
    <cellStyle name="specstores 2 2 2" xfId="52108"/>
    <cellStyle name="specstores 2 2 2 2" xfId="52109"/>
    <cellStyle name="specstores 2 2 3" xfId="52110"/>
    <cellStyle name="specstores 2 2 3 2" xfId="52111"/>
    <cellStyle name="specstores 2 2 3 2 2" xfId="52112"/>
    <cellStyle name="specstores 2 2 3 3" xfId="52113"/>
    <cellStyle name="specstores 2 2 4" xfId="52114"/>
    <cellStyle name="specstores 2 2 4 2" xfId="52115"/>
    <cellStyle name="specstores 2 2 4 2 2" xfId="52116"/>
    <cellStyle name="specstores 2 2 4 3" xfId="52117"/>
    <cellStyle name="specstores 2 2 5" xfId="52118"/>
    <cellStyle name="specstores 2 3" xfId="52119"/>
    <cellStyle name="specstores 2 3 2" xfId="52120"/>
    <cellStyle name="specstores 2 3 2 2" xfId="52121"/>
    <cellStyle name="specstores 2 3 2 2 2" xfId="52122"/>
    <cellStyle name="specstores 2 3 2 3" xfId="52123"/>
    <cellStyle name="specstores 2 3 2 3 2" xfId="52124"/>
    <cellStyle name="specstores 2 3 2 3 2 2" xfId="52125"/>
    <cellStyle name="specstores 2 3 2 3 3" xfId="52126"/>
    <cellStyle name="specstores 2 3 2 4" xfId="52127"/>
    <cellStyle name="specstores 2 3 3" xfId="52128"/>
    <cellStyle name="specstores 2 3 3 2" xfId="52129"/>
    <cellStyle name="specstores 2 3 3 2 2" xfId="52130"/>
    <cellStyle name="specstores 2 3 3 3" xfId="52131"/>
    <cellStyle name="specstores 2 3 4" xfId="52132"/>
    <cellStyle name="specstores 2 3 4 2" xfId="52133"/>
    <cellStyle name="specstores 2 3 4 2 2" xfId="52134"/>
    <cellStyle name="specstores 2 3 4 3" xfId="52135"/>
    <cellStyle name="specstores 2 3 5" xfId="52136"/>
    <cellStyle name="specstores 2 3 5 2" xfId="52137"/>
    <cellStyle name="specstores 2 3 5 2 2" xfId="52138"/>
    <cellStyle name="specstores 2 3 5 3" xfId="52139"/>
    <cellStyle name="specstores 2 3 6" xfId="52140"/>
    <cellStyle name="specstores 2 4" xfId="52141"/>
    <cellStyle name="specstores 2 4 2" xfId="52142"/>
    <cellStyle name="specstores 2 4 2 2" xfId="52143"/>
    <cellStyle name="specstores 2 4 3" xfId="52144"/>
    <cellStyle name="specstores 2 5" xfId="52145"/>
    <cellStyle name="specstores 2 5 2" xfId="52146"/>
    <cellStyle name="specstores 2 5 2 2" xfId="52147"/>
    <cellStyle name="specstores 2 5 3" xfId="52148"/>
    <cellStyle name="specstores 2 6" xfId="52149"/>
    <cellStyle name="specstores 2 6 2" xfId="52150"/>
    <cellStyle name="specstores 2 6 2 2" xfId="52151"/>
    <cellStyle name="specstores 2 6 3" xfId="52152"/>
    <cellStyle name="specstores 2 7" xfId="52153"/>
    <cellStyle name="specstores 3" xfId="52154"/>
    <cellStyle name="specstores 3 2" xfId="52155"/>
    <cellStyle name="specstores 3 2 2" xfId="52156"/>
    <cellStyle name="specstores 3 2 2 2" xfId="52157"/>
    <cellStyle name="specstores 3 2 3" xfId="52158"/>
    <cellStyle name="specstores 3 2 3 2" xfId="52159"/>
    <cellStyle name="specstores 3 2 3 2 2" xfId="52160"/>
    <cellStyle name="specstores 3 2 3 3" xfId="52161"/>
    <cellStyle name="specstores 3 2 4" xfId="52162"/>
    <cellStyle name="specstores 3 2 4 2" xfId="52163"/>
    <cellStyle name="specstores 3 2 4 2 2" xfId="52164"/>
    <cellStyle name="specstores 3 2 4 3" xfId="52165"/>
    <cellStyle name="specstores 3 2 5" xfId="52166"/>
    <cellStyle name="specstores 3 3" xfId="52167"/>
    <cellStyle name="specstores 3 3 2" xfId="52168"/>
    <cellStyle name="specstores 3 3 2 2" xfId="52169"/>
    <cellStyle name="specstores 3 3 3" xfId="52170"/>
    <cellStyle name="specstores 3 4" xfId="52171"/>
    <cellStyle name="specstores 3 4 2" xfId="52172"/>
    <cellStyle name="specstores 3 4 2 2" xfId="52173"/>
    <cellStyle name="specstores 3 4 3" xfId="52174"/>
    <cellStyle name="specstores 3 5" xfId="52175"/>
    <cellStyle name="specstores 3 5 2" xfId="52176"/>
    <cellStyle name="specstores 3 5 2 2" xfId="52177"/>
    <cellStyle name="specstores 3 5 3" xfId="52178"/>
    <cellStyle name="specstores 3 6" xfId="52179"/>
    <cellStyle name="specstores 4" xfId="52180"/>
    <cellStyle name="specstores 4 2" xfId="52181"/>
    <cellStyle name="specstores 4 2 2" xfId="52182"/>
    <cellStyle name="specstores 4 2 2 2" xfId="52183"/>
    <cellStyle name="specstores 4 2 3" xfId="52184"/>
    <cellStyle name="specstores 4 2 3 2" xfId="52185"/>
    <cellStyle name="specstores 4 2 3 2 2" xfId="52186"/>
    <cellStyle name="specstores 4 2 3 3" xfId="52187"/>
    <cellStyle name="specstores 4 2 4" xfId="52188"/>
    <cellStyle name="specstores 4 2 4 2" xfId="52189"/>
    <cellStyle name="specstores 4 2 4 2 2" xfId="52190"/>
    <cellStyle name="specstores 4 2 4 3" xfId="52191"/>
    <cellStyle name="specstores 4 2 5" xfId="52192"/>
    <cellStyle name="specstores 4 3" xfId="52193"/>
    <cellStyle name="specstores 4 3 2" xfId="52194"/>
    <cellStyle name="specstores 4 3 2 2" xfId="52195"/>
    <cellStyle name="specstores 4 3 3" xfId="52196"/>
    <cellStyle name="specstores 4 4" xfId="52197"/>
    <cellStyle name="specstores 4 4 2" xfId="52198"/>
    <cellStyle name="specstores 4 4 2 2" xfId="52199"/>
    <cellStyle name="specstores 4 4 3" xfId="52200"/>
    <cellStyle name="specstores 4 5" xfId="52201"/>
    <cellStyle name="specstores 4 5 2" xfId="52202"/>
    <cellStyle name="specstores 4 5 2 2" xfId="52203"/>
    <cellStyle name="specstores 4 5 3" xfId="52204"/>
    <cellStyle name="specstores 4 6" xfId="52205"/>
    <cellStyle name="specstores 5" xfId="52206"/>
    <cellStyle name="specstores 5 2" xfId="52207"/>
    <cellStyle name="specstores 5 2 2" xfId="52208"/>
    <cellStyle name="specstores 5 3" xfId="52209"/>
    <cellStyle name="specstores 5 3 2" xfId="52210"/>
    <cellStyle name="specstores 5 3 2 2" xfId="52211"/>
    <cellStyle name="specstores 5 3 3" xfId="52212"/>
    <cellStyle name="specstores 5 4" xfId="52213"/>
    <cellStyle name="specstores 5 4 2" xfId="52214"/>
    <cellStyle name="specstores 5 4 2 2" xfId="52215"/>
    <cellStyle name="specstores 5 4 3" xfId="52216"/>
    <cellStyle name="specstores 5 5" xfId="52217"/>
    <cellStyle name="specstores 6" xfId="52218"/>
    <cellStyle name="specstores 6 2" xfId="52219"/>
    <cellStyle name="specstores 6 2 2" xfId="52220"/>
    <cellStyle name="specstores 6 3" xfId="52221"/>
    <cellStyle name="specstores 7" xfId="52222"/>
    <cellStyle name="specstores 7 2" xfId="52223"/>
    <cellStyle name="specstores 7 2 2" xfId="52224"/>
    <cellStyle name="specstores 7 3" xfId="52225"/>
    <cellStyle name="specstores 8" xfId="52226"/>
    <cellStyle name="specstores 8 2" xfId="52227"/>
    <cellStyle name="specstores 8 2 2" xfId="52228"/>
    <cellStyle name="specstores 8 3" xfId="52229"/>
    <cellStyle name="specstores 9" xfId="52230"/>
    <cellStyle name="specstores 9 2" xfId="52231"/>
    <cellStyle name="StrategyDependent" xfId="52232"/>
    <cellStyle name="StrategyDependent 2" xfId="52233"/>
    <cellStyle name="StrategyDependent 2 2" xfId="52234"/>
    <cellStyle name="StrategyDependent 3" xfId="52235"/>
    <cellStyle name="StrategyDependent 3 2" xfId="52236"/>
    <cellStyle name="StrategyDependent 3 2 2" xfId="52237"/>
    <cellStyle name="StrategyDependent 3 3" xfId="52238"/>
    <cellStyle name="StrategyDependent 4" xfId="52239"/>
    <cellStyle name="StrategyDependent 4 2" xfId="52240"/>
    <cellStyle name="StrategyDependent 4 2 2" xfId="52241"/>
    <cellStyle name="StrategyDependent 4 3" xfId="52242"/>
    <cellStyle name="StrategyDependent 5" xfId="52243"/>
    <cellStyle name="Style 1" xfId="52244"/>
    <cellStyle name="Style 1 2" xfId="52245"/>
    <cellStyle name="Style 1 2 2" xfId="52246"/>
    <cellStyle name="Style 1 2 3" xfId="52247"/>
    <cellStyle name="Style 1 2 3 2" xfId="52248"/>
    <cellStyle name="Style 1 2 3 2 2" xfId="52249"/>
    <cellStyle name="Style 1 2 3 3" xfId="52250"/>
    <cellStyle name="Style 1 2 4" xfId="52251"/>
    <cellStyle name="Style 1 2 4 2" xfId="52252"/>
    <cellStyle name="Style 1 2 4 2 2" xfId="52253"/>
    <cellStyle name="Style 1 2 4 3" xfId="52254"/>
    <cellStyle name="Style 1 3" xfId="52255"/>
    <cellStyle name="Style 1 4" xfId="52256"/>
    <cellStyle name="Style 1 4 2" xfId="52257"/>
    <cellStyle name="Style 1 4 2 2" xfId="52258"/>
    <cellStyle name="Style 1 4 3" xfId="52259"/>
    <cellStyle name="Style 1 5" xfId="52260"/>
    <cellStyle name="Style 1 5 2" xfId="52261"/>
    <cellStyle name="Style 1 5 2 2" xfId="52262"/>
    <cellStyle name="Style 1 5 3" xfId="52263"/>
    <cellStyle name="Subtotal" xfId="52264"/>
    <cellStyle name="Subtotal 2" xfId="52265"/>
    <cellStyle name="Subtotal 3" xfId="52266"/>
    <cellStyle name="Subtotal 3 2" xfId="52267"/>
    <cellStyle name="Subtotal 3 2 2" xfId="52268"/>
    <cellStyle name="Subtotal 3 3" xfId="52269"/>
    <cellStyle name="Subtotal 4" xfId="52270"/>
    <cellStyle name="Subtotal 4 2" xfId="52271"/>
    <cellStyle name="Subtotal 4 2 2" xfId="52272"/>
    <cellStyle name="Subtotal 4 3" xfId="52273"/>
    <cellStyle name="Task" xfId="52274"/>
    <cellStyle name="Task 2" xfId="52275"/>
    <cellStyle name="Task 3" xfId="52276"/>
    <cellStyle name="Task 3 2" xfId="52277"/>
    <cellStyle name="Task 3 2 2" xfId="52278"/>
    <cellStyle name="Task 3 3" xfId="52279"/>
    <cellStyle name="Task 4" xfId="52280"/>
    <cellStyle name="Task 4 2" xfId="52281"/>
    <cellStyle name="Task 4 2 2" xfId="52282"/>
    <cellStyle name="Task 4 3" xfId="52283"/>
    <cellStyle name="Temp" xfId="52284"/>
    <cellStyle name="Temp 2" xfId="52285"/>
    <cellStyle name="Temp 2 2" xfId="52286"/>
    <cellStyle name="Temp 3" xfId="52287"/>
    <cellStyle name="Temp 3 2" xfId="52288"/>
    <cellStyle name="Temp 3 2 2" xfId="52289"/>
    <cellStyle name="Temp 3 3" xfId="52290"/>
    <cellStyle name="Temp 4" xfId="52291"/>
    <cellStyle name="Temp 4 2" xfId="52292"/>
    <cellStyle name="Temp 4 2 2" xfId="52293"/>
    <cellStyle name="Temp 4 3" xfId="52294"/>
    <cellStyle name="Temp 5" xfId="52295"/>
    <cellStyle name="Title 2" xfId="52296"/>
    <cellStyle name="Title 2 10" xfId="52297"/>
    <cellStyle name="Title 2 10 2" xfId="52298"/>
    <cellStyle name="Title 2 10 2 2" xfId="52299"/>
    <cellStyle name="Title 2 10 3" xfId="52300"/>
    <cellStyle name="Title 2 11" xfId="52301"/>
    <cellStyle name="Title 2 11 2" xfId="52302"/>
    <cellStyle name="Title 2 11 2 2" xfId="52303"/>
    <cellStyle name="Title 2 11 3" xfId="52304"/>
    <cellStyle name="Title 2 12" xfId="52305"/>
    <cellStyle name="Title 2 12 2" xfId="52306"/>
    <cellStyle name="Title 2 12 2 2" xfId="52307"/>
    <cellStyle name="Title 2 12 3" xfId="52308"/>
    <cellStyle name="Title 2 13" xfId="52309"/>
    <cellStyle name="Title 2 2" xfId="52310"/>
    <cellStyle name="Title 2 2 2" xfId="52311"/>
    <cellStyle name="Title 2 2 2 2" xfId="52312"/>
    <cellStyle name="Title 2 2 2 2 2" xfId="52313"/>
    <cellStyle name="Title 2 2 2 3" xfId="52314"/>
    <cellStyle name="Title 2 2 2 3 2" xfId="52315"/>
    <cellStyle name="Title 2 2 2 3 2 2" xfId="52316"/>
    <cellStyle name="Title 2 2 2 3 3" xfId="52317"/>
    <cellStyle name="Title 2 2 2 4" xfId="52318"/>
    <cellStyle name="Title 2 2 2 4 2" xfId="52319"/>
    <cellStyle name="Title 2 2 2 4 2 2" xfId="52320"/>
    <cellStyle name="Title 2 2 2 4 3" xfId="52321"/>
    <cellStyle name="Title 2 2 2 5" xfId="52322"/>
    <cellStyle name="Title 2 2 3" xfId="52323"/>
    <cellStyle name="Title 2 2 3 2" xfId="52324"/>
    <cellStyle name="Title 2 2 3 2 2" xfId="52325"/>
    <cellStyle name="Title 2 2 3 2 2 2" xfId="52326"/>
    <cellStyle name="Title 2 2 3 2 3" xfId="52327"/>
    <cellStyle name="Title 2 2 3 2 3 2" xfId="52328"/>
    <cellStyle name="Title 2 2 3 2 3 2 2" xfId="52329"/>
    <cellStyle name="Title 2 2 3 2 3 3" xfId="52330"/>
    <cellStyle name="Title 2 2 3 2 4" xfId="52331"/>
    <cellStyle name="Title 2 2 3 3" xfId="52332"/>
    <cellStyle name="Title 2 2 3 3 2" xfId="52333"/>
    <cellStyle name="Title 2 2 3 3 2 2" xfId="52334"/>
    <cellStyle name="Title 2 2 3 3 3" xfId="52335"/>
    <cellStyle name="Title 2 2 3 4" xfId="52336"/>
    <cellStyle name="Title 2 2 3 4 2" xfId="52337"/>
    <cellStyle name="Title 2 2 3 4 2 2" xfId="52338"/>
    <cellStyle name="Title 2 2 3 4 3" xfId="52339"/>
    <cellStyle name="Title 2 2 3 5" xfId="52340"/>
    <cellStyle name="Title 2 2 3 5 2" xfId="52341"/>
    <cellStyle name="Title 2 2 3 5 2 2" xfId="52342"/>
    <cellStyle name="Title 2 2 3 5 3" xfId="52343"/>
    <cellStyle name="Title 2 2 3 6" xfId="52344"/>
    <cellStyle name="Title 2 2 4" xfId="52345"/>
    <cellStyle name="Title 2 2 4 2" xfId="52346"/>
    <cellStyle name="Title 2 2 4 2 2" xfId="52347"/>
    <cellStyle name="Title 2 2 4 3" xfId="52348"/>
    <cellStyle name="Title 2 2 5" xfId="52349"/>
    <cellStyle name="Title 2 2 5 2" xfId="52350"/>
    <cellStyle name="Title 2 2 5 2 2" xfId="52351"/>
    <cellStyle name="Title 2 2 5 3" xfId="52352"/>
    <cellStyle name="Title 2 2 6" xfId="52353"/>
    <cellStyle name="Title 2 2 6 2" xfId="52354"/>
    <cellStyle name="Title 2 2 6 2 2" xfId="52355"/>
    <cellStyle name="Title 2 2 6 3" xfId="52356"/>
    <cellStyle name="Title 2 2 7" xfId="52357"/>
    <cellStyle name="Title 2 3" xfId="52358"/>
    <cellStyle name="Title 2 3 2" xfId="52359"/>
    <cellStyle name="Title 2 3 2 2" xfId="52360"/>
    <cellStyle name="Title 2 3 2 2 2" xfId="52361"/>
    <cellStyle name="Title 2 3 2 3" xfId="52362"/>
    <cellStyle name="Title 2 3 2 3 2" xfId="52363"/>
    <cellStyle name="Title 2 3 2 3 2 2" xfId="52364"/>
    <cellStyle name="Title 2 3 2 3 3" xfId="52365"/>
    <cellStyle name="Title 2 3 2 4" xfId="52366"/>
    <cellStyle name="Title 2 3 2 4 2" xfId="52367"/>
    <cellStyle name="Title 2 3 2 4 2 2" xfId="52368"/>
    <cellStyle name="Title 2 3 2 4 3" xfId="52369"/>
    <cellStyle name="Title 2 3 2 5" xfId="52370"/>
    <cellStyle name="Title 2 3 3" xfId="52371"/>
    <cellStyle name="Title 2 3 3 2" xfId="52372"/>
    <cellStyle name="Title 2 3 3 2 2" xfId="52373"/>
    <cellStyle name="Title 2 3 3 2 2 2" xfId="52374"/>
    <cellStyle name="Title 2 3 3 2 3" xfId="52375"/>
    <cellStyle name="Title 2 3 3 2 3 2" xfId="52376"/>
    <cellStyle name="Title 2 3 3 2 3 2 2" xfId="52377"/>
    <cellStyle name="Title 2 3 3 2 3 3" xfId="52378"/>
    <cellStyle name="Title 2 3 3 2 4" xfId="52379"/>
    <cellStyle name="Title 2 3 3 3" xfId="52380"/>
    <cellStyle name="Title 2 3 3 3 2" xfId="52381"/>
    <cellStyle name="Title 2 3 3 3 2 2" xfId="52382"/>
    <cellStyle name="Title 2 3 3 3 3" xfId="52383"/>
    <cellStyle name="Title 2 3 3 4" xfId="52384"/>
    <cellStyle name="Title 2 3 3 4 2" xfId="52385"/>
    <cellStyle name="Title 2 3 3 4 2 2" xfId="52386"/>
    <cellStyle name="Title 2 3 3 4 3" xfId="52387"/>
    <cellStyle name="Title 2 3 3 5" xfId="52388"/>
    <cellStyle name="Title 2 3 3 5 2" xfId="52389"/>
    <cellStyle name="Title 2 3 3 5 2 2" xfId="52390"/>
    <cellStyle name="Title 2 3 3 5 3" xfId="52391"/>
    <cellStyle name="Title 2 3 3 6" xfId="52392"/>
    <cellStyle name="Title 2 3 4" xfId="52393"/>
    <cellStyle name="Title 2 3 4 2" xfId="52394"/>
    <cellStyle name="Title 2 3 4 2 2" xfId="52395"/>
    <cellStyle name="Title 2 3 4 3" xfId="52396"/>
    <cellStyle name="Title 2 3 5" xfId="52397"/>
    <cellStyle name="Title 2 3 5 2" xfId="52398"/>
    <cellStyle name="Title 2 3 5 2 2" xfId="52399"/>
    <cellStyle name="Title 2 3 5 3" xfId="52400"/>
    <cellStyle name="Title 2 3 6" xfId="52401"/>
    <cellStyle name="Title 2 3 6 2" xfId="52402"/>
    <cellStyle name="Title 2 3 6 2 2" xfId="52403"/>
    <cellStyle name="Title 2 3 6 3" xfId="52404"/>
    <cellStyle name="Title 2 3 7" xfId="52405"/>
    <cellStyle name="Title 2 4" xfId="52406"/>
    <cellStyle name="Title 2 4 2" xfId="52407"/>
    <cellStyle name="Title 2 4 2 2" xfId="52408"/>
    <cellStyle name="Title 2 4 2 2 2" xfId="52409"/>
    <cellStyle name="Title 2 4 2 3" xfId="52410"/>
    <cellStyle name="Title 2 4 2 3 2" xfId="52411"/>
    <cellStyle name="Title 2 4 2 3 2 2" xfId="52412"/>
    <cellStyle name="Title 2 4 2 3 3" xfId="52413"/>
    <cellStyle name="Title 2 4 2 4" xfId="52414"/>
    <cellStyle name="Title 2 4 2 4 2" xfId="52415"/>
    <cellStyle name="Title 2 4 2 4 2 2" xfId="52416"/>
    <cellStyle name="Title 2 4 2 4 3" xfId="52417"/>
    <cellStyle name="Title 2 4 2 5" xfId="52418"/>
    <cellStyle name="Title 2 4 3" xfId="52419"/>
    <cellStyle name="Title 2 4 3 2" xfId="52420"/>
    <cellStyle name="Title 2 4 3 2 2" xfId="52421"/>
    <cellStyle name="Title 2 4 3 3" xfId="52422"/>
    <cellStyle name="Title 2 4 4" xfId="52423"/>
    <cellStyle name="Title 2 4 4 2" xfId="52424"/>
    <cellStyle name="Title 2 4 4 2 2" xfId="52425"/>
    <cellStyle name="Title 2 4 4 3" xfId="52426"/>
    <cellStyle name="Title 2 4 5" xfId="52427"/>
    <cellStyle name="Title 2 4 5 2" xfId="52428"/>
    <cellStyle name="Title 2 4 5 2 2" xfId="52429"/>
    <cellStyle name="Title 2 4 5 3" xfId="52430"/>
    <cellStyle name="Title 2 4 6" xfId="52431"/>
    <cellStyle name="Title 2 5" xfId="52432"/>
    <cellStyle name="Title 2 5 2" xfId="52433"/>
    <cellStyle name="Title 2 5 2 2" xfId="52434"/>
    <cellStyle name="Title 2 5 2 2 2" xfId="52435"/>
    <cellStyle name="Title 2 5 2 3" xfId="52436"/>
    <cellStyle name="Title 2 5 2 3 2" xfId="52437"/>
    <cellStyle name="Title 2 5 2 3 2 2" xfId="52438"/>
    <cellStyle name="Title 2 5 2 3 3" xfId="52439"/>
    <cellStyle name="Title 2 5 2 4" xfId="52440"/>
    <cellStyle name="Title 2 5 2 4 2" xfId="52441"/>
    <cellStyle name="Title 2 5 2 4 2 2" xfId="52442"/>
    <cellStyle name="Title 2 5 2 4 3" xfId="52443"/>
    <cellStyle name="Title 2 5 2 5" xfId="52444"/>
    <cellStyle name="Title 2 5 3" xfId="52445"/>
    <cellStyle name="Title 2 5 3 2" xfId="52446"/>
    <cellStyle name="Title 2 5 3 2 2" xfId="52447"/>
    <cellStyle name="Title 2 5 3 2 2 2" xfId="52448"/>
    <cellStyle name="Title 2 5 3 2 3" xfId="52449"/>
    <cellStyle name="Title 2 5 3 2 3 2" xfId="52450"/>
    <cellStyle name="Title 2 5 3 2 3 2 2" xfId="52451"/>
    <cellStyle name="Title 2 5 3 2 3 3" xfId="52452"/>
    <cellStyle name="Title 2 5 3 2 4" xfId="52453"/>
    <cellStyle name="Title 2 5 3 3" xfId="52454"/>
    <cellStyle name="Title 2 5 3 3 2" xfId="52455"/>
    <cellStyle name="Title 2 5 3 3 2 2" xfId="52456"/>
    <cellStyle name="Title 2 5 3 3 3" xfId="52457"/>
    <cellStyle name="Title 2 5 3 4" xfId="52458"/>
    <cellStyle name="Title 2 5 3 4 2" xfId="52459"/>
    <cellStyle name="Title 2 5 3 4 2 2" xfId="52460"/>
    <cellStyle name="Title 2 5 3 4 3" xfId="52461"/>
    <cellStyle name="Title 2 5 3 5" xfId="52462"/>
    <cellStyle name="Title 2 5 3 5 2" xfId="52463"/>
    <cellStyle name="Title 2 5 3 5 2 2" xfId="52464"/>
    <cellStyle name="Title 2 5 3 5 3" xfId="52465"/>
    <cellStyle name="Title 2 5 3 6" xfId="52466"/>
    <cellStyle name="Title 2 5 4" xfId="52467"/>
    <cellStyle name="Title 2 5 4 2" xfId="52468"/>
    <cellStyle name="Title 2 5 4 2 2" xfId="52469"/>
    <cellStyle name="Title 2 5 4 3" xfId="52470"/>
    <cellStyle name="Title 2 5 5" xfId="52471"/>
    <cellStyle name="Title 2 5 5 2" xfId="52472"/>
    <cellStyle name="Title 2 5 5 2 2" xfId="52473"/>
    <cellStyle name="Title 2 5 5 3" xfId="52474"/>
    <cellStyle name="Title 2 5 6" xfId="52475"/>
    <cellStyle name="Title 2 5 6 2" xfId="52476"/>
    <cellStyle name="Title 2 5 6 2 2" xfId="52477"/>
    <cellStyle name="Title 2 5 6 3" xfId="52478"/>
    <cellStyle name="Title 2 5 7" xfId="52479"/>
    <cellStyle name="Title 2 6" xfId="52480"/>
    <cellStyle name="Title 2 6 2" xfId="52481"/>
    <cellStyle name="Title 2 6 2 2" xfId="52482"/>
    <cellStyle name="Title 2 6 3" xfId="52483"/>
    <cellStyle name="Title 2 6 3 2" xfId="52484"/>
    <cellStyle name="Title 2 6 3 2 2" xfId="52485"/>
    <cellStyle name="Title 2 6 3 3" xfId="52486"/>
    <cellStyle name="Title 2 6 4" xfId="52487"/>
    <cellStyle name="Title 2 6 4 2" xfId="52488"/>
    <cellStyle name="Title 2 6 4 2 2" xfId="52489"/>
    <cellStyle name="Title 2 6 4 3" xfId="52490"/>
    <cellStyle name="Title 2 6 5" xfId="52491"/>
    <cellStyle name="Title 2 7" xfId="52492"/>
    <cellStyle name="Title 2 7 2" xfId="52493"/>
    <cellStyle name="Title 2 7 2 2" xfId="52494"/>
    <cellStyle name="Title 2 7 3" xfId="52495"/>
    <cellStyle name="Title 2 7 3 2" xfId="52496"/>
    <cellStyle name="Title 2 7 3 2 2" xfId="52497"/>
    <cellStyle name="Title 2 7 3 3" xfId="52498"/>
    <cellStyle name="Title 2 7 4" xfId="52499"/>
    <cellStyle name="Title 2 7 4 2" xfId="52500"/>
    <cellStyle name="Title 2 7 4 2 2" xfId="52501"/>
    <cellStyle name="Title 2 7 4 3" xfId="52502"/>
    <cellStyle name="Title 2 7 5" xfId="52503"/>
    <cellStyle name="Title 2 8" xfId="52504"/>
    <cellStyle name="Title 2 8 2" xfId="52505"/>
    <cellStyle name="Title 2 8 2 2" xfId="52506"/>
    <cellStyle name="Title 2 8 2 2 2" xfId="52507"/>
    <cellStyle name="Title 2 8 2 3" xfId="52508"/>
    <cellStyle name="Title 2 8 2 3 2" xfId="52509"/>
    <cellStyle name="Title 2 8 2 3 2 2" xfId="52510"/>
    <cellStyle name="Title 2 8 2 3 3" xfId="52511"/>
    <cellStyle name="Title 2 8 2 4" xfId="52512"/>
    <cellStyle name="Title 2 8 3" xfId="52513"/>
    <cellStyle name="Title 2 8 3 2" xfId="52514"/>
    <cellStyle name="Title 2 8 3 2 2" xfId="52515"/>
    <cellStyle name="Title 2 8 3 3" xfId="52516"/>
    <cellStyle name="Title 2 8 4" xfId="52517"/>
    <cellStyle name="Title 2 8 4 2" xfId="52518"/>
    <cellStyle name="Title 2 8 4 2 2" xfId="52519"/>
    <cellStyle name="Title 2 8 4 3" xfId="52520"/>
    <cellStyle name="Title 2 8 5" xfId="52521"/>
    <cellStyle name="Title 2 8 5 2" xfId="52522"/>
    <cellStyle name="Title 2 8 5 2 2" xfId="52523"/>
    <cellStyle name="Title 2 8 5 3" xfId="52524"/>
    <cellStyle name="Title 2 8 6" xfId="52525"/>
    <cellStyle name="Title 2 9" xfId="52526"/>
    <cellStyle name="Title 2 9 2" xfId="52527"/>
    <cellStyle name="Title 2 9 2 2" xfId="52528"/>
    <cellStyle name="Title 2 9 3" xfId="52529"/>
    <cellStyle name="Title 3" xfId="52530"/>
    <cellStyle name="Title 3 2" xfId="52531"/>
    <cellStyle name="Title 3 2 2" xfId="52532"/>
    <cellStyle name="Title 3 2 2 2" xfId="52533"/>
    <cellStyle name="Title 3 2 3" xfId="52534"/>
    <cellStyle name="Title 3 2 3 2" xfId="52535"/>
    <cellStyle name="Title 3 2 3 2 2" xfId="52536"/>
    <cellStyle name="Title 3 2 3 3" xfId="52537"/>
    <cellStyle name="Title 3 2 4" xfId="52538"/>
    <cellStyle name="Title 3 2 4 2" xfId="52539"/>
    <cellStyle name="Title 3 2 4 2 2" xfId="52540"/>
    <cellStyle name="Title 3 2 4 3" xfId="52541"/>
    <cellStyle name="Title 3 2 5" xfId="52542"/>
    <cellStyle name="Title 3 3" xfId="52543"/>
    <cellStyle name="Title 3 3 2" xfId="52544"/>
    <cellStyle name="Title 3 3 2 2" xfId="52545"/>
    <cellStyle name="Title 3 3 3" xfId="52546"/>
    <cellStyle name="Title 3 3 3 2" xfId="52547"/>
    <cellStyle name="Title 3 3 3 2 2" xfId="52548"/>
    <cellStyle name="Title 3 3 3 3" xfId="52549"/>
    <cellStyle name="Title 3 3 4" xfId="52550"/>
    <cellStyle name="Title 3 3 4 2" xfId="52551"/>
    <cellStyle name="Title 3 3 4 2 2" xfId="52552"/>
    <cellStyle name="Title 3 3 4 3" xfId="52553"/>
    <cellStyle name="Title 3 3 5" xfId="52554"/>
    <cellStyle name="Title 3 4" xfId="52555"/>
    <cellStyle name="Title 3 4 2" xfId="52556"/>
    <cellStyle name="Title 3 4 2 2" xfId="52557"/>
    <cellStyle name="Title 3 4 2 2 2" xfId="52558"/>
    <cellStyle name="Title 3 4 2 3" xfId="52559"/>
    <cellStyle name="Title 3 4 2 3 2" xfId="52560"/>
    <cellStyle name="Title 3 4 2 3 2 2" xfId="52561"/>
    <cellStyle name="Title 3 4 2 3 3" xfId="52562"/>
    <cellStyle name="Title 3 4 2 4" xfId="52563"/>
    <cellStyle name="Title 3 4 3" xfId="52564"/>
    <cellStyle name="Title 3 4 3 2" xfId="52565"/>
    <cellStyle name="Title 3 4 3 2 2" xfId="52566"/>
    <cellStyle name="Title 3 4 3 3" xfId="52567"/>
    <cellStyle name="Title 3 4 4" xfId="52568"/>
    <cellStyle name="Title 3 4 4 2" xfId="52569"/>
    <cellStyle name="Title 3 4 4 2 2" xfId="52570"/>
    <cellStyle name="Title 3 4 4 3" xfId="52571"/>
    <cellStyle name="Title 3 4 5" xfId="52572"/>
    <cellStyle name="Title 3 4 5 2" xfId="52573"/>
    <cellStyle name="Title 3 4 5 2 2" xfId="52574"/>
    <cellStyle name="Title 3 4 5 3" xfId="52575"/>
    <cellStyle name="Title 3 4 6" xfId="52576"/>
    <cellStyle name="Title 3 5" xfId="52577"/>
    <cellStyle name="Title 3 5 2" xfId="52578"/>
    <cellStyle name="Title 3 5 2 2" xfId="52579"/>
    <cellStyle name="Title 3 5 3" xfId="52580"/>
    <cellStyle name="Title 3 6" xfId="52581"/>
    <cellStyle name="Title 3 6 2" xfId="52582"/>
    <cellStyle name="Title 3 6 2 2" xfId="52583"/>
    <cellStyle name="Title 3 6 3" xfId="52584"/>
    <cellStyle name="Title 3 7" xfId="52585"/>
    <cellStyle name="Title 3 7 2" xfId="52586"/>
    <cellStyle name="Title 3 7 2 2" xfId="52587"/>
    <cellStyle name="Title 3 7 3" xfId="52588"/>
    <cellStyle name="Title 3 8" xfId="52589"/>
    <cellStyle name="Title 4" xfId="52590"/>
    <cellStyle name="Title 4 2" xfId="52591"/>
    <cellStyle name="Title 4 2 2" xfId="52592"/>
    <cellStyle name="Title 4 2 2 2" xfId="52593"/>
    <cellStyle name="Title 4 2 3" xfId="52594"/>
    <cellStyle name="Title 4 2 3 2" xfId="52595"/>
    <cellStyle name="Title 4 2 3 2 2" xfId="52596"/>
    <cellStyle name="Title 4 2 3 3" xfId="52597"/>
    <cellStyle name="Title 4 2 4" xfId="52598"/>
    <cellStyle name="Title 4 2 4 2" xfId="52599"/>
    <cellStyle name="Title 4 2 4 2 2" xfId="52600"/>
    <cellStyle name="Title 4 2 4 3" xfId="52601"/>
    <cellStyle name="Title 4 2 5" xfId="52602"/>
    <cellStyle name="Title 4 3" xfId="52603"/>
    <cellStyle name="Title 4 3 2" xfId="52604"/>
    <cellStyle name="Title 4 3 2 2" xfId="52605"/>
    <cellStyle name="Title 4 3 2 2 2" xfId="52606"/>
    <cellStyle name="Title 4 3 2 3" xfId="52607"/>
    <cellStyle name="Title 4 3 2 3 2" xfId="52608"/>
    <cellStyle name="Title 4 3 2 3 2 2" xfId="52609"/>
    <cellStyle name="Title 4 3 2 3 3" xfId="52610"/>
    <cellStyle name="Title 4 3 2 4" xfId="52611"/>
    <cellStyle name="Title 4 3 3" xfId="52612"/>
    <cellStyle name="Title 4 3 3 2" xfId="52613"/>
    <cellStyle name="Title 4 3 3 2 2" xfId="52614"/>
    <cellStyle name="Title 4 3 3 3" xfId="52615"/>
    <cellStyle name="Title 4 3 4" xfId="52616"/>
    <cellStyle name="Title 4 3 4 2" xfId="52617"/>
    <cellStyle name="Title 4 3 4 2 2" xfId="52618"/>
    <cellStyle name="Title 4 3 4 3" xfId="52619"/>
    <cellStyle name="Title 4 3 5" xfId="52620"/>
    <cellStyle name="Title 4 3 5 2" xfId="52621"/>
    <cellStyle name="Title 4 3 5 2 2" xfId="52622"/>
    <cellStyle name="Title 4 3 5 3" xfId="52623"/>
    <cellStyle name="Title 4 3 6" xfId="52624"/>
    <cellStyle name="Title 4 4" xfId="52625"/>
    <cellStyle name="Title 4 4 2" xfId="52626"/>
    <cellStyle name="Title 4 4 2 2" xfId="52627"/>
    <cellStyle name="Title 4 4 3" xfId="52628"/>
    <cellStyle name="Title 4 5" xfId="52629"/>
    <cellStyle name="Title 4 5 2" xfId="52630"/>
    <cellStyle name="Title 4 5 2 2" xfId="52631"/>
    <cellStyle name="Title 4 5 3" xfId="52632"/>
    <cellStyle name="Title 4 6" xfId="52633"/>
    <cellStyle name="Title 4 6 2" xfId="52634"/>
    <cellStyle name="Title 4 6 2 2" xfId="52635"/>
    <cellStyle name="Title 4 6 3" xfId="52636"/>
    <cellStyle name="Title 4 7" xfId="52637"/>
    <cellStyle name="Title 5" xfId="52638"/>
    <cellStyle name="Title 5 2" xfId="52639"/>
    <cellStyle name="Title 5 2 2" xfId="52640"/>
    <cellStyle name="Title 5 2 2 2" xfId="52641"/>
    <cellStyle name="Title 5 2 3" xfId="52642"/>
    <cellStyle name="Title 5 2 3 2" xfId="52643"/>
    <cellStyle name="Title 5 2 3 2 2" xfId="52644"/>
    <cellStyle name="Title 5 2 3 3" xfId="52645"/>
    <cellStyle name="Title 5 2 4" xfId="52646"/>
    <cellStyle name="Title 5 2 4 2" xfId="52647"/>
    <cellStyle name="Title 5 2 4 2 2" xfId="52648"/>
    <cellStyle name="Title 5 2 4 3" xfId="52649"/>
    <cellStyle name="Title 5 2 5" xfId="52650"/>
    <cellStyle name="Title 5 3" xfId="52651"/>
    <cellStyle name="Title 5 3 2" xfId="52652"/>
    <cellStyle name="Title 5 3 2 2" xfId="52653"/>
    <cellStyle name="Title 5 3 2 2 2" xfId="52654"/>
    <cellStyle name="Title 5 3 2 3" xfId="52655"/>
    <cellStyle name="Title 5 3 2 3 2" xfId="52656"/>
    <cellStyle name="Title 5 3 2 3 2 2" xfId="52657"/>
    <cellStyle name="Title 5 3 2 3 3" xfId="52658"/>
    <cellStyle name="Title 5 3 2 4" xfId="52659"/>
    <cellStyle name="Title 5 3 3" xfId="52660"/>
    <cellStyle name="Title 5 3 3 2" xfId="52661"/>
    <cellStyle name="Title 5 3 3 2 2" xfId="52662"/>
    <cellStyle name="Title 5 3 3 3" xfId="52663"/>
    <cellStyle name="Title 5 3 4" xfId="52664"/>
    <cellStyle name="Title 5 3 4 2" xfId="52665"/>
    <cellStyle name="Title 5 3 4 2 2" xfId="52666"/>
    <cellStyle name="Title 5 3 4 3" xfId="52667"/>
    <cellStyle name="Title 5 3 5" xfId="52668"/>
    <cellStyle name="Title 5 3 5 2" xfId="52669"/>
    <cellStyle name="Title 5 3 5 2 2" xfId="52670"/>
    <cellStyle name="Title 5 3 5 3" xfId="52671"/>
    <cellStyle name="Title 5 3 6" xfId="52672"/>
    <cellStyle name="Title 5 4" xfId="52673"/>
    <cellStyle name="Title 5 4 2" xfId="52674"/>
    <cellStyle name="Title 5 4 2 2" xfId="52675"/>
    <cellStyle name="Title 5 4 3" xfId="52676"/>
    <cellStyle name="Title 5 5" xfId="52677"/>
    <cellStyle name="Title 5 5 2" xfId="52678"/>
    <cellStyle name="Title 5 5 2 2" xfId="52679"/>
    <cellStyle name="Title 5 5 3" xfId="52680"/>
    <cellStyle name="Title 5 6" xfId="52681"/>
    <cellStyle name="Title 5 6 2" xfId="52682"/>
    <cellStyle name="Title 5 6 2 2" xfId="52683"/>
    <cellStyle name="Title 5 6 3" xfId="52684"/>
    <cellStyle name="Title 5 7" xfId="52685"/>
    <cellStyle name="Title 6" xfId="52686"/>
    <cellStyle name="Title 6 2" xfId="52687"/>
    <cellStyle name="Title 6 2 2" xfId="52688"/>
    <cellStyle name="Title 6 2 2 2" xfId="52689"/>
    <cellStyle name="Title 6 2 3" xfId="52690"/>
    <cellStyle name="Title 6 2 3 2" xfId="52691"/>
    <cellStyle name="Title 6 2 3 2 2" xfId="52692"/>
    <cellStyle name="Title 6 2 3 3" xfId="52693"/>
    <cellStyle name="Title 6 2 4" xfId="52694"/>
    <cellStyle name="Title 6 2 4 2" xfId="52695"/>
    <cellStyle name="Title 6 2 4 2 2" xfId="52696"/>
    <cellStyle name="Title 6 2 4 3" xfId="52697"/>
    <cellStyle name="Title 6 2 5" xfId="52698"/>
    <cellStyle name="Title 6 3" xfId="52699"/>
    <cellStyle name="Title 6 3 2" xfId="52700"/>
    <cellStyle name="Title 6 3 2 2" xfId="52701"/>
    <cellStyle name="Title 6 3 3" xfId="52702"/>
    <cellStyle name="Title 6 4" xfId="52703"/>
    <cellStyle name="Title 6 4 2" xfId="52704"/>
    <cellStyle name="Title 6 4 2 2" xfId="52705"/>
    <cellStyle name="Title 6 4 3" xfId="52706"/>
    <cellStyle name="Title 6 5" xfId="52707"/>
    <cellStyle name="Title 6 5 2" xfId="52708"/>
    <cellStyle name="Title 6 5 2 2" xfId="52709"/>
    <cellStyle name="Title 6 5 3" xfId="52710"/>
    <cellStyle name="Title 6 6" xfId="52711"/>
    <cellStyle name="Title 7" xfId="52712"/>
    <cellStyle name="Title 8" xfId="52713"/>
    <cellStyle name="Total 10" xfId="52714"/>
    <cellStyle name="Total 2" xfId="52715"/>
    <cellStyle name="Total 2 10" xfId="52716"/>
    <cellStyle name="Total 2 10 2" xfId="52717"/>
    <cellStyle name="Total 2 10 2 2" xfId="52718"/>
    <cellStyle name="Total 2 10 3" xfId="52719"/>
    <cellStyle name="Total 2 11" xfId="52720"/>
    <cellStyle name="Total 2 11 2" xfId="52721"/>
    <cellStyle name="Total 2 11 2 2" xfId="52722"/>
    <cellStyle name="Total 2 11 3" xfId="52723"/>
    <cellStyle name="Total 2 12" xfId="52724"/>
    <cellStyle name="Total 2 12 2" xfId="52725"/>
    <cellStyle name="Total 2 12 2 2" xfId="52726"/>
    <cellStyle name="Total 2 12 2 2 2" xfId="52727"/>
    <cellStyle name="Total 2 12 2 3" xfId="52728"/>
    <cellStyle name="Total 2 12 3" xfId="52729"/>
    <cellStyle name="Total 2 12 3 2" xfId="52730"/>
    <cellStyle name="Total 2 12 4" xfId="52731"/>
    <cellStyle name="Total 2 12 4 2" xfId="52732"/>
    <cellStyle name="Total 2 12 5" xfId="52733"/>
    <cellStyle name="Total 2 13" xfId="52734"/>
    <cellStyle name="Total 2 13 2" xfId="52735"/>
    <cellStyle name="Total 2 13 3" xfId="52736"/>
    <cellStyle name="Total 2 14" xfId="52737"/>
    <cellStyle name="Total 2 14 2" xfId="52738"/>
    <cellStyle name="Total 2 15" xfId="52739"/>
    <cellStyle name="Total 2 16" xfId="52740"/>
    <cellStyle name="Total 2 2" xfId="52741"/>
    <cellStyle name="Total 2 2 2" xfId="52742"/>
    <cellStyle name="Total 2 2 2 2" xfId="52743"/>
    <cellStyle name="Total 2 2 2 2 2" xfId="52744"/>
    <cellStyle name="Total 2 2 2 3" xfId="52745"/>
    <cellStyle name="Total 2 2 2 3 2" xfId="52746"/>
    <cellStyle name="Total 2 2 2 3 2 2" xfId="52747"/>
    <cellStyle name="Total 2 2 2 3 3" xfId="52748"/>
    <cellStyle name="Total 2 2 2 4" xfId="52749"/>
    <cellStyle name="Total 2 2 2 4 2" xfId="52750"/>
    <cellStyle name="Total 2 2 2 4 2 2" xfId="52751"/>
    <cellStyle name="Total 2 2 2 4 3" xfId="52752"/>
    <cellStyle name="Total 2 2 2 5" xfId="52753"/>
    <cellStyle name="Total 2 2 3" xfId="52754"/>
    <cellStyle name="Total 2 2 3 2" xfId="52755"/>
    <cellStyle name="Total 2 2 3 2 2" xfId="52756"/>
    <cellStyle name="Total 2 2 3 2 2 2" xfId="52757"/>
    <cellStyle name="Total 2 2 3 2 3" xfId="52758"/>
    <cellStyle name="Total 2 2 3 2 3 2" xfId="52759"/>
    <cellStyle name="Total 2 2 3 2 3 2 2" xfId="52760"/>
    <cellStyle name="Total 2 2 3 2 3 3" xfId="52761"/>
    <cellStyle name="Total 2 2 3 2 4" xfId="52762"/>
    <cellStyle name="Total 2 2 3 3" xfId="52763"/>
    <cellStyle name="Total 2 2 3 3 2" xfId="52764"/>
    <cellStyle name="Total 2 2 3 3 2 2" xfId="52765"/>
    <cellStyle name="Total 2 2 3 3 3" xfId="52766"/>
    <cellStyle name="Total 2 2 3 4" xfId="52767"/>
    <cellStyle name="Total 2 2 3 4 2" xfId="52768"/>
    <cellStyle name="Total 2 2 3 4 2 2" xfId="52769"/>
    <cellStyle name="Total 2 2 3 4 3" xfId="52770"/>
    <cellStyle name="Total 2 2 3 5" xfId="52771"/>
    <cellStyle name="Total 2 2 3 5 2" xfId="52772"/>
    <cellStyle name="Total 2 2 3 5 2 2" xfId="52773"/>
    <cellStyle name="Total 2 2 3 5 3" xfId="52774"/>
    <cellStyle name="Total 2 2 3 6" xfId="52775"/>
    <cellStyle name="Total 2 2 4" xfId="52776"/>
    <cellStyle name="Total 2 2 4 2" xfId="52777"/>
    <cellStyle name="Total 2 2 4 2 2" xfId="52778"/>
    <cellStyle name="Total 2 2 4 3" xfId="52779"/>
    <cellStyle name="Total 2 2 5" xfId="52780"/>
    <cellStyle name="Total 2 2 5 2" xfId="52781"/>
    <cellStyle name="Total 2 2 5 2 2" xfId="52782"/>
    <cellStyle name="Total 2 2 5 3" xfId="52783"/>
    <cellStyle name="Total 2 2 6" xfId="52784"/>
    <cellStyle name="Total 2 2 6 2" xfId="52785"/>
    <cellStyle name="Total 2 2 6 2 2" xfId="52786"/>
    <cellStyle name="Total 2 2 6 3" xfId="52787"/>
    <cellStyle name="Total 2 2 7" xfId="52788"/>
    <cellStyle name="Total 2 3" xfId="52789"/>
    <cellStyle name="Total 2 3 2" xfId="52790"/>
    <cellStyle name="Total 2 3 2 2" xfId="52791"/>
    <cellStyle name="Total 2 3 2 2 2" xfId="52792"/>
    <cellStyle name="Total 2 3 2 2 2 2" xfId="52793"/>
    <cellStyle name="Total 2 3 2 2 3" xfId="52794"/>
    <cellStyle name="Total 2 3 2 3" xfId="52795"/>
    <cellStyle name="Total 2 3 2 3 2" xfId="52796"/>
    <cellStyle name="Total 2 3 2 3 2 2" xfId="52797"/>
    <cellStyle name="Total 2 3 2 3 3" xfId="52798"/>
    <cellStyle name="Total 2 3 2 4" xfId="52799"/>
    <cellStyle name="Total 2 3 2 4 2" xfId="52800"/>
    <cellStyle name="Total 2 3 2 4 2 2" xfId="52801"/>
    <cellStyle name="Total 2 3 2 4 3" xfId="52802"/>
    <cellStyle name="Total 2 3 2 5" xfId="52803"/>
    <cellStyle name="Total 2 3 2 5 2" xfId="52804"/>
    <cellStyle name="Total 2 3 2 6" xfId="52805"/>
    <cellStyle name="Total 2 3 3" xfId="52806"/>
    <cellStyle name="Total 2 3 3 2" xfId="52807"/>
    <cellStyle name="Total 2 3 3 2 2" xfId="52808"/>
    <cellStyle name="Total 2 3 3 2 2 2" xfId="52809"/>
    <cellStyle name="Total 2 3 3 2 2 2 2" xfId="52810"/>
    <cellStyle name="Total 2 3 3 2 2 3" xfId="52811"/>
    <cellStyle name="Total 2 3 3 2 3" xfId="52812"/>
    <cellStyle name="Total 2 3 3 2 3 2" xfId="52813"/>
    <cellStyle name="Total 2 3 3 2 3 2 2" xfId="52814"/>
    <cellStyle name="Total 2 3 3 2 3 3" xfId="52815"/>
    <cellStyle name="Total 2 3 3 2 4" xfId="52816"/>
    <cellStyle name="Total 2 3 3 2 4 2" xfId="52817"/>
    <cellStyle name="Total 2 3 3 2 5" xfId="52818"/>
    <cellStyle name="Total 2 3 3 3" xfId="52819"/>
    <cellStyle name="Total 2 3 3 3 2" xfId="52820"/>
    <cellStyle name="Total 2 3 3 3 2 2" xfId="52821"/>
    <cellStyle name="Total 2 3 3 3 2 2 2" xfId="52822"/>
    <cellStyle name="Total 2 3 3 3 2 3" xfId="52823"/>
    <cellStyle name="Total 2 3 3 3 3" xfId="52824"/>
    <cellStyle name="Total 2 3 3 3 3 2" xfId="52825"/>
    <cellStyle name="Total 2 3 3 3 4" xfId="52826"/>
    <cellStyle name="Total 2 3 3 4" xfId="52827"/>
    <cellStyle name="Total 2 3 3 4 2" xfId="52828"/>
    <cellStyle name="Total 2 3 3 4 2 2" xfId="52829"/>
    <cellStyle name="Total 2 3 3 4 3" xfId="52830"/>
    <cellStyle name="Total 2 3 3 5" xfId="52831"/>
    <cellStyle name="Total 2 3 3 5 2" xfId="52832"/>
    <cellStyle name="Total 2 3 3 5 2 2" xfId="52833"/>
    <cellStyle name="Total 2 3 3 5 3" xfId="52834"/>
    <cellStyle name="Total 2 3 3 6" xfId="52835"/>
    <cellStyle name="Total 2 3 3 6 2" xfId="52836"/>
    <cellStyle name="Total 2 3 3 7" xfId="52837"/>
    <cellStyle name="Total 2 3 4" xfId="52838"/>
    <cellStyle name="Total 2 3 4 2" xfId="52839"/>
    <cellStyle name="Total 2 3 4 2 2" xfId="52840"/>
    <cellStyle name="Total 2 3 4 2 2 2" xfId="52841"/>
    <cellStyle name="Total 2 3 4 2 3" xfId="52842"/>
    <cellStyle name="Total 2 3 4 3" xfId="52843"/>
    <cellStyle name="Total 2 3 4 3 2" xfId="52844"/>
    <cellStyle name="Total 2 3 4 4" xfId="52845"/>
    <cellStyle name="Total 2 3 5" xfId="52846"/>
    <cellStyle name="Total 2 3 5 2" xfId="52847"/>
    <cellStyle name="Total 2 3 5 2 2" xfId="52848"/>
    <cellStyle name="Total 2 3 5 3" xfId="52849"/>
    <cellStyle name="Total 2 3 6" xfId="52850"/>
    <cellStyle name="Total 2 3 6 2" xfId="52851"/>
    <cellStyle name="Total 2 3 6 2 2" xfId="52852"/>
    <cellStyle name="Total 2 3 6 3" xfId="52853"/>
    <cellStyle name="Total 2 3 7" xfId="52854"/>
    <cellStyle name="Total 2 3 7 2" xfId="52855"/>
    <cellStyle name="Total 2 3 8" xfId="52856"/>
    <cellStyle name="Total 2 4" xfId="52857"/>
    <cellStyle name="Total 2 4 2" xfId="52858"/>
    <cellStyle name="Total 2 4 2 2" xfId="52859"/>
    <cellStyle name="Total 2 4 2 2 2" xfId="52860"/>
    <cellStyle name="Total 2 4 2 2 2 2" xfId="52861"/>
    <cellStyle name="Total 2 4 2 2 3" xfId="52862"/>
    <cellStyle name="Total 2 4 2 3" xfId="52863"/>
    <cellStyle name="Total 2 4 2 3 2" xfId="52864"/>
    <cellStyle name="Total 2 4 2 3 2 2" xfId="52865"/>
    <cellStyle name="Total 2 4 2 3 3" xfId="52866"/>
    <cellStyle name="Total 2 4 2 4" xfId="52867"/>
    <cellStyle name="Total 2 4 2 4 2" xfId="52868"/>
    <cellStyle name="Total 2 4 2 4 2 2" xfId="52869"/>
    <cellStyle name="Total 2 4 2 4 3" xfId="52870"/>
    <cellStyle name="Total 2 4 2 5" xfId="52871"/>
    <cellStyle name="Total 2 4 2 5 2" xfId="52872"/>
    <cellStyle name="Total 2 4 2 6" xfId="52873"/>
    <cellStyle name="Total 2 4 3" xfId="52874"/>
    <cellStyle name="Total 2 4 3 2" xfId="52875"/>
    <cellStyle name="Total 2 4 3 2 2" xfId="52876"/>
    <cellStyle name="Total 2 4 3 2 2 2" xfId="52877"/>
    <cellStyle name="Total 2 4 3 2 3" xfId="52878"/>
    <cellStyle name="Total 2 4 3 3" xfId="52879"/>
    <cellStyle name="Total 2 4 3 3 2" xfId="52880"/>
    <cellStyle name="Total 2 4 3 4" xfId="52881"/>
    <cellStyle name="Total 2 4 4" xfId="52882"/>
    <cellStyle name="Total 2 4 4 2" xfId="52883"/>
    <cellStyle name="Total 2 4 4 2 2" xfId="52884"/>
    <cellStyle name="Total 2 4 4 3" xfId="52885"/>
    <cellStyle name="Total 2 4 5" xfId="52886"/>
    <cellStyle name="Total 2 4 5 2" xfId="52887"/>
    <cellStyle name="Total 2 4 5 2 2" xfId="52888"/>
    <cellStyle name="Total 2 4 5 3" xfId="52889"/>
    <cellStyle name="Total 2 4 6" xfId="52890"/>
    <cellStyle name="Total 2 4 6 2" xfId="52891"/>
    <cellStyle name="Total 2 4 7" xfId="52892"/>
    <cellStyle name="Total 2 5" xfId="52893"/>
    <cellStyle name="Total 2 5 2" xfId="52894"/>
    <cellStyle name="Total 2 5 2 2" xfId="52895"/>
    <cellStyle name="Total 2 5 2 2 2" xfId="52896"/>
    <cellStyle name="Total 2 5 2 2 2 2" xfId="52897"/>
    <cellStyle name="Total 2 5 2 2 3" xfId="52898"/>
    <cellStyle name="Total 2 5 2 3" xfId="52899"/>
    <cellStyle name="Total 2 5 2 3 2" xfId="52900"/>
    <cellStyle name="Total 2 5 2 3 2 2" xfId="52901"/>
    <cellStyle name="Total 2 5 2 3 3" xfId="52902"/>
    <cellStyle name="Total 2 5 2 4" xfId="52903"/>
    <cellStyle name="Total 2 5 2 4 2" xfId="52904"/>
    <cellStyle name="Total 2 5 2 4 2 2" xfId="52905"/>
    <cellStyle name="Total 2 5 2 4 3" xfId="52906"/>
    <cellStyle name="Total 2 5 2 5" xfId="52907"/>
    <cellStyle name="Total 2 5 2 5 2" xfId="52908"/>
    <cellStyle name="Total 2 5 2 6" xfId="52909"/>
    <cellStyle name="Total 2 5 3" xfId="52910"/>
    <cellStyle name="Total 2 5 3 2" xfId="52911"/>
    <cellStyle name="Total 2 5 3 2 2" xfId="52912"/>
    <cellStyle name="Total 2 5 3 2 2 2" xfId="52913"/>
    <cellStyle name="Total 2 5 3 2 2 2 2" xfId="52914"/>
    <cellStyle name="Total 2 5 3 2 2 3" xfId="52915"/>
    <cellStyle name="Total 2 5 3 2 3" xfId="52916"/>
    <cellStyle name="Total 2 5 3 2 3 2" xfId="52917"/>
    <cellStyle name="Total 2 5 3 2 3 2 2" xfId="52918"/>
    <cellStyle name="Total 2 5 3 2 3 3" xfId="52919"/>
    <cellStyle name="Total 2 5 3 2 4" xfId="52920"/>
    <cellStyle name="Total 2 5 3 2 4 2" xfId="52921"/>
    <cellStyle name="Total 2 5 3 2 5" xfId="52922"/>
    <cellStyle name="Total 2 5 3 3" xfId="52923"/>
    <cellStyle name="Total 2 5 3 3 2" xfId="52924"/>
    <cellStyle name="Total 2 5 3 3 2 2" xfId="52925"/>
    <cellStyle name="Total 2 5 3 3 2 2 2" xfId="52926"/>
    <cellStyle name="Total 2 5 3 3 2 3" xfId="52927"/>
    <cellStyle name="Total 2 5 3 3 3" xfId="52928"/>
    <cellStyle name="Total 2 5 3 3 3 2" xfId="52929"/>
    <cellStyle name="Total 2 5 3 3 4" xfId="52930"/>
    <cellStyle name="Total 2 5 3 4" xfId="52931"/>
    <cellStyle name="Total 2 5 3 4 2" xfId="52932"/>
    <cellStyle name="Total 2 5 3 4 2 2" xfId="52933"/>
    <cellStyle name="Total 2 5 3 4 3" xfId="52934"/>
    <cellStyle name="Total 2 5 3 5" xfId="52935"/>
    <cellStyle name="Total 2 5 3 5 2" xfId="52936"/>
    <cellStyle name="Total 2 5 3 5 2 2" xfId="52937"/>
    <cellStyle name="Total 2 5 3 5 3" xfId="52938"/>
    <cellStyle name="Total 2 5 3 6" xfId="52939"/>
    <cellStyle name="Total 2 5 3 6 2" xfId="52940"/>
    <cellStyle name="Total 2 5 3 7" xfId="52941"/>
    <cellStyle name="Total 2 5 4" xfId="52942"/>
    <cellStyle name="Total 2 5 4 2" xfId="52943"/>
    <cellStyle name="Total 2 5 4 2 2" xfId="52944"/>
    <cellStyle name="Total 2 5 4 2 2 2" xfId="52945"/>
    <cellStyle name="Total 2 5 4 2 3" xfId="52946"/>
    <cellStyle name="Total 2 5 4 3" xfId="52947"/>
    <cellStyle name="Total 2 5 4 3 2" xfId="52948"/>
    <cellStyle name="Total 2 5 4 4" xfId="52949"/>
    <cellStyle name="Total 2 5 5" xfId="52950"/>
    <cellStyle name="Total 2 5 5 2" xfId="52951"/>
    <cellStyle name="Total 2 5 5 2 2" xfId="52952"/>
    <cellStyle name="Total 2 5 5 3" xfId="52953"/>
    <cellStyle name="Total 2 5 6" xfId="52954"/>
    <cellStyle name="Total 2 5 6 2" xfId="52955"/>
    <cellStyle name="Total 2 5 6 2 2" xfId="52956"/>
    <cellStyle name="Total 2 5 6 3" xfId="52957"/>
    <cellStyle name="Total 2 5 7" xfId="52958"/>
    <cellStyle name="Total 2 5 7 2" xfId="52959"/>
    <cellStyle name="Total 2 5 8" xfId="52960"/>
    <cellStyle name="Total 2 6" xfId="52961"/>
    <cellStyle name="Total 2 6 2" xfId="52962"/>
    <cellStyle name="Total 2 6 2 2" xfId="52963"/>
    <cellStyle name="Total 2 6 2 2 2" xfId="52964"/>
    <cellStyle name="Total 2 6 2 3" xfId="52965"/>
    <cellStyle name="Total 2 6 3" xfId="52966"/>
    <cellStyle name="Total 2 6 3 2" xfId="52967"/>
    <cellStyle name="Total 2 6 3 2 2" xfId="52968"/>
    <cellStyle name="Total 2 6 3 3" xfId="52969"/>
    <cellStyle name="Total 2 6 4" xfId="52970"/>
    <cellStyle name="Total 2 6 4 2" xfId="52971"/>
    <cellStyle name="Total 2 6 4 2 2" xfId="52972"/>
    <cellStyle name="Total 2 6 4 3" xfId="52973"/>
    <cellStyle name="Total 2 6 5" xfId="52974"/>
    <cellStyle name="Total 2 6 5 2" xfId="52975"/>
    <cellStyle name="Total 2 6 6" xfId="52976"/>
    <cellStyle name="Total 2 7" xfId="52977"/>
    <cellStyle name="Total 2 7 2" xfId="52978"/>
    <cellStyle name="Total 2 7 2 2" xfId="52979"/>
    <cellStyle name="Total 2 7 2 2 2" xfId="52980"/>
    <cellStyle name="Total 2 7 2 3" xfId="52981"/>
    <cellStyle name="Total 2 7 3" xfId="52982"/>
    <cellStyle name="Total 2 7 3 2" xfId="52983"/>
    <cellStyle name="Total 2 7 3 2 2" xfId="52984"/>
    <cellStyle name="Total 2 7 3 3" xfId="52985"/>
    <cellStyle name="Total 2 7 4" xfId="52986"/>
    <cellStyle name="Total 2 7 4 2" xfId="52987"/>
    <cellStyle name="Total 2 7 4 2 2" xfId="52988"/>
    <cellStyle name="Total 2 7 4 3" xfId="52989"/>
    <cellStyle name="Total 2 7 5" xfId="52990"/>
    <cellStyle name="Total 2 7 5 2" xfId="52991"/>
    <cellStyle name="Total 2 7 6" xfId="52992"/>
    <cellStyle name="Total 2 8" xfId="52993"/>
    <cellStyle name="Total 2 8 2" xfId="52994"/>
    <cellStyle name="Total 2 8 2 2" xfId="52995"/>
    <cellStyle name="Total 2 8 2 2 2" xfId="52996"/>
    <cellStyle name="Total 2 8 2 2 2 2" xfId="52997"/>
    <cellStyle name="Total 2 8 2 2 3" xfId="52998"/>
    <cellStyle name="Total 2 8 2 3" xfId="52999"/>
    <cellStyle name="Total 2 8 2 3 2" xfId="53000"/>
    <cellStyle name="Total 2 8 2 3 2 2" xfId="53001"/>
    <cellStyle name="Total 2 8 2 3 3" xfId="53002"/>
    <cellStyle name="Total 2 8 2 4" xfId="53003"/>
    <cellStyle name="Total 2 8 2 4 2" xfId="53004"/>
    <cellStyle name="Total 2 8 2 5" xfId="53005"/>
    <cellStyle name="Total 2 8 3" xfId="53006"/>
    <cellStyle name="Total 2 8 3 2" xfId="53007"/>
    <cellStyle name="Total 2 8 3 2 2" xfId="53008"/>
    <cellStyle name="Total 2 8 3 2 2 2" xfId="53009"/>
    <cellStyle name="Total 2 8 3 2 3" xfId="53010"/>
    <cellStyle name="Total 2 8 3 3" xfId="53011"/>
    <cellStyle name="Total 2 8 3 3 2" xfId="53012"/>
    <cellStyle name="Total 2 8 3 4" xfId="53013"/>
    <cellStyle name="Total 2 8 4" xfId="53014"/>
    <cellStyle name="Total 2 8 4 2" xfId="53015"/>
    <cellStyle name="Total 2 8 4 2 2" xfId="53016"/>
    <cellStyle name="Total 2 8 4 3" xfId="53017"/>
    <cellStyle name="Total 2 8 5" xfId="53018"/>
    <cellStyle name="Total 2 8 5 2" xfId="53019"/>
    <cellStyle name="Total 2 8 5 2 2" xfId="53020"/>
    <cellStyle name="Total 2 8 5 3" xfId="53021"/>
    <cellStyle name="Total 2 8 6" xfId="53022"/>
    <cellStyle name="Total 2 8 6 2" xfId="53023"/>
    <cellStyle name="Total 2 8 7" xfId="53024"/>
    <cellStyle name="Total 2 9" xfId="53025"/>
    <cellStyle name="Total 2 9 2" xfId="53026"/>
    <cellStyle name="Total 2 9 2 2" xfId="53027"/>
    <cellStyle name="Total 2 9 2 2 2" xfId="53028"/>
    <cellStyle name="Total 2 9 2 3" xfId="53029"/>
    <cellStyle name="Total 2 9 3" xfId="53030"/>
    <cellStyle name="Total 2 9 3 2" xfId="53031"/>
    <cellStyle name="Total 2 9 4" xfId="53032"/>
    <cellStyle name="Total 3" xfId="53033"/>
    <cellStyle name="Total 3 2" xfId="53034"/>
    <cellStyle name="Total 3 2 2" xfId="53035"/>
    <cellStyle name="Total 3 2 2 2" xfId="53036"/>
    <cellStyle name="Total 3 2 2 2 2" xfId="53037"/>
    <cellStyle name="Total 3 2 2 3" xfId="53038"/>
    <cellStyle name="Total 3 2 3" xfId="53039"/>
    <cellStyle name="Total 3 2 3 2" xfId="53040"/>
    <cellStyle name="Total 3 2 3 2 2" xfId="53041"/>
    <cellStyle name="Total 3 2 3 3" xfId="53042"/>
    <cellStyle name="Total 3 2 4" xfId="53043"/>
    <cellStyle name="Total 3 2 4 2" xfId="53044"/>
    <cellStyle name="Total 3 2 4 2 2" xfId="53045"/>
    <cellStyle name="Total 3 2 4 3" xfId="53046"/>
    <cellStyle name="Total 3 2 5" xfId="53047"/>
    <cellStyle name="Total 3 2 5 2" xfId="53048"/>
    <cellStyle name="Total 3 2 6" xfId="53049"/>
    <cellStyle name="Total 3 3" xfId="53050"/>
    <cellStyle name="Total 3 3 2" xfId="53051"/>
    <cellStyle name="Total 3 3 2 2" xfId="53052"/>
    <cellStyle name="Total 3 3 3" xfId="53053"/>
    <cellStyle name="Total 3 3 3 2" xfId="53054"/>
    <cellStyle name="Total 3 3 3 2 2" xfId="53055"/>
    <cellStyle name="Total 3 3 3 3" xfId="53056"/>
    <cellStyle name="Total 3 3 4" xfId="53057"/>
    <cellStyle name="Total 3 3 4 2" xfId="53058"/>
    <cellStyle name="Total 3 3 4 2 2" xfId="53059"/>
    <cellStyle name="Total 3 3 4 3" xfId="53060"/>
    <cellStyle name="Total 3 3 5" xfId="53061"/>
    <cellStyle name="Total 3 4" xfId="53062"/>
    <cellStyle name="Total 3 4 2" xfId="53063"/>
    <cellStyle name="Total 3 4 2 2" xfId="53064"/>
    <cellStyle name="Total 3 4 2 2 2" xfId="53065"/>
    <cellStyle name="Total 3 4 2 3" xfId="53066"/>
    <cellStyle name="Total 3 4 2 3 2" xfId="53067"/>
    <cellStyle name="Total 3 4 2 3 2 2" xfId="53068"/>
    <cellStyle name="Total 3 4 2 3 3" xfId="53069"/>
    <cellStyle name="Total 3 4 2 4" xfId="53070"/>
    <cellStyle name="Total 3 4 3" xfId="53071"/>
    <cellStyle name="Total 3 4 3 2" xfId="53072"/>
    <cellStyle name="Total 3 4 3 2 2" xfId="53073"/>
    <cellStyle name="Total 3 4 3 3" xfId="53074"/>
    <cellStyle name="Total 3 4 4" xfId="53075"/>
    <cellStyle name="Total 3 4 4 2" xfId="53076"/>
    <cellStyle name="Total 3 4 4 2 2" xfId="53077"/>
    <cellStyle name="Total 3 4 4 3" xfId="53078"/>
    <cellStyle name="Total 3 4 5" xfId="53079"/>
    <cellStyle name="Total 3 4 5 2" xfId="53080"/>
    <cellStyle name="Total 3 4 5 2 2" xfId="53081"/>
    <cellStyle name="Total 3 4 5 3" xfId="53082"/>
    <cellStyle name="Total 3 4 6" xfId="53083"/>
    <cellStyle name="Total 3 5" xfId="53084"/>
    <cellStyle name="Total 3 5 2" xfId="53085"/>
    <cellStyle name="Total 3 5 2 2" xfId="53086"/>
    <cellStyle name="Total 3 5 3" xfId="53087"/>
    <cellStyle name="Total 3 6" xfId="53088"/>
    <cellStyle name="Total 3 6 2" xfId="53089"/>
    <cellStyle name="Total 3 6 2 2" xfId="53090"/>
    <cellStyle name="Total 3 6 3" xfId="53091"/>
    <cellStyle name="Total 3 7" xfId="53092"/>
    <cellStyle name="Total 3 7 2" xfId="53093"/>
    <cellStyle name="Total 3 7 2 2" xfId="53094"/>
    <cellStyle name="Total 3 7 3" xfId="53095"/>
    <cellStyle name="Total 3 8" xfId="53096"/>
    <cellStyle name="Total 4" xfId="53097"/>
    <cellStyle name="Total 4 2" xfId="53098"/>
    <cellStyle name="Total 4 2 2" xfId="53099"/>
    <cellStyle name="Total 4 2 2 2" xfId="53100"/>
    <cellStyle name="Total 4 2 3" xfId="53101"/>
    <cellStyle name="Total 4 2 3 2" xfId="53102"/>
    <cellStyle name="Total 4 2 3 2 2" xfId="53103"/>
    <cellStyle name="Total 4 2 3 3" xfId="53104"/>
    <cellStyle name="Total 4 2 4" xfId="53105"/>
    <cellStyle name="Total 4 2 4 2" xfId="53106"/>
    <cellStyle name="Total 4 2 4 2 2" xfId="53107"/>
    <cellStyle name="Total 4 2 4 3" xfId="53108"/>
    <cellStyle name="Total 4 2 5" xfId="53109"/>
    <cellStyle name="Total 4 3" xfId="53110"/>
    <cellStyle name="Total 4 3 2" xfId="53111"/>
    <cellStyle name="Total 4 3 2 2" xfId="53112"/>
    <cellStyle name="Total 4 3 2 2 2" xfId="53113"/>
    <cellStyle name="Total 4 3 2 3" xfId="53114"/>
    <cellStyle name="Total 4 3 2 3 2" xfId="53115"/>
    <cellStyle name="Total 4 3 2 3 2 2" xfId="53116"/>
    <cellStyle name="Total 4 3 2 3 3" xfId="53117"/>
    <cellStyle name="Total 4 3 2 4" xfId="53118"/>
    <cellStyle name="Total 4 3 3" xfId="53119"/>
    <cellStyle name="Total 4 3 3 2" xfId="53120"/>
    <cellStyle name="Total 4 3 3 2 2" xfId="53121"/>
    <cellStyle name="Total 4 3 3 3" xfId="53122"/>
    <cellStyle name="Total 4 3 4" xfId="53123"/>
    <cellStyle name="Total 4 3 4 2" xfId="53124"/>
    <cellStyle name="Total 4 3 4 2 2" xfId="53125"/>
    <cellStyle name="Total 4 3 4 3" xfId="53126"/>
    <cellStyle name="Total 4 3 5" xfId="53127"/>
    <cellStyle name="Total 4 3 5 2" xfId="53128"/>
    <cellStyle name="Total 4 3 5 2 2" xfId="53129"/>
    <cellStyle name="Total 4 3 5 3" xfId="53130"/>
    <cellStyle name="Total 4 3 6" xfId="53131"/>
    <cellStyle name="Total 4 4" xfId="53132"/>
    <cellStyle name="Total 4 4 2" xfId="53133"/>
    <cellStyle name="Total 4 4 2 2" xfId="53134"/>
    <cellStyle name="Total 4 4 3" xfId="53135"/>
    <cellStyle name="Total 4 5" xfId="53136"/>
    <cellStyle name="Total 4 5 2" xfId="53137"/>
    <cellStyle name="Total 4 5 2 2" xfId="53138"/>
    <cellStyle name="Total 4 5 3" xfId="53139"/>
    <cellStyle name="Total 4 6" xfId="53140"/>
    <cellStyle name="Total 4 6 2" xfId="53141"/>
    <cellStyle name="Total 4 6 2 2" xfId="53142"/>
    <cellStyle name="Total 4 6 3" xfId="53143"/>
    <cellStyle name="Total 4 7" xfId="53144"/>
    <cellStyle name="Total 5" xfId="53145"/>
    <cellStyle name="Total 5 2" xfId="53146"/>
    <cellStyle name="Total 5 2 2" xfId="53147"/>
    <cellStyle name="Total 5 2 2 2" xfId="53148"/>
    <cellStyle name="Total 5 2 2 2 2" xfId="53149"/>
    <cellStyle name="Total 5 2 2 3" xfId="53150"/>
    <cellStyle name="Total 5 2 3" xfId="53151"/>
    <cellStyle name="Total 5 2 3 2" xfId="53152"/>
    <cellStyle name="Total 5 2 3 2 2" xfId="53153"/>
    <cellStyle name="Total 5 2 3 3" xfId="53154"/>
    <cellStyle name="Total 5 2 4" xfId="53155"/>
    <cellStyle name="Total 5 2 4 2" xfId="53156"/>
    <cellStyle name="Total 5 2 4 2 2" xfId="53157"/>
    <cellStyle name="Total 5 2 4 3" xfId="53158"/>
    <cellStyle name="Total 5 2 5" xfId="53159"/>
    <cellStyle name="Total 5 2 5 2" xfId="53160"/>
    <cellStyle name="Total 5 2 6" xfId="53161"/>
    <cellStyle name="Total 5 3" xfId="53162"/>
    <cellStyle name="Total 5 3 2" xfId="53163"/>
    <cellStyle name="Total 5 3 2 2" xfId="53164"/>
    <cellStyle name="Total 5 3 2 2 2" xfId="53165"/>
    <cellStyle name="Total 5 3 2 2 2 2" xfId="53166"/>
    <cellStyle name="Total 5 3 2 2 3" xfId="53167"/>
    <cellStyle name="Total 5 3 2 3" xfId="53168"/>
    <cellStyle name="Total 5 3 2 3 2" xfId="53169"/>
    <cellStyle name="Total 5 3 2 3 2 2" xfId="53170"/>
    <cellStyle name="Total 5 3 2 3 3" xfId="53171"/>
    <cellStyle name="Total 5 3 2 4" xfId="53172"/>
    <cellStyle name="Total 5 3 2 4 2" xfId="53173"/>
    <cellStyle name="Total 5 3 2 5" xfId="53174"/>
    <cellStyle name="Total 5 3 3" xfId="53175"/>
    <cellStyle name="Total 5 3 3 2" xfId="53176"/>
    <cellStyle name="Total 5 3 3 2 2" xfId="53177"/>
    <cellStyle name="Total 5 3 3 2 2 2" xfId="53178"/>
    <cellStyle name="Total 5 3 3 2 3" xfId="53179"/>
    <cellStyle name="Total 5 3 3 3" xfId="53180"/>
    <cellStyle name="Total 5 3 3 3 2" xfId="53181"/>
    <cellStyle name="Total 5 3 3 4" xfId="53182"/>
    <cellStyle name="Total 5 3 4" xfId="53183"/>
    <cellStyle name="Total 5 3 4 2" xfId="53184"/>
    <cellStyle name="Total 5 3 4 2 2" xfId="53185"/>
    <cellStyle name="Total 5 3 4 3" xfId="53186"/>
    <cellStyle name="Total 5 3 5" xfId="53187"/>
    <cellStyle name="Total 5 3 5 2" xfId="53188"/>
    <cellStyle name="Total 5 3 5 2 2" xfId="53189"/>
    <cellStyle name="Total 5 3 5 3" xfId="53190"/>
    <cellStyle name="Total 5 3 6" xfId="53191"/>
    <cellStyle name="Total 5 3 6 2" xfId="53192"/>
    <cellStyle name="Total 5 3 7" xfId="53193"/>
    <cellStyle name="Total 5 4" xfId="53194"/>
    <cellStyle name="Total 5 4 2" xfId="53195"/>
    <cellStyle name="Total 5 4 2 2" xfId="53196"/>
    <cellStyle name="Total 5 4 2 2 2" xfId="53197"/>
    <cellStyle name="Total 5 4 2 3" xfId="53198"/>
    <cellStyle name="Total 5 4 3" xfId="53199"/>
    <cellStyle name="Total 5 4 3 2" xfId="53200"/>
    <cellStyle name="Total 5 4 4" xfId="53201"/>
    <cellStyle name="Total 5 5" xfId="53202"/>
    <cellStyle name="Total 5 5 2" xfId="53203"/>
    <cellStyle name="Total 5 5 2 2" xfId="53204"/>
    <cellStyle name="Total 5 5 3" xfId="53205"/>
    <cellStyle name="Total 5 6" xfId="53206"/>
    <cellStyle name="Total 5 6 2" xfId="53207"/>
    <cellStyle name="Total 5 6 2 2" xfId="53208"/>
    <cellStyle name="Total 5 6 3" xfId="53209"/>
    <cellStyle name="Total 5 7" xfId="53210"/>
    <cellStyle name="Total 5 7 2" xfId="53211"/>
    <cellStyle name="Total 5 8" xfId="53212"/>
    <cellStyle name="Total 6" xfId="53213"/>
    <cellStyle name="Total 6 2" xfId="53214"/>
    <cellStyle name="Total 6 2 2" xfId="53215"/>
    <cellStyle name="Total 6 2 2 2" xfId="53216"/>
    <cellStyle name="Total 6 2 2 2 2" xfId="53217"/>
    <cellStyle name="Total 6 2 2 2 2 2" xfId="53218"/>
    <cellStyle name="Total 6 2 2 2 3" xfId="53219"/>
    <cellStyle name="Total 6 2 2 3" xfId="53220"/>
    <cellStyle name="Total 6 2 2 3 2" xfId="53221"/>
    <cellStyle name="Total 6 2 2 3 2 2" xfId="53222"/>
    <cellStyle name="Total 6 2 2 3 3" xfId="53223"/>
    <cellStyle name="Total 6 2 2 4" xfId="53224"/>
    <cellStyle name="Total 6 2 2 4 2" xfId="53225"/>
    <cellStyle name="Total 6 2 2 4 2 2" xfId="53226"/>
    <cellStyle name="Total 6 2 2 4 3" xfId="53227"/>
    <cellStyle name="Total 6 2 2 5" xfId="53228"/>
    <cellStyle name="Total 6 2 2 5 2" xfId="53229"/>
    <cellStyle name="Total 6 2 2 6" xfId="53230"/>
    <cellStyle name="Total 6 2 3" xfId="53231"/>
    <cellStyle name="Total 6 2 3 2" xfId="53232"/>
    <cellStyle name="Total 6 2 3 2 2" xfId="53233"/>
    <cellStyle name="Total 6 2 3 2 2 2" xfId="53234"/>
    <cellStyle name="Total 6 2 3 2 3" xfId="53235"/>
    <cellStyle name="Total 6 2 3 3" xfId="53236"/>
    <cellStyle name="Total 6 2 3 3 2" xfId="53237"/>
    <cellStyle name="Total 6 2 3 4" xfId="53238"/>
    <cellStyle name="Total 6 2 4" xfId="53239"/>
    <cellStyle name="Total 6 2 4 2" xfId="53240"/>
    <cellStyle name="Total 6 2 4 2 2" xfId="53241"/>
    <cellStyle name="Total 6 2 4 3" xfId="53242"/>
    <cellStyle name="Total 6 2 5" xfId="53243"/>
    <cellStyle name="Total 6 2 5 2" xfId="53244"/>
    <cellStyle name="Total 6 2 5 2 2" xfId="53245"/>
    <cellStyle name="Total 6 2 5 3" xfId="53246"/>
    <cellStyle name="Total 6 2 6" xfId="53247"/>
    <cellStyle name="Total 6 2 6 2" xfId="53248"/>
    <cellStyle name="Total 6 2 7" xfId="53249"/>
    <cellStyle name="Total 6 3" xfId="53250"/>
    <cellStyle name="Total 6 4" xfId="53251"/>
    <cellStyle name="Total 6 4 2" xfId="53252"/>
    <cellStyle name="Total 6 4 2 2" xfId="53253"/>
    <cellStyle name="Total 6 4 3" xfId="53254"/>
    <cellStyle name="Total 6 5" xfId="53255"/>
    <cellStyle name="Total 6 5 2" xfId="53256"/>
    <cellStyle name="Total 6 5 2 2" xfId="53257"/>
    <cellStyle name="Total 6 5 3" xfId="53258"/>
    <cellStyle name="Total 7" xfId="53259"/>
    <cellStyle name="Total 7 2" xfId="53260"/>
    <cellStyle name="Total 8" xfId="53261"/>
    <cellStyle name="Total 8 2" xfId="53262"/>
    <cellStyle name="Total 9" xfId="53263"/>
    <cellStyle name="Unprot" xfId="53264"/>
    <cellStyle name="Unprot 2" xfId="53265"/>
    <cellStyle name="Unprot 2 2" xfId="53266"/>
    <cellStyle name="Unprot 2 3" xfId="53267"/>
    <cellStyle name="Unprot 2 3 2" xfId="53268"/>
    <cellStyle name="Unprot 2 3 2 2" xfId="53269"/>
    <cellStyle name="Unprot 2 3 3" xfId="53270"/>
    <cellStyle name="Unprot 2 4" xfId="53271"/>
    <cellStyle name="Unprot 2 4 2" xfId="53272"/>
    <cellStyle name="Unprot 2 4 2 2" xfId="53273"/>
    <cellStyle name="Unprot 2 4 3" xfId="53274"/>
    <cellStyle name="Unprot 3" xfId="53275"/>
    <cellStyle name="Unprot 4" xfId="53276"/>
    <cellStyle name="Unprot 4 2" xfId="53277"/>
    <cellStyle name="Unprot 4 2 2" xfId="53278"/>
    <cellStyle name="Unprot 4 3" xfId="53279"/>
    <cellStyle name="Unprot 5" xfId="53280"/>
    <cellStyle name="Unprot 5 2" xfId="53281"/>
    <cellStyle name="Unprot 5 2 2" xfId="53282"/>
    <cellStyle name="Unprot 5 3" xfId="53283"/>
    <cellStyle name="Unprot$" xfId="53284"/>
    <cellStyle name="Unprot$ 2" xfId="53285"/>
    <cellStyle name="Unprot$ 2 2" xfId="53286"/>
    <cellStyle name="Unprot$ 2 3" xfId="53287"/>
    <cellStyle name="Unprot$ 2 3 2" xfId="53288"/>
    <cellStyle name="Unprot$ 2 3 2 2" xfId="53289"/>
    <cellStyle name="Unprot$ 2 3 3" xfId="53290"/>
    <cellStyle name="Unprot$ 2 4" xfId="53291"/>
    <cellStyle name="Unprot$ 2 4 2" xfId="53292"/>
    <cellStyle name="Unprot$ 2 4 2 2" xfId="53293"/>
    <cellStyle name="Unprot$ 2 4 3" xfId="53294"/>
    <cellStyle name="Unprot$ 3" xfId="53295"/>
    <cellStyle name="Unprot$ 4" xfId="53296"/>
    <cellStyle name="Unprot$ 4 2" xfId="53297"/>
    <cellStyle name="Unprot$ 4 2 2" xfId="53298"/>
    <cellStyle name="Unprot$ 4 3" xfId="53299"/>
    <cellStyle name="Unprot$ 5" xfId="53300"/>
    <cellStyle name="Unprot$ 5 2" xfId="53301"/>
    <cellStyle name="Unprot$ 5 2 2" xfId="53302"/>
    <cellStyle name="Unprot$ 5 3" xfId="53303"/>
    <cellStyle name="Unprot$ 6" xfId="53304"/>
    <cellStyle name="Unprot_Atlas" xfId="53305"/>
    <cellStyle name="Unprotect" xfId="53306"/>
    <cellStyle name="Unprotect 2" xfId="53307"/>
    <cellStyle name="Unprotect 3" xfId="53308"/>
    <cellStyle name="Unprotect 3 2" xfId="53309"/>
    <cellStyle name="Unprotect 3 2 2" xfId="53310"/>
    <cellStyle name="Unprotect 3 3" xfId="53311"/>
    <cellStyle name="Unprotect 4" xfId="53312"/>
    <cellStyle name="Unprotect 4 2" xfId="53313"/>
    <cellStyle name="Unprotect 4 2 2" xfId="53314"/>
    <cellStyle name="Unprotect 4 3" xfId="53315"/>
    <cellStyle name="Warning Text 2" xfId="53316"/>
    <cellStyle name="Warning Text 2 10" xfId="53317"/>
    <cellStyle name="Warning Text 2 10 2" xfId="53318"/>
    <cellStyle name="Warning Text 2 11" xfId="53319"/>
    <cellStyle name="Warning Text 2 12" xfId="53320"/>
    <cellStyle name="Warning Text 2 2" xfId="53321"/>
    <cellStyle name="Warning Text 2 2 2" xfId="53322"/>
    <cellStyle name="Warning Text 2 2 2 2" xfId="53323"/>
    <cellStyle name="Warning Text 2 2 2 2 2" xfId="53324"/>
    <cellStyle name="Warning Text 2 2 2 3" xfId="53325"/>
    <cellStyle name="Warning Text 2 2 2 3 2" xfId="53326"/>
    <cellStyle name="Warning Text 2 2 2 3 2 2" xfId="53327"/>
    <cellStyle name="Warning Text 2 2 2 3 3" xfId="53328"/>
    <cellStyle name="Warning Text 2 2 2 4" xfId="53329"/>
    <cellStyle name="Warning Text 2 2 2 4 2" xfId="53330"/>
    <cellStyle name="Warning Text 2 2 2 4 2 2" xfId="53331"/>
    <cellStyle name="Warning Text 2 2 2 4 3" xfId="53332"/>
    <cellStyle name="Warning Text 2 2 2 5" xfId="53333"/>
    <cellStyle name="Warning Text 2 2 3" xfId="53334"/>
    <cellStyle name="Warning Text 2 2 3 2" xfId="53335"/>
    <cellStyle name="Warning Text 2 2 3 2 2" xfId="53336"/>
    <cellStyle name="Warning Text 2 2 3 2 2 2" xfId="53337"/>
    <cellStyle name="Warning Text 2 2 3 2 3" xfId="53338"/>
    <cellStyle name="Warning Text 2 2 3 2 3 2" xfId="53339"/>
    <cellStyle name="Warning Text 2 2 3 2 3 2 2" xfId="53340"/>
    <cellStyle name="Warning Text 2 2 3 2 3 3" xfId="53341"/>
    <cellStyle name="Warning Text 2 2 3 2 4" xfId="53342"/>
    <cellStyle name="Warning Text 2 2 3 3" xfId="53343"/>
    <cellStyle name="Warning Text 2 2 3 3 2" xfId="53344"/>
    <cellStyle name="Warning Text 2 2 3 3 2 2" xfId="53345"/>
    <cellStyle name="Warning Text 2 2 3 3 3" xfId="53346"/>
    <cellStyle name="Warning Text 2 2 3 4" xfId="53347"/>
    <cellStyle name="Warning Text 2 2 3 4 2" xfId="53348"/>
    <cellStyle name="Warning Text 2 2 3 4 2 2" xfId="53349"/>
    <cellStyle name="Warning Text 2 2 3 4 3" xfId="53350"/>
    <cellStyle name="Warning Text 2 2 3 5" xfId="53351"/>
    <cellStyle name="Warning Text 2 2 3 5 2" xfId="53352"/>
    <cellStyle name="Warning Text 2 2 3 5 2 2" xfId="53353"/>
    <cellStyle name="Warning Text 2 2 3 5 3" xfId="53354"/>
    <cellStyle name="Warning Text 2 2 3 6" xfId="53355"/>
    <cellStyle name="Warning Text 2 2 4" xfId="53356"/>
    <cellStyle name="Warning Text 2 2 4 2" xfId="53357"/>
    <cellStyle name="Warning Text 2 2 4 2 2" xfId="53358"/>
    <cellStyle name="Warning Text 2 2 4 3" xfId="53359"/>
    <cellStyle name="Warning Text 2 2 5" xfId="53360"/>
    <cellStyle name="Warning Text 2 2 5 2" xfId="53361"/>
    <cellStyle name="Warning Text 2 2 5 2 2" xfId="53362"/>
    <cellStyle name="Warning Text 2 2 5 3" xfId="53363"/>
    <cellStyle name="Warning Text 2 2 6" xfId="53364"/>
    <cellStyle name="Warning Text 2 2 6 2" xfId="53365"/>
    <cellStyle name="Warning Text 2 2 6 2 2" xfId="53366"/>
    <cellStyle name="Warning Text 2 2 6 3" xfId="53367"/>
    <cellStyle name="Warning Text 2 2 7" xfId="53368"/>
    <cellStyle name="Warning Text 2 3" xfId="53369"/>
    <cellStyle name="Warning Text 2 3 2" xfId="53370"/>
    <cellStyle name="Warning Text 2 3 2 2" xfId="53371"/>
    <cellStyle name="Warning Text 2 3 2 2 2" xfId="53372"/>
    <cellStyle name="Warning Text 2 3 2 3" xfId="53373"/>
    <cellStyle name="Warning Text 2 3 2 3 2" xfId="53374"/>
    <cellStyle name="Warning Text 2 3 2 3 2 2" xfId="53375"/>
    <cellStyle name="Warning Text 2 3 2 3 3" xfId="53376"/>
    <cellStyle name="Warning Text 2 3 2 4" xfId="53377"/>
    <cellStyle name="Warning Text 2 3 2 4 2" xfId="53378"/>
    <cellStyle name="Warning Text 2 3 2 4 2 2" xfId="53379"/>
    <cellStyle name="Warning Text 2 3 2 4 3" xfId="53380"/>
    <cellStyle name="Warning Text 2 3 2 5" xfId="53381"/>
    <cellStyle name="Warning Text 2 3 3" xfId="53382"/>
    <cellStyle name="Warning Text 2 3 3 2" xfId="53383"/>
    <cellStyle name="Warning Text 2 3 3 2 2" xfId="53384"/>
    <cellStyle name="Warning Text 2 3 3 2 2 2" xfId="53385"/>
    <cellStyle name="Warning Text 2 3 3 2 3" xfId="53386"/>
    <cellStyle name="Warning Text 2 3 3 2 3 2" xfId="53387"/>
    <cellStyle name="Warning Text 2 3 3 2 3 2 2" xfId="53388"/>
    <cellStyle name="Warning Text 2 3 3 2 3 3" xfId="53389"/>
    <cellStyle name="Warning Text 2 3 3 2 4" xfId="53390"/>
    <cellStyle name="Warning Text 2 3 3 3" xfId="53391"/>
    <cellStyle name="Warning Text 2 3 3 3 2" xfId="53392"/>
    <cellStyle name="Warning Text 2 3 3 3 2 2" xfId="53393"/>
    <cellStyle name="Warning Text 2 3 3 3 3" xfId="53394"/>
    <cellStyle name="Warning Text 2 3 3 4" xfId="53395"/>
    <cellStyle name="Warning Text 2 3 3 4 2" xfId="53396"/>
    <cellStyle name="Warning Text 2 3 3 4 2 2" xfId="53397"/>
    <cellStyle name="Warning Text 2 3 3 4 3" xfId="53398"/>
    <cellStyle name="Warning Text 2 3 3 5" xfId="53399"/>
    <cellStyle name="Warning Text 2 3 3 5 2" xfId="53400"/>
    <cellStyle name="Warning Text 2 3 3 5 2 2" xfId="53401"/>
    <cellStyle name="Warning Text 2 3 3 5 3" xfId="53402"/>
    <cellStyle name="Warning Text 2 3 3 6" xfId="53403"/>
    <cellStyle name="Warning Text 2 3 4" xfId="53404"/>
    <cellStyle name="Warning Text 2 3 4 2" xfId="53405"/>
    <cellStyle name="Warning Text 2 3 4 2 2" xfId="53406"/>
    <cellStyle name="Warning Text 2 3 4 3" xfId="53407"/>
    <cellStyle name="Warning Text 2 3 5" xfId="53408"/>
    <cellStyle name="Warning Text 2 3 5 2" xfId="53409"/>
    <cellStyle name="Warning Text 2 3 5 2 2" xfId="53410"/>
    <cellStyle name="Warning Text 2 3 5 3" xfId="53411"/>
    <cellStyle name="Warning Text 2 3 6" xfId="53412"/>
    <cellStyle name="Warning Text 2 3 6 2" xfId="53413"/>
    <cellStyle name="Warning Text 2 3 6 2 2" xfId="53414"/>
    <cellStyle name="Warning Text 2 3 6 3" xfId="53415"/>
    <cellStyle name="Warning Text 2 3 7" xfId="53416"/>
    <cellStyle name="Warning Text 2 4" xfId="53417"/>
    <cellStyle name="Warning Text 2 4 2" xfId="53418"/>
    <cellStyle name="Warning Text 2 4 2 2" xfId="53419"/>
    <cellStyle name="Warning Text 2 4 2 2 2" xfId="53420"/>
    <cellStyle name="Warning Text 2 4 2 3" xfId="53421"/>
    <cellStyle name="Warning Text 2 4 2 3 2" xfId="53422"/>
    <cellStyle name="Warning Text 2 4 2 3 2 2" xfId="53423"/>
    <cellStyle name="Warning Text 2 4 2 3 3" xfId="53424"/>
    <cellStyle name="Warning Text 2 4 2 4" xfId="53425"/>
    <cellStyle name="Warning Text 2 4 2 4 2" xfId="53426"/>
    <cellStyle name="Warning Text 2 4 2 4 2 2" xfId="53427"/>
    <cellStyle name="Warning Text 2 4 2 4 3" xfId="53428"/>
    <cellStyle name="Warning Text 2 4 2 5" xfId="53429"/>
    <cellStyle name="Warning Text 2 4 3" xfId="53430"/>
    <cellStyle name="Warning Text 2 4 3 2" xfId="53431"/>
    <cellStyle name="Warning Text 2 4 3 2 2" xfId="53432"/>
    <cellStyle name="Warning Text 2 4 3 3" xfId="53433"/>
    <cellStyle name="Warning Text 2 4 4" xfId="53434"/>
    <cellStyle name="Warning Text 2 4 4 2" xfId="53435"/>
    <cellStyle name="Warning Text 2 4 4 2 2" xfId="53436"/>
    <cellStyle name="Warning Text 2 4 4 3" xfId="53437"/>
    <cellStyle name="Warning Text 2 4 5" xfId="53438"/>
    <cellStyle name="Warning Text 2 4 5 2" xfId="53439"/>
    <cellStyle name="Warning Text 2 4 5 2 2" xfId="53440"/>
    <cellStyle name="Warning Text 2 4 5 3" xfId="53441"/>
    <cellStyle name="Warning Text 2 4 6" xfId="53442"/>
    <cellStyle name="Warning Text 2 5" xfId="53443"/>
    <cellStyle name="Warning Text 2 5 2" xfId="53444"/>
    <cellStyle name="Warning Text 2 5 2 2" xfId="53445"/>
    <cellStyle name="Warning Text 2 5 2 2 2" xfId="53446"/>
    <cellStyle name="Warning Text 2 5 2 3" xfId="53447"/>
    <cellStyle name="Warning Text 2 5 2 3 2" xfId="53448"/>
    <cellStyle name="Warning Text 2 5 2 3 2 2" xfId="53449"/>
    <cellStyle name="Warning Text 2 5 2 3 3" xfId="53450"/>
    <cellStyle name="Warning Text 2 5 2 4" xfId="53451"/>
    <cellStyle name="Warning Text 2 5 2 4 2" xfId="53452"/>
    <cellStyle name="Warning Text 2 5 2 4 2 2" xfId="53453"/>
    <cellStyle name="Warning Text 2 5 2 4 3" xfId="53454"/>
    <cellStyle name="Warning Text 2 5 2 5" xfId="53455"/>
    <cellStyle name="Warning Text 2 5 3" xfId="53456"/>
    <cellStyle name="Warning Text 2 5 3 2" xfId="53457"/>
    <cellStyle name="Warning Text 2 5 3 2 2" xfId="53458"/>
    <cellStyle name="Warning Text 2 5 3 3" xfId="53459"/>
    <cellStyle name="Warning Text 2 5 3 3 2" xfId="53460"/>
    <cellStyle name="Warning Text 2 5 3 3 2 2" xfId="53461"/>
    <cellStyle name="Warning Text 2 5 3 3 3" xfId="53462"/>
    <cellStyle name="Warning Text 2 5 3 4" xfId="53463"/>
    <cellStyle name="Warning Text 2 5 4" xfId="53464"/>
    <cellStyle name="Warning Text 2 5 4 2" xfId="53465"/>
    <cellStyle name="Warning Text 2 5 4 2 2" xfId="53466"/>
    <cellStyle name="Warning Text 2 5 4 3" xfId="53467"/>
    <cellStyle name="Warning Text 2 5 5" xfId="53468"/>
    <cellStyle name="Warning Text 2 5 5 2" xfId="53469"/>
    <cellStyle name="Warning Text 2 5 5 2 2" xfId="53470"/>
    <cellStyle name="Warning Text 2 5 5 3" xfId="53471"/>
    <cellStyle name="Warning Text 2 5 6" xfId="53472"/>
    <cellStyle name="Warning Text 2 5 6 2" xfId="53473"/>
    <cellStyle name="Warning Text 2 5 6 2 2" xfId="53474"/>
    <cellStyle name="Warning Text 2 5 6 3" xfId="53475"/>
    <cellStyle name="Warning Text 2 5 7" xfId="53476"/>
    <cellStyle name="Warning Text 2 6" xfId="53477"/>
    <cellStyle name="Warning Text 2 6 2" xfId="53478"/>
    <cellStyle name="Warning Text 2 6 2 2" xfId="53479"/>
    <cellStyle name="Warning Text 2 6 3" xfId="53480"/>
    <cellStyle name="Warning Text 2 7" xfId="53481"/>
    <cellStyle name="Warning Text 2 7 2" xfId="53482"/>
    <cellStyle name="Warning Text 2 7 2 2" xfId="53483"/>
    <cellStyle name="Warning Text 2 7 3" xfId="53484"/>
    <cellStyle name="Warning Text 2 8" xfId="53485"/>
    <cellStyle name="Warning Text 2 8 2" xfId="53486"/>
    <cellStyle name="Warning Text 2 8 2 2" xfId="53487"/>
    <cellStyle name="Warning Text 2 8 3" xfId="53488"/>
    <cellStyle name="Warning Text 2 9" xfId="53489"/>
    <cellStyle name="Warning Text 2 9 2" xfId="53490"/>
    <cellStyle name="Warning Text 2 9 2 2" xfId="53491"/>
    <cellStyle name="Warning Text 2 9 3" xfId="53492"/>
    <cellStyle name="Warning Text 3" xfId="53493"/>
    <cellStyle name="Warning Text 3 2" xfId="53494"/>
    <cellStyle name="Warning Text 3 2 2" xfId="53495"/>
    <cellStyle name="Warning Text 3 2 2 2" xfId="53496"/>
    <cellStyle name="Warning Text 3 2 3" xfId="53497"/>
    <cellStyle name="Warning Text 3 2 3 2" xfId="53498"/>
    <cellStyle name="Warning Text 3 2 3 2 2" xfId="53499"/>
    <cellStyle name="Warning Text 3 2 3 3" xfId="53500"/>
    <cellStyle name="Warning Text 3 2 4" xfId="53501"/>
    <cellStyle name="Warning Text 3 2 4 2" xfId="53502"/>
    <cellStyle name="Warning Text 3 2 4 2 2" xfId="53503"/>
    <cellStyle name="Warning Text 3 2 4 3" xfId="53504"/>
    <cellStyle name="Warning Text 3 2 5" xfId="53505"/>
    <cellStyle name="Warning Text 3 3" xfId="53506"/>
    <cellStyle name="Warning Text 3 3 2" xfId="53507"/>
    <cellStyle name="Warning Text 3 3 2 2" xfId="53508"/>
    <cellStyle name="Warning Text 3 3 3" xfId="53509"/>
    <cellStyle name="Warning Text 3 3 3 2" xfId="53510"/>
    <cellStyle name="Warning Text 3 3 3 2 2" xfId="53511"/>
    <cellStyle name="Warning Text 3 3 3 3" xfId="53512"/>
    <cellStyle name="Warning Text 3 3 4" xfId="53513"/>
    <cellStyle name="Warning Text 3 3 4 2" xfId="53514"/>
    <cellStyle name="Warning Text 3 3 4 2 2" xfId="53515"/>
    <cellStyle name="Warning Text 3 3 4 3" xfId="53516"/>
    <cellStyle name="Warning Text 3 3 5" xfId="53517"/>
    <cellStyle name="Warning Text 3 4" xfId="53518"/>
    <cellStyle name="Warning Text 3 4 2" xfId="53519"/>
    <cellStyle name="Warning Text 3 4 2 2" xfId="53520"/>
    <cellStyle name="Warning Text 3 4 2 2 2" xfId="53521"/>
    <cellStyle name="Warning Text 3 4 2 3" xfId="53522"/>
    <cellStyle name="Warning Text 3 4 2 3 2" xfId="53523"/>
    <cellStyle name="Warning Text 3 4 2 3 2 2" xfId="53524"/>
    <cellStyle name="Warning Text 3 4 2 3 3" xfId="53525"/>
    <cellStyle name="Warning Text 3 4 2 4" xfId="53526"/>
    <cellStyle name="Warning Text 3 4 3" xfId="53527"/>
    <cellStyle name="Warning Text 3 4 3 2" xfId="53528"/>
    <cellStyle name="Warning Text 3 4 3 2 2" xfId="53529"/>
    <cellStyle name="Warning Text 3 4 3 3" xfId="53530"/>
    <cellStyle name="Warning Text 3 4 4" xfId="53531"/>
    <cellStyle name="Warning Text 3 4 4 2" xfId="53532"/>
    <cellStyle name="Warning Text 3 4 4 2 2" xfId="53533"/>
    <cellStyle name="Warning Text 3 4 4 3" xfId="53534"/>
    <cellStyle name="Warning Text 3 4 5" xfId="53535"/>
    <cellStyle name="Warning Text 3 4 5 2" xfId="53536"/>
    <cellStyle name="Warning Text 3 4 5 2 2" xfId="53537"/>
    <cellStyle name="Warning Text 3 4 5 3" xfId="53538"/>
    <cellStyle name="Warning Text 3 4 6" xfId="53539"/>
    <cellStyle name="Warning Text 3 5" xfId="53540"/>
    <cellStyle name="Warning Text 3 5 2" xfId="53541"/>
    <cellStyle name="Warning Text 3 5 2 2" xfId="53542"/>
    <cellStyle name="Warning Text 3 5 3" xfId="53543"/>
    <cellStyle name="Warning Text 3 6" xfId="53544"/>
    <cellStyle name="Warning Text 3 6 2" xfId="53545"/>
    <cellStyle name="Warning Text 3 6 2 2" xfId="53546"/>
    <cellStyle name="Warning Text 3 6 3" xfId="53547"/>
    <cellStyle name="Warning Text 3 7" xfId="53548"/>
    <cellStyle name="Warning Text 3 7 2" xfId="53549"/>
    <cellStyle name="Warning Text 3 7 2 2" xfId="53550"/>
    <cellStyle name="Warning Text 3 7 3" xfId="53551"/>
    <cellStyle name="Warning Text 3 8" xfId="53552"/>
    <cellStyle name="Warning Text 4" xfId="53553"/>
    <cellStyle name="Warning Text 4 2" xfId="53554"/>
    <cellStyle name="Warning Text 4 2 2" xfId="53555"/>
    <cellStyle name="Warning Text 4 2 2 2" xfId="53556"/>
    <cellStyle name="Warning Text 4 2 3" xfId="53557"/>
    <cellStyle name="Warning Text 4 2 3 2" xfId="53558"/>
    <cellStyle name="Warning Text 4 2 3 2 2" xfId="53559"/>
    <cellStyle name="Warning Text 4 2 3 3" xfId="53560"/>
    <cellStyle name="Warning Text 4 2 4" xfId="53561"/>
    <cellStyle name="Warning Text 4 2 4 2" xfId="53562"/>
    <cellStyle name="Warning Text 4 2 4 2 2" xfId="53563"/>
    <cellStyle name="Warning Text 4 2 4 3" xfId="53564"/>
    <cellStyle name="Warning Text 4 2 5" xfId="53565"/>
    <cellStyle name="Warning Text 4 3" xfId="53566"/>
    <cellStyle name="Warning Text 4 3 2" xfId="53567"/>
    <cellStyle name="Warning Text 4 3 2 2" xfId="53568"/>
    <cellStyle name="Warning Text 4 3 2 2 2" xfId="53569"/>
    <cellStyle name="Warning Text 4 3 2 3" xfId="53570"/>
    <cellStyle name="Warning Text 4 3 2 3 2" xfId="53571"/>
    <cellStyle name="Warning Text 4 3 2 3 2 2" xfId="53572"/>
    <cellStyle name="Warning Text 4 3 2 3 3" xfId="53573"/>
    <cellStyle name="Warning Text 4 3 2 4" xfId="53574"/>
    <cellStyle name="Warning Text 4 3 3" xfId="53575"/>
    <cellStyle name="Warning Text 4 3 3 2" xfId="53576"/>
    <cellStyle name="Warning Text 4 3 3 2 2" xfId="53577"/>
    <cellStyle name="Warning Text 4 3 3 3" xfId="53578"/>
    <cellStyle name="Warning Text 4 3 4" xfId="53579"/>
    <cellStyle name="Warning Text 4 3 4 2" xfId="53580"/>
    <cellStyle name="Warning Text 4 3 4 2 2" xfId="53581"/>
    <cellStyle name="Warning Text 4 3 4 3" xfId="53582"/>
    <cellStyle name="Warning Text 4 3 5" xfId="53583"/>
    <cellStyle name="Warning Text 4 3 5 2" xfId="53584"/>
    <cellStyle name="Warning Text 4 3 5 2 2" xfId="53585"/>
    <cellStyle name="Warning Text 4 3 5 3" xfId="53586"/>
    <cellStyle name="Warning Text 4 3 6" xfId="53587"/>
    <cellStyle name="Warning Text 4 4" xfId="53588"/>
    <cellStyle name="Warning Text 4 4 2" xfId="53589"/>
    <cellStyle name="Warning Text 4 4 2 2" xfId="53590"/>
    <cellStyle name="Warning Text 4 4 3" xfId="53591"/>
    <cellStyle name="Warning Text 4 5" xfId="53592"/>
    <cellStyle name="Warning Text 4 5 2" xfId="53593"/>
    <cellStyle name="Warning Text 4 5 2 2" xfId="53594"/>
    <cellStyle name="Warning Text 4 5 3" xfId="53595"/>
    <cellStyle name="Warning Text 4 6" xfId="53596"/>
    <cellStyle name="Warning Text 4 6 2" xfId="53597"/>
    <cellStyle name="Warning Text 4 6 2 2" xfId="53598"/>
    <cellStyle name="Warning Text 4 6 3" xfId="53599"/>
    <cellStyle name="Warning Text 4 7" xfId="53600"/>
    <cellStyle name="Warning Text 5" xfId="53601"/>
    <cellStyle name="Warning Text 5 2" xfId="53602"/>
    <cellStyle name="Warning Text 5 2 2" xfId="53603"/>
    <cellStyle name="Warning Text 5 2 2 2" xfId="53604"/>
    <cellStyle name="Warning Text 5 2 3" xfId="53605"/>
    <cellStyle name="Warning Text 5 2 3 2" xfId="53606"/>
    <cellStyle name="Warning Text 5 2 3 2 2" xfId="53607"/>
    <cellStyle name="Warning Text 5 2 3 3" xfId="53608"/>
    <cellStyle name="Warning Text 5 2 4" xfId="53609"/>
    <cellStyle name="Warning Text 5 2 4 2" xfId="53610"/>
    <cellStyle name="Warning Text 5 2 4 2 2" xfId="53611"/>
    <cellStyle name="Warning Text 5 2 4 3" xfId="53612"/>
    <cellStyle name="Warning Text 5 2 5" xfId="53613"/>
    <cellStyle name="Warning Text 5 3" xfId="53614"/>
    <cellStyle name="Warning Text 5 3 2" xfId="53615"/>
    <cellStyle name="Warning Text 5 3 2 2" xfId="53616"/>
    <cellStyle name="Warning Text 5 3 2 2 2" xfId="53617"/>
    <cellStyle name="Warning Text 5 3 2 3" xfId="53618"/>
    <cellStyle name="Warning Text 5 3 2 3 2" xfId="53619"/>
    <cellStyle name="Warning Text 5 3 2 3 2 2" xfId="53620"/>
    <cellStyle name="Warning Text 5 3 2 3 3" xfId="53621"/>
    <cellStyle name="Warning Text 5 3 2 4" xfId="53622"/>
    <cellStyle name="Warning Text 5 3 3" xfId="53623"/>
    <cellStyle name="Warning Text 5 3 3 2" xfId="53624"/>
    <cellStyle name="Warning Text 5 3 3 2 2" xfId="53625"/>
    <cellStyle name="Warning Text 5 3 3 3" xfId="53626"/>
    <cellStyle name="Warning Text 5 3 4" xfId="53627"/>
    <cellStyle name="Warning Text 5 3 4 2" xfId="53628"/>
    <cellStyle name="Warning Text 5 3 4 2 2" xfId="53629"/>
    <cellStyle name="Warning Text 5 3 4 3" xfId="53630"/>
    <cellStyle name="Warning Text 5 3 5" xfId="53631"/>
    <cellStyle name="Warning Text 5 3 5 2" xfId="53632"/>
    <cellStyle name="Warning Text 5 3 5 2 2" xfId="53633"/>
    <cellStyle name="Warning Text 5 3 5 3" xfId="53634"/>
    <cellStyle name="Warning Text 5 3 6" xfId="53635"/>
    <cellStyle name="Warning Text 5 4" xfId="53636"/>
    <cellStyle name="Warning Text 5 4 2" xfId="53637"/>
    <cellStyle name="Warning Text 5 4 2 2" xfId="53638"/>
    <cellStyle name="Warning Text 5 4 3" xfId="53639"/>
    <cellStyle name="Warning Text 5 5" xfId="53640"/>
    <cellStyle name="Warning Text 5 5 2" xfId="53641"/>
    <cellStyle name="Warning Text 5 5 2 2" xfId="53642"/>
    <cellStyle name="Warning Text 5 5 3" xfId="53643"/>
    <cellStyle name="Warning Text 5 6" xfId="53644"/>
    <cellStyle name="Warning Text 5 6 2" xfId="53645"/>
    <cellStyle name="Warning Text 5 6 2 2" xfId="53646"/>
    <cellStyle name="Warning Text 5 6 3" xfId="53647"/>
    <cellStyle name="Warning Text 5 7" xfId="53648"/>
    <cellStyle name="Warning Text 6" xfId="53649"/>
    <cellStyle name="Warning Text 6 2" xfId="53650"/>
    <cellStyle name="Warning Text 6 2 2" xfId="53651"/>
    <cellStyle name="Warning Text 6 2 2 2" xfId="53652"/>
    <cellStyle name="Warning Text 6 2 3" xfId="53653"/>
    <cellStyle name="Warning Text 6 2 3 2" xfId="53654"/>
    <cellStyle name="Warning Text 6 2 3 2 2" xfId="53655"/>
    <cellStyle name="Warning Text 6 2 3 3" xfId="53656"/>
    <cellStyle name="Warning Text 6 2 4" xfId="53657"/>
    <cellStyle name="Warning Text 6 2 4 2" xfId="53658"/>
    <cellStyle name="Warning Text 6 2 4 2 2" xfId="53659"/>
    <cellStyle name="Warning Text 6 2 4 3" xfId="53660"/>
    <cellStyle name="Warning Text 6 2 5" xfId="53661"/>
    <cellStyle name="Warning Text 6 3" xfId="53662"/>
    <cellStyle name="Warning Text 6 3 2" xfId="53663"/>
    <cellStyle name="Warning Text 6 3 2 2" xfId="53664"/>
    <cellStyle name="Warning Text 6 3 3" xfId="53665"/>
    <cellStyle name="Warning Text 6 4" xfId="53666"/>
    <cellStyle name="Warning Text 6 4 2" xfId="53667"/>
    <cellStyle name="Warning Text 6 4 2 2" xfId="53668"/>
    <cellStyle name="Warning Text 6 4 3" xfId="53669"/>
    <cellStyle name="Warning Text 6 5" xfId="53670"/>
    <cellStyle name="Warning Text 6 5 2" xfId="53671"/>
    <cellStyle name="Warning Text 6 5 2 2" xfId="53672"/>
    <cellStyle name="Warning Text 6 5 3" xfId="53673"/>
    <cellStyle name="Warning Text 6 6" xfId="53674"/>
    <cellStyle name="Warning Text 7" xfId="53675"/>
    <cellStyle name="Warning Text 7 2" xfId="53676"/>
    <cellStyle name="Warning Text 8" xfId="53677"/>
    <cellStyle name="Warning Text 9" xfId="53678"/>
    <cellStyle name="white" xfId="53679"/>
    <cellStyle name="white 2" xfId="53680"/>
    <cellStyle name="white 3" xfId="53681"/>
    <cellStyle name="white 3 2" xfId="53682"/>
    <cellStyle name="white 3 2 2" xfId="53683"/>
    <cellStyle name="white 3 3" xfId="53684"/>
    <cellStyle name="white 4" xfId="53685"/>
    <cellStyle name="white 4 2" xfId="53686"/>
    <cellStyle name="white 4 2 2" xfId="53687"/>
    <cellStyle name="white 4 3" xfId="53688"/>
    <cellStyle name="wrap" xfId="53689"/>
    <cellStyle name="wrap 2" xfId="53690"/>
    <cellStyle name="wrap 3" xfId="53691"/>
    <cellStyle name="wrap 3 2" xfId="53692"/>
    <cellStyle name="wrap 3 2 2" xfId="53693"/>
    <cellStyle name="wrap 3 3" xfId="53694"/>
    <cellStyle name="wrap 4" xfId="53695"/>
    <cellStyle name="wrap 4 2" xfId="53696"/>
    <cellStyle name="wrap 4 2 2" xfId="53697"/>
    <cellStyle name="wrap 4 3" xfId="53698"/>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auto="1"/>
      </font>
    </dxf>
    <dxf>
      <fill>
        <patternFill>
          <bgColor indexed="42"/>
        </patternFill>
      </fill>
    </dxf>
    <dxf>
      <font>
        <condense val="0"/>
        <extend val="0"/>
        <color auto="1"/>
      </font>
    </dxf>
    <dxf>
      <font>
        <condense val="0"/>
        <extend val="0"/>
        <color auto="1"/>
      </font>
    </dxf>
  </dxfs>
  <tableStyles count="0" defaultTableStyle="TableStyleMedium9" defaultPivotStyle="PivotStyleLight16"/>
  <colors>
    <mruColors>
      <color rgb="FFCCFFCC"/>
      <color rgb="FF99FFCC"/>
      <color rgb="FFFFCC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K7"/>
  <sheetViews>
    <sheetView tabSelected="1" zoomScaleNormal="100" workbookViewId="0"/>
  </sheetViews>
  <sheetFormatPr defaultRowHeight="12.75"/>
  <cols>
    <col min="3" max="3" width="8.42578125" customWidth="1"/>
  </cols>
  <sheetData>
    <row r="5" spans="1:11" ht="26.25">
      <c r="A5" s="1434" t="s">
        <v>2272</v>
      </c>
      <c r="B5" s="1434"/>
      <c r="C5" s="1434"/>
      <c r="D5" s="1434"/>
      <c r="E5" s="1434"/>
      <c r="F5" s="1434"/>
      <c r="G5" s="1434"/>
      <c r="H5" s="1434"/>
      <c r="I5" s="1434"/>
      <c r="J5" s="1434"/>
      <c r="K5" s="1434"/>
    </row>
    <row r="6" spans="1:11">
      <c r="D6" s="1"/>
    </row>
    <row r="7" spans="1:11" ht="20.25">
      <c r="A7" s="1435" t="s">
        <v>2273</v>
      </c>
      <c r="B7" s="1435"/>
      <c r="C7" s="1435"/>
      <c r="D7" s="1435"/>
      <c r="E7" s="1435"/>
      <c r="F7" s="1435"/>
      <c r="G7" s="1435"/>
      <c r="H7" s="1435"/>
      <c r="I7" s="1435"/>
      <c r="J7" s="1435"/>
      <c r="K7" s="1435"/>
    </row>
  </sheetData>
  <mergeCells count="2">
    <mergeCell ref="A5:K5"/>
    <mergeCell ref="A7:K7"/>
  </mergeCells>
  <pageMargins left="0.7" right="0.7" top="0.75" bottom="0.75" header="0.3" footer="0.3"/>
  <pageSetup scale="92" orientation="portrait" r:id="rId1"/>
  <headerFooter>
    <oddHeader xml:space="preserve">&amp;C&amp;"Arial,Bold"
&amp;RTO11 Draft Annual Update
Attachment 1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82"/>
  <sheetViews>
    <sheetView zoomScaleNormal="100" workbookViewId="0"/>
  </sheetViews>
  <sheetFormatPr defaultRowHeight="12.75"/>
  <cols>
    <col min="1" max="1" width="4.7109375" customWidth="1"/>
    <col min="2" max="2" width="10.7109375" customWidth="1"/>
    <col min="3" max="13" width="13.7109375" customWidth="1"/>
  </cols>
  <sheetData>
    <row r="1" spans="1:13">
      <c r="A1" s="428" t="s">
        <v>1324</v>
      </c>
      <c r="B1" s="241"/>
      <c r="C1" s="241"/>
      <c r="D1" s="241"/>
      <c r="E1" s="241"/>
      <c r="F1" s="241"/>
      <c r="G1" s="241"/>
      <c r="H1" s="241"/>
      <c r="I1" s="529" t="s">
        <v>17</v>
      </c>
      <c r="J1" s="429"/>
      <c r="K1" s="241"/>
      <c r="L1" s="241"/>
    </row>
    <row r="2" spans="1:13">
      <c r="A2" s="428"/>
      <c r="B2" s="241"/>
      <c r="C2" s="241"/>
      <c r="D2" s="241"/>
      <c r="E2" s="241"/>
      <c r="F2" s="241"/>
      <c r="G2" s="241"/>
      <c r="H2" s="241"/>
      <c r="I2" s="241"/>
      <c r="J2" s="241"/>
      <c r="K2" s="241"/>
      <c r="L2" s="241"/>
    </row>
    <row r="3" spans="1:13">
      <c r="A3" s="428"/>
      <c r="B3" s="428" t="s">
        <v>351</v>
      </c>
      <c r="C3" s="241"/>
      <c r="D3" s="241"/>
      <c r="E3" s="241"/>
      <c r="F3" s="241"/>
      <c r="G3" s="241"/>
      <c r="H3" s="241"/>
      <c r="I3" s="241"/>
      <c r="J3" s="241"/>
      <c r="K3" s="241"/>
      <c r="L3" s="241"/>
    </row>
    <row r="4" spans="1:13">
      <c r="A4" s="428"/>
      <c r="B4" s="428"/>
      <c r="C4" s="241"/>
      <c r="D4" s="241"/>
      <c r="E4" s="241"/>
      <c r="F4" s="241"/>
      <c r="G4" s="241"/>
      <c r="H4" s="241"/>
      <c r="I4" s="241"/>
      <c r="J4" s="241"/>
      <c r="K4" s="241"/>
      <c r="L4" s="241"/>
    </row>
    <row r="5" spans="1:13">
      <c r="A5" s="428"/>
      <c r="B5" s="522" t="s">
        <v>1734</v>
      </c>
      <c r="C5" s="241"/>
      <c r="D5" s="241"/>
      <c r="E5" s="241"/>
      <c r="F5" s="241"/>
      <c r="G5" s="241"/>
      <c r="H5" s="522"/>
      <c r="I5" s="1039" t="s">
        <v>1986</v>
      </c>
      <c r="J5" s="1038">
        <v>2015</v>
      </c>
      <c r="K5" s="241"/>
      <c r="L5" s="241"/>
    </row>
    <row r="6" spans="1:13">
      <c r="A6" s="428"/>
      <c r="B6" s="522"/>
      <c r="C6" s="241"/>
      <c r="D6" s="241"/>
      <c r="E6" s="241"/>
      <c r="F6" s="241"/>
      <c r="G6" s="241"/>
      <c r="H6" s="241"/>
      <c r="I6" s="241"/>
      <c r="J6" s="241"/>
      <c r="K6" s="241"/>
      <c r="L6" s="241"/>
    </row>
    <row r="7" spans="1:13">
      <c r="A7" s="428"/>
      <c r="B7" s="91" t="s">
        <v>394</v>
      </c>
      <c r="C7" s="91" t="s">
        <v>378</v>
      </c>
      <c r="D7" s="91" t="s">
        <v>379</v>
      </c>
      <c r="E7" s="91" t="s">
        <v>380</v>
      </c>
      <c r="F7" s="91" t="s">
        <v>381</v>
      </c>
      <c r="G7" s="91" t="s">
        <v>382</v>
      </c>
      <c r="H7" s="91" t="s">
        <v>383</v>
      </c>
      <c r="I7" s="91" t="s">
        <v>596</v>
      </c>
      <c r="J7" s="91" t="s">
        <v>1045</v>
      </c>
      <c r="K7" s="91" t="s">
        <v>1061</v>
      </c>
      <c r="L7" s="91" t="s">
        <v>1064</v>
      </c>
      <c r="M7" s="91" t="s">
        <v>1082</v>
      </c>
    </row>
    <row r="8" spans="1:13">
      <c r="A8" s="241"/>
      <c r="B8" s="491"/>
      <c r="C8" s="241"/>
      <c r="D8" s="241"/>
      <c r="E8" s="241"/>
      <c r="F8" s="241"/>
      <c r="G8" s="241"/>
      <c r="H8" s="241"/>
      <c r="I8" s="241"/>
      <c r="J8" s="241"/>
      <c r="K8" s="241"/>
      <c r="M8" s="262" t="s">
        <v>1366</v>
      </c>
    </row>
    <row r="9" spans="1:13">
      <c r="A9" s="241"/>
      <c r="B9" s="117"/>
      <c r="C9" s="91"/>
      <c r="D9" s="91"/>
      <c r="E9" s="241"/>
      <c r="F9" s="241"/>
      <c r="G9" s="241"/>
      <c r="H9" s="241"/>
      <c r="I9" s="241"/>
      <c r="J9" s="241"/>
      <c r="K9" s="241"/>
      <c r="L9" s="241"/>
    </row>
    <row r="10" spans="1:13">
      <c r="A10" s="52" t="s">
        <v>360</v>
      </c>
      <c r="B10" s="131" t="s">
        <v>2034</v>
      </c>
      <c r="C10" s="91">
        <v>350.1</v>
      </c>
      <c r="D10" s="91">
        <v>350.2</v>
      </c>
      <c r="E10" s="91">
        <v>352</v>
      </c>
      <c r="F10" s="91">
        <v>353</v>
      </c>
      <c r="G10" s="91">
        <v>354</v>
      </c>
      <c r="H10" s="91">
        <v>355</v>
      </c>
      <c r="I10" s="91">
        <v>356</v>
      </c>
      <c r="J10" s="91">
        <v>357</v>
      </c>
      <c r="K10" s="91">
        <v>358</v>
      </c>
      <c r="L10" s="91">
        <v>359</v>
      </c>
      <c r="M10" s="3" t="s">
        <v>215</v>
      </c>
    </row>
    <row r="11" spans="1:13">
      <c r="A11" s="555">
        <v>1</v>
      </c>
      <c r="B11" s="1137" t="s">
        <v>2822</v>
      </c>
      <c r="C11" s="557">
        <v>75785254.841655239</v>
      </c>
      <c r="D11" s="639">
        <v>158395946.88183823</v>
      </c>
      <c r="E11" s="246">
        <v>428326101.32161003</v>
      </c>
      <c r="F11" s="557">
        <v>2920111450.3465052</v>
      </c>
      <c r="G11" s="557">
        <v>1785929479.0087991</v>
      </c>
      <c r="H11" s="557">
        <v>230528300.50074962</v>
      </c>
      <c r="I11" s="557">
        <v>1044386520.5319836</v>
      </c>
      <c r="J11" s="557">
        <v>217200.87850578071</v>
      </c>
      <c r="K11" s="557">
        <v>12994313.505309969</v>
      </c>
      <c r="L11" s="557">
        <v>79700253.931008279</v>
      </c>
      <c r="M11" s="243">
        <f>SUM(C11:L11)</f>
        <v>6736374821.7479649</v>
      </c>
    </row>
    <row r="12" spans="1:13">
      <c r="A12" s="555">
        <f>A11+1</f>
        <v>2</v>
      </c>
      <c r="B12" s="667" t="s">
        <v>2916</v>
      </c>
      <c r="C12" s="245">
        <f t="shared" ref="C12:C22" si="0">C146+C94 +C11</f>
        <v>75785254.841655239</v>
      </c>
      <c r="D12" s="257">
        <f t="shared" ref="D12:D22" si="1">D146+D94 +D11</f>
        <v>158393913.60788622</v>
      </c>
      <c r="E12" s="245">
        <f t="shared" ref="E12:E22" si="2">E146+E94 +E11</f>
        <v>430854178.52382964</v>
      </c>
      <c r="F12" s="245">
        <f t="shared" ref="F12:F22" si="3">F146+F94 +F11</f>
        <v>2923748335.3822737</v>
      </c>
      <c r="G12" s="245">
        <f t="shared" ref="G12:G22" si="4">G146+G94 +G11</f>
        <v>1810686562.5425971</v>
      </c>
      <c r="H12" s="245">
        <f t="shared" ref="H12:H22" si="5">H146+H94 +H11</f>
        <v>233291260.67757279</v>
      </c>
      <c r="I12" s="245">
        <f t="shared" ref="I12:I22" si="6">I146+I94 +I11</f>
        <v>1071288003.6418992</v>
      </c>
      <c r="J12" s="245">
        <f t="shared" ref="J12:J22" si="7">J146+J94 +J11</f>
        <v>222641.74806988557</v>
      </c>
      <c r="K12" s="245">
        <f t="shared" ref="K12:K22" si="8">K146+K94 +K11</f>
        <v>12994563.570267964</v>
      </c>
      <c r="L12" s="245">
        <f t="shared" ref="L12:L22" si="9">L146+L94 +L11</f>
        <v>80907972.023239583</v>
      </c>
      <c r="M12" s="243">
        <f t="shared" ref="M12:M23" si="10">SUM(C12:L12)</f>
        <v>6798172686.5592909</v>
      </c>
    </row>
    <row r="13" spans="1:13">
      <c r="A13" s="555">
        <f t="shared" ref="A13:A24" si="11">A12+1</f>
        <v>3</v>
      </c>
      <c r="B13" s="666" t="s">
        <v>2917</v>
      </c>
      <c r="C13" s="245">
        <f t="shared" si="0"/>
        <v>75783589.986705318</v>
      </c>
      <c r="D13" s="257">
        <f t="shared" si="1"/>
        <v>158530514.04414147</v>
      </c>
      <c r="E13" s="245">
        <f t="shared" si="2"/>
        <v>432978022.59871209</v>
      </c>
      <c r="F13" s="245">
        <f t="shared" si="3"/>
        <v>2928852611.5090098</v>
      </c>
      <c r="G13" s="245">
        <f t="shared" si="4"/>
        <v>1805267699.0667598</v>
      </c>
      <c r="H13" s="245">
        <f t="shared" si="5"/>
        <v>233549930.77781689</v>
      </c>
      <c r="I13" s="245">
        <f t="shared" si="6"/>
        <v>1071676063.5525274</v>
      </c>
      <c r="J13" s="245">
        <f t="shared" si="7"/>
        <v>223065.21123206863</v>
      </c>
      <c r="K13" s="245">
        <f t="shared" si="8"/>
        <v>12994592.202802476</v>
      </c>
      <c r="L13" s="245">
        <f t="shared" si="9"/>
        <v>81692835.410011917</v>
      </c>
      <c r="M13" s="243">
        <f t="shared" si="10"/>
        <v>6801548924.3597202</v>
      </c>
    </row>
    <row r="14" spans="1:13">
      <c r="A14" s="555">
        <f t="shared" si="11"/>
        <v>4</v>
      </c>
      <c r="B14" s="666" t="s">
        <v>2918</v>
      </c>
      <c r="C14" s="245">
        <f t="shared" si="0"/>
        <v>75783589.986705318</v>
      </c>
      <c r="D14" s="257">
        <f t="shared" si="1"/>
        <v>158542220.65136147</v>
      </c>
      <c r="E14" s="245">
        <f t="shared" si="2"/>
        <v>435911133.72726548</v>
      </c>
      <c r="F14" s="245">
        <f t="shared" si="3"/>
        <v>2934678810.63378</v>
      </c>
      <c r="G14" s="245">
        <f t="shared" si="4"/>
        <v>2024063364.6380355</v>
      </c>
      <c r="H14" s="245">
        <f t="shared" si="5"/>
        <v>294018465.6880011</v>
      </c>
      <c r="I14" s="245">
        <f t="shared" si="6"/>
        <v>1176607716.5039763</v>
      </c>
      <c r="J14" s="245">
        <f t="shared" si="7"/>
        <v>223066.59221167566</v>
      </c>
      <c r="K14" s="245">
        <f t="shared" si="8"/>
        <v>12994568.957423186</v>
      </c>
      <c r="L14" s="245">
        <f t="shared" si="9"/>
        <v>105456407.92515475</v>
      </c>
      <c r="M14" s="243">
        <f t="shared" si="10"/>
        <v>7218279345.3039141</v>
      </c>
    </row>
    <row r="15" spans="1:13">
      <c r="A15" s="555">
        <f t="shared" si="11"/>
        <v>5</v>
      </c>
      <c r="B15" s="667" t="s">
        <v>2919</v>
      </c>
      <c r="C15" s="245">
        <f t="shared" si="0"/>
        <v>75783589.986705318</v>
      </c>
      <c r="D15" s="257">
        <f t="shared" si="1"/>
        <v>158545021.38209924</v>
      </c>
      <c r="E15" s="245">
        <f t="shared" si="2"/>
        <v>433536681.85036969</v>
      </c>
      <c r="F15" s="245">
        <f t="shared" si="3"/>
        <v>2936934027.8307748</v>
      </c>
      <c r="G15" s="245">
        <f t="shared" si="4"/>
        <v>2136429969.8974938</v>
      </c>
      <c r="H15" s="245">
        <f t="shared" si="5"/>
        <v>300721390.34716249</v>
      </c>
      <c r="I15" s="245">
        <f t="shared" si="6"/>
        <v>1213791283.8935664</v>
      </c>
      <c r="J15" s="245">
        <f t="shared" si="7"/>
        <v>223066.56988421237</v>
      </c>
      <c r="K15" s="245">
        <f t="shared" si="8"/>
        <v>12994564.413448175</v>
      </c>
      <c r="L15" s="245">
        <f t="shared" si="9"/>
        <v>180454172.55307227</v>
      </c>
      <c r="M15" s="243">
        <f t="shared" si="10"/>
        <v>7449413768.724576</v>
      </c>
    </row>
    <row r="16" spans="1:13">
      <c r="A16" s="555">
        <f t="shared" si="11"/>
        <v>6</v>
      </c>
      <c r="B16" s="666" t="s">
        <v>2920</v>
      </c>
      <c r="C16" s="245">
        <f t="shared" si="0"/>
        <v>75783589.986705318</v>
      </c>
      <c r="D16" s="257">
        <f t="shared" si="1"/>
        <v>158559038.05464047</v>
      </c>
      <c r="E16" s="245">
        <f t="shared" si="2"/>
        <v>433951439.50348222</v>
      </c>
      <c r="F16" s="245">
        <f t="shared" si="3"/>
        <v>2943551475.1579118</v>
      </c>
      <c r="G16" s="245">
        <f t="shared" si="4"/>
        <v>2141924102.8784771</v>
      </c>
      <c r="H16" s="245">
        <f t="shared" si="5"/>
        <v>301811258.50151992</v>
      </c>
      <c r="I16" s="245">
        <f t="shared" si="6"/>
        <v>1215149175.7756546</v>
      </c>
      <c r="J16" s="245">
        <f t="shared" si="7"/>
        <v>223067.51660215104</v>
      </c>
      <c r="K16" s="245">
        <f t="shared" si="8"/>
        <v>12994463.817589644</v>
      </c>
      <c r="L16" s="245">
        <f t="shared" si="9"/>
        <v>181538743.81998155</v>
      </c>
      <c r="M16" s="243">
        <f t="shared" si="10"/>
        <v>7465486355.0125656</v>
      </c>
    </row>
    <row r="17" spans="1:15">
      <c r="A17" s="555">
        <f t="shared" si="11"/>
        <v>7</v>
      </c>
      <c r="B17" s="666" t="s">
        <v>2921</v>
      </c>
      <c r="C17" s="245">
        <f t="shared" si="0"/>
        <v>76940165.006705299</v>
      </c>
      <c r="D17" s="257">
        <f t="shared" si="1"/>
        <v>157454244.38424909</v>
      </c>
      <c r="E17" s="245">
        <f t="shared" si="2"/>
        <v>431926231.40199</v>
      </c>
      <c r="F17" s="245">
        <f t="shared" si="3"/>
        <v>2960227011.3396783</v>
      </c>
      <c r="G17" s="245">
        <f t="shared" si="4"/>
        <v>2142167377.819659</v>
      </c>
      <c r="H17" s="245">
        <f t="shared" si="5"/>
        <v>302322469.2649579</v>
      </c>
      <c r="I17" s="245">
        <f t="shared" si="6"/>
        <v>1214758918.7972777</v>
      </c>
      <c r="J17" s="245">
        <f t="shared" si="7"/>
        <v>223054.77282125127</v>
      </c>
      <c r="K17" s="245">
        <f t="shared" si="8"/>
        <v>12994453.116703399</v>
      </c>
      <c r="L17" s="245">
        <f t="shared" si="9"/>
        <v>181871279.738271</v>
      </c>
      <c r="M17" s="243">
        <f t="shared" si="10"/>
        <v>7480885205.642312</v>
      </c>
    </row>
    <row r="18" spans="1:15">
      <c r="A18" s="555">
        <f t="shared" si="11"/>
        <v>8</v>
      </c>
      <c r="B18" s="667" t="s">
        <v>2922</v>
      </c>
      <c r="C18" s="245">
        <f t="shared" si="0"/>
        <v>77239552.742564961</v>
      </c>
      <c r="D18" s="257">
        <f t="shared" si="1"/>
        <v>163291285.83213547</v>
      </c>
      <c r="E18" s="245">
        <f t="shared" si="2"/>
        <v>433928451.39680159</v>
      </c>
      <c r="F18" s="245">
        <f t="shared" si="3"/>
        <v>2967188639.5644875</v>
      </c>
      <c r="G18" s="245">
        <f t="shared" si="4"/>
        <v>2143502829.0113854</v>
      </c>
      <c r="H18" s="245">
        <f t="shared" si="5"/>
        <v>303445317.4293406</v>
      </c>
      <c r="I18" s="245">
        <f t="shared" si="6"/>
        <v>1215763312.6703141</v>
      </c>
      <c r="J18" s="245">
        <f t="shared" si="7"/>
        <v>224236.97400203452</v>
      </c>
      <c r="K18" s="245">
        <f t="shared" si="8"/>
        <v>12995491.085082794</v>
      </c>
      <c r="L18" s="245">
        <f t="shared" si="9"/>
        <v>182253971.46544811</v>
      </c>
      <c r="M18" s="243">
        <f t="shared" si="10"/>
        <v>7499833088.1715622</v>
      </c>
    </row>
    <row r="19" spans="1:15">
      <c r="A19" s="555">
        <f t="shared" si="11"/>
        <v>9</v>
      </c>
      <c r="B19" s="666" t="s">
        <v>2923</v>
      </c>
      <c r="C19" s="245">
        <f t="shared" si="0"/>
        <v>77239552.742564961</v>
      </c>
      <c r="D19" s="257">
        <f t="shared" si="1"/>
        <v>163336309.8632524</v>
      </c>
      <c r="E19" s="245">
        <f t="shared" si="2"/>
        <v>435073003.50390124</v>
      </c>
      <c r="F19" s="245">
        <f t="shared" si="3"/>
        <v>2969788939.3177238</v>
      </c>
      <c r="G19" s="245">
        <f t="shared" si="4"/>
        <v>2153448155.4097128</v>
      </c>
      <c r="H19" s="245">
        <f t="shared" si="5"/>
        <v>304706546.78093851</v>
      </c>
      <c r="I19" s="245">
        <f t="shared" si="6"/>
        <v>1230860738.2522912</v>
      </c>
      <c r="J19" s="245">
        <f t="shared" si="7"/>
        <v>224237.9253564697</v>
      </c>
      <c r="K19" s="245">
        <f t="shared" si="8"/>
        <v>12995288.634380324</v>
      </c>
      <c r="L19" s="245">
        <f t="shared" si="9"/>
        <v>185177270.47178671</v>
      </c>
      <c r="M19" s="243">
        <f t="shared" si="10"/>
        <v>7532850042.9019079</v>
      </c>
    </row>
    <row r="20" spans="1:15">
      <c r="A20" s="555">
        <f t="shared" si="11"/>
        <v>10</v>
      </c>
      <c r="B20" s="666" t="s">
        <v>2924</v>
      </c>
      <c r="C20" s="245">
        <f t="shared" si="0"/>
        <v>77240122.456316486</v>
      </c>
      <c r="D20" s="257">
        <f t="shared" si="1"/>
        <v>163362164.67443866</v>
      </c>
      <c r="E20" s="245">
        <f t="shared" si="2"/>
        <v>435905860.94337583</v>
      </c>
      <c r="F20" s="245">
        <f t="shared" si="3"/>
        <v>2965706099.1937604</v>
      </c>
      <c r="G20" s="245">
        <f t="shared" si="4"/>
        <v>2155063856.8020291</v>
      </c>
      <c r="H20" s="245">
        <f t="shared" si="5"/>
        <v>305336716.67301041</v>
      </c>
      <c r="I20" s="245">
        <f t="shared" si="6"/>
        <v>1231821172.681124</v>
      </c>
      <c r="J20" s="245">
        <f t="shared" si="7"/>
        <v>224520.79200639005</v>
      </c>
      <c r="K20" s="245">
        <f t="shared" si="8"/>
        <v>12995627.630158862</v>
      </c>
      <c r="L20" s="257">
        <f t="shared" si="9"/>
        <v>185618907.07518786</v>
      </c>
      <c r="M20" s="243">
        <f t="shared" si="10"/>
        <v>7533275048.9214077</v>
      </c>
    </row>
    <row r="21" spans="1:15">
      <c r="A21" s="555">
        <f t="shared" si="11"/>
        <v>11</v>
      </c>
      <c r="B21" s="667" t="s">
        <v>2925</v>
      </c>
      <c r="C21" s="245">
        <f t="shared" si="0"/>
        <v>79088202.881294325</v>
      </c>
      <c r="D21" s="257">
        <f t="shared" si="1"/>
        <v>163057904.7225121</v>
      </c>
      <c r="E21" s="245">
        <f t="shared" si="2"/>
        <v>454131466.06797838</v>
      </c>
      <c r="F21" s="245">
        <f t="shared" si="3"/>
        <v>3008870879.9730649</v>
      </c>
      <c r="G21" s="245">
        <f t="shared" si="4"/>
        <v>2155746979.7468605</v>
      </c>
      <c r="H21" s="245">
        <f t="shared" si="5"/>
        <v>306166976.81122875</v>
      </c>
      <c r="I21" s="245">
        <f t="shared" si="6"/>
        <v>1232286649.9401543</v>
      </c>
      <c r="J21" s="245">
        <f t="shared" si="7"/>
        <v>221513.03455308356</v>
      </c>
      <c r="K21" s="245">
        <f t="shared" si="8"/>
        <v>12992012.695824396</v>
      </c>
      <c r="L21" s="245">
        <f t="shared" si="9"/>
        <v>185718061.58035472</v>
      </c>
      <c r="M21" s="243">
        <f t="shared" si="10"/>
        <v>7598280647.453826</v>
      </c>
    </row>
    <row r="22" spans="1:15">
      <c r="A22" s="555">
        <f t="shared" si="11"/>
        <v>12</v>
      </c>
      <c r="B22" s="667" t="s">
        <v>2926</v>
      </c>
      <c r="C22" s="245">
        <f t="shared" si="0"/>
        <v>77240122.456316486</v>
      </c>
      <c r="D22" s="257">
        <f t="shared" si="1"/>
        <v>163176954.84262165</v>
      </c>
      <c r="E22" s="245">
        <f t="shared" si="2"/>
        <v>455929657.24803406</v>
      </c>
      <c r="F22" s="245">
        <f t="shared" si="3"/>
        <v>3010610363.5731421</v>
      </c>
      <c r="G22" s="245">
        <f t="shared" si="4"/>
        <v>2156817869.5306172</v>
      </c>
      <c r="H22" s="245">
        <f t="shared" si="5"/>
        <v>306985659.84465986</v>
      </c>
      <c r="I22" s="245">
        <f t="shared" si="6"/>
        <v>1232077542.365628</v>
      </c>
      <c r="J22" s="245">
        <f t="shared" si="7"/>
        <v>221357.38372446425</v>
      </c>
      <c r="K22" s="245">
        <f t="shared" si="8"/>
        <v>13010565.592296176</v>
      </c>
      <c r="L22" s="245">
        <f t="shared" si="9"/>
        <v>185945908.2582753</v>
      </c>
      <c r="M22" s="243">
        <f t="shared" si="10"/>
        <v>7602016001.0953159</v>
      </c>
    </row>
    <row r="23" spans="1:15">
      <c r="A23" s="555">
        <f t="shared" si="11"/>
        <v>13</v>
      </c>
      <c r="B23" s="666" t="s">
        <v>2927</v>
      </c>
      <c r="C23" s="123">
        <v>77976654.562520087</v>
      </c>
      <c r="D23" s="123">
        <v>163072480.04595727</v>
      </c>
      <c r="E23" s="498">
        <f>'7-PlantStudy'!E10</f>
        <v>470458375.7060675</v>
      </c>
      <c r="F23" s="498">
        <f>'7-PlantStudy'!E11</f>
        <v>3030177246.8090091</v>
      </c>
      <c r="G23" s="498">
        <f>'7-PlantStudy'!E20</f>
        <v>2164622762.8245416</v>
      </c>
      <c r="H23" s="498">
        <f>'7-PlantStudy'!E21</f>
        <v>310678566.28323245</v>
      </c>
      <c r="I23" s="498">
        <f>'7-PlantStudy'!E22</f>
        <v>1239646180.7050807</v>
      </c>
      <c r="J23" s="498">
        <f>'7-PlantStudy'!E23</f>
        <v>221416.38459709552</v>
      </c>
      <c r="K23" s="498">
        <f>'7-PlantStudy'!E24</f>
        <v>13011928.174370928</v>
      </c>
      <c r="L23" s="498">
        <f>'7-PlantStudy'!E25</f>
        <v>187087540.77399367</v>
      </c>
      <c r="M23" s="378">
        <f t="shared" si="10"/>
        <v>7656953152.2693701</v>
      </c>
      <c r="O23" s="1"/>
    </row>
    <row r="24" spans="1:15">
      <c r="A24" s="555">
        <f t="shared" si="11"/>
        <v>14</v>
      </c>
      <c r="B24" s="559" t="s">
        <v>1325</v>
      </c>
      <c r="C24" s="243">
        <f t="shared" ref="C24:M24" si="12">AVERAGE(C11:C23)</f>
        <v>76743787.88295494</v>
      </c>
      <c r="D24" s="243">
        <f t="shared" si="12"/>
        <v>160593692.22977951</v>
      </c>
      <c r="E24" s="243">
        <f t="shared" si="12"/>
        <v>439454661.83026284</v>
      </c>
      <c r="F24" s="243">
        <f t="shared" si="12"/>
        <v>2961572760.8177786</v>
      </c>
      <c r="G24" s="243">
        <f t="shared" si="12"/>
        <v>2059667000.7059207</v>
      </c>
      <c r="H24" s="243">
        <f t="shared" si="12"/>
        <v>287197143.04463011</v>
      </c>
      <c r="I24" s="243">
        <f t="shared" si="12"/>
        <v>1183854867.6393442</v>
      </c>
      <c r="J24" s="243">
        <f t="shared" si="12"/>
        <v>222495.82950512023</v>
      </c>
      <c r="K24" s="243">
        <f t="shared" si="12"/>
        <v>12997110.261204483</v>
      </c>
      <c r="L24" s="243">
        <f t="shared" si="12"/>
        <v>154109486.54044506</v>
      </c>
      <c r="M24" s="243">
        <f t="shared" si="12"/>
        <v>7336413006.7818251</v>
      </c>
    </row>
    <row r="25" spans="1:15">
      <c r="A25" s="522"/>
      <c r="B25" s="522"/>
      <c r="C25" s="522"/>
      <c r="D25" s="522"/>
      <c r="E25" s="522"/>
      <c r="F25" s="522"/>
      <c r="G25" s="522"/>
      <c r="H25" s="522"/>
      <c r="I25" s="522"/>
      <c r="J25" s="522"/>
      <c r="K25" s="522"/>
      <c r="L25" s="522"/>
    </row>
    <row r="26" spans="1:15">
      <c r="A26" s="522"/>
      <c r="B26" s="428" t="s">
        <v>352</v>
      </c>
      <c r="C26" s="522"/>
      <c r="D26" s="522"/>
      <c r="E26" s="522"/>
      <c r="F26" s="522"/>
      <c r="G26" s="522"/>
      <c r="H26" s="522"/>
      <c r="I26" s="522"/>
      <c r="J26" s="522"/>
      <c r="K26" s="522"/>
      <c r="L26" s="522"/>
    </row>
    <row r="27" spans="1:15">
      <c r="A27" s="522"/>
      <c r="B27" s="428"/>
      <c r="C27" s="522"/>
      <c r="D27" s="522"/>
      <c r="E27" s="522"/>
      <c r="F27" s="522"/>
      <c r="G27" s="522"/>
      <c r="H27" s="522"/>
      <c r="I27" s="522"/>
      <c r="J27" s="522"/>
      <c r="K27" s="522"/>
      <c r="L27" s="522"/>
    </row>
    <row r="28" spans="1:15">
      <c r="A28" s="522"/>
      <c r="B28" s="251" t="s">
        <v>1987</v>
      </c>
      <c r="C28" s="524"/>
      <c r="D28" s="524"/>
      <c r="E28" s="524"/>
      <c r="F28" s="524"/>
      <c r="G28" s="524"/>
      <c r="H28" s="524"/>
      <c r="I28" s="522"/>
      <c r="J28" s="522"/>
      <c r="K28" s="522"/>
      <c r="L28" s="522"/>
    </row>
    <row r="29" spans="1:15">
      <c r="A29" s="522"/>
      <c r="B29" s="428"/>
      <c r="C29" s="522"/>
      <c r="D29" s="522"/>
      <c r="E29" s="522"/>
      <c r="F29" s="522"/>
      <c r="G29" s="522"/>
      <c r="H29" s="522"/>
      <c r="I29" s="522"/>
      <c r="J29" s="522"/>
      <c r="K29" s="522"/>
      <c r="L29" s="522"/>
    </row>
    <row r="30" spans="1:15">
      <c r="A30" s="428"/>
      <c r="B30" s="91" t="s">
        <v>394</v>
      </c>
      <c r="C30" s="91" t="s">
        <v>378</v>
      </c>
      <c r="D30" s="91" t="s">
        <v>379</v>
      </c>
      <c r="E30" s="91" t="s">
        <v>380</v>
      </c>
      <c r="F30" s="91" t="s">
        <v>381</v>
      </c>
      <c r="G30" s="522"/>
      <c r="H30" s="522"/>
      <c r="I30" s="522"/>
      <c r="J30" s="522"/>
      <c r="K30" s="522"/>
      <c r="L30" s="522"/>
    </row>
    <row r="31" spans="1:15">
      <c r="A31" s="241"/>
      <c r="B31" s="262"/>
      <c r="C31" s="241"/>
      <c r="D31" s="241"/>
      <c r="E31" s="241"/>
      <c r="F31" s="262" t="s">
        <v>1326</v>
      </c>
      <c r="G31" s="522"/>
      <c r="H31" s="522"/>
      <c r="K31" s="522"/>
      <c r="L31" s="522"/>
    </row>
    <row r="32" spans="1:15">
      <c r="A32" s="241"/>
      <c r="B32" s="117"/>
      <c r="C32" s="91"/>
      <c r="D32" s="91"/>
      <c r="E32" s="241"/>
      <c r="F32" s="241"/>
      <c r="G32" s="522"/>
      <c r="H32" s="522"/>
      <c r="K32" s="522"/>
      <c r="L32" s="522"/>
    </row>
    <row r="33" spans="1:12" ht="12.75" customHeight="1">
      <c r="A33" s="52" t="s">
        <v>360</v>
      </c>
      <c r="B33" s="131" t="s">
        <v>2034</v>
      </c>
      <c r="C33" s="379">
        <v>360</v>
      </c>
      <c r="D33" s="379">
        <v>361</v>
      </c>
      <c r="E33" s="379">
        <v>362</v>
      </c>
      <c r="F33" s="3" t="s">
        <v>215</v>
      </c>
      <c r="G33" s="522"/>
      <c r="H33" s="522"/>
      <c r="K33" s="522"/>
      <c r="L33" s="522"/>
    </row>
    <row r="34" spans="1:12" ht="12.75" customHeight="1">
      <c r="A34" s="555">
        <f>A24+1</f>
        <v>15</v>
      </c>
      <c r="B34" s="666" t="s">
        <v>2822</v>
      </c>
      <c r="C34" s="246">
        <v>0</v>
      </c>
      <c r="D34" s="246">
        <v>0</v>
      </c>
      <c r="E34" s="246">
        <v>0</v>
      </c>
      <c r="F34" s="243">
        <f>SUM(C34:E34)</f>
        <v>0</v>
      </c>
      <c r="G34" s="522"/>
      <c r="H34" s="522"/>
      <c r="K34" s="522"/>
      <c r="L34" s="522"/>
    </row>
    <row r="35" spans="1:12" ht="12.75" customHeight="1">
      <c r="A35" s="555">
        <f>A34+1</f>
        <v>16</v>
      </c>
      <c r="B35" s="666" t="s">
        <v>2927</v>
      </c>
      <c r="C35" s="433">
        <v>0</v>
      </c>
      <c r="D35" s="433">
        <v>0</v>
      </c>
      <c r="E35" s="433">
        <v>0</v>
      </c>
      <c r="F35" s="378">
        <f>SUM(C35:E35)</f>
        <v>0</v>
      </c>
      <c r="G35" s="522"/>
      <c r="H35" s="522"/>
      <c r="K35" s="522"/>
      <c r="L35" s="522"/>
    </row>
    <row r="36" spans="1:12" ht="12.75" customHeight="1">
      <c r="A36" s="555">
        <f>A35+1</f>
        <v>17</v>
      </c>
      <c r="B36" s="559" t="s">
        <v>1327</v>
      </c>
      <c r="C36" s="243">
        <f>AVERAGE(C34:C35)</f>
        <v>0</v>
      </c>
      <c r="D36" s="243">
        <f>AVERAGE(D34:D35)</f>
        <v>0</v>
      </c>
      <c r="E36" s="243">
        <f>AVERAGE(E34:E35)</f>
        <v>0</v>
      </c>
      <c r="F36" s="243">
        <f>AVERAGE(F34:F35)</f>
        <v>0</v>
      </c>
      <c r="G36" s="522"/>
      <c r="H36" s="522"/>
      <c r="K36" s="522"/>
      <c r="L36" s="522"/>
    </row>
    <row r="37" spans="1:12" ht="12.75" customHeight="1">
      <c r="A37" s="522"/>
      <c r="B37" s="522"/>
      <c r="C37" s="522"/>
      <c r="D37" s="522"/>
      <c r="E37" s="522"/>
      <c r="F37" s="522"/>
      <c r="G37" s="522"/>
      <c r="H37" s="522"/>
      <c r="K37" s="522"/>
      <c r="L37" s="522"/>
    </row>
    <row r="38" spans="1:12">
      <c r="A38" s="522"/>
      <c r="B38" s="1" t="s">
        <v>1147</v>
      </c>
      <c r="C38" s="22"/>
      <c r="D38" s="22"/>
      <c r="E38" s="560"/>
      <c r="F38" s="561"/>
      <c r="G38" s="562"/>
      <c r="H38" s="522"/>
      <c r="K38" s="522"/>
      <c r="L38" s="522"/>
    </row>
    <row r="39" spans="1:12">
      <c r="A39" s="522"/>
      <c r="B39" s="522" t="s">
        <v>1148</v>
      </c>
      <c r="C39" s="22"/>
      <c r="D39" s="22"/>
      <c r="E39" s="560"/>
      <c r="F39" s="561"/>
      <c r="G39" s="562"/>
      <c r="H39" s="522"/>
      <c r="K39" s="522"/>
      <c r="L39" s="522"/>
    </row>
    <row r="40" spans="1:12">
      <c r="A40" s="522"/>
      <c r="B40" s="522"/>
      <c r="C40" s="22"/>
      <c r="D40" s="22"/>
      <c r="E40" s="560"/>
      <c r="F40" s="561"/>
      <c r="G40" s="562"/>
      <c r="H40" s="522"/>
      <c r="K40" s="522"/>
      <c r="L40" s="522"/>
    </row>
    <row r="41" spans="1:12">
      <c r="A41" s="522"/>
      <c r="B41" s="522"/>
      <c r="C41" s="22"/>
      <c r="D41" s="430" t="s">
        <v>194</v>
      </c>
      <c r="E41" s="431" t="s">
        <v>198</v>
      </c>
      <c r="F41" s="561"/>
      <c r="G41" s="562"/>
      <c r="H41" s="522"/>
      <c r="K41" s="522"/>
      <c r="L41" s="522"/>
    </row>
    <row r="42" spans="1:12">
      <c r="A42" s="555">
        <f>A36+1</f>
        <v>18</v>
      </c>
      <c r="B42" s="522"/>
      <c r="C42" s="560" t="s">
        <v>353</v>
      </c>
      <c r="D42" s="561">
        <f>M24+F36</f>
        <v>7336413006.7818251</v>
      </c>
      <c r="E42" s="563" t="str">
        <f>"Sum of Line "&amp;A24&amp;", "&amp;M7&amp;" and Line "&amp;A36&amp;", "&amp;F30&amp;""</f>
        <v>Sum of Line 14, Col 12 and Line 17, Col 5</v>
      </c>
      <c r="F42" s="522"/>
      <c r="G42" s="522"/>
      <c r="H42" s="522"/>
      <c r="K42" s="522"/>
      <c r="L42" s="522"/>
    </row>
    <row r="43" spans="1:12">
      <c r="A43" s="555">
        <f>A42+1</f>
        <v>19</v>
      </c>
      <c r="B43" s="522"/>
      <c r="C43" s="560" t="s">
        <v>173</v>
      </c>
      <c r="D43" s="561">
        <f>M23+F35</f>
        <v>7656953152.2693701</v>
      </c>
      <c r="E43" s="563" t="str">
        <f>"Sum of Line "&amp;A23&amp;", "&amp;M7&amp;" and Line "&amp;A35&amp;", "&amp;F30&amp;""</f>
        <v>Sum of Line 13, Col 12 and Line 16, Col 5</v>
      </c>
      <c r="F43" s="522"/>
      <c r="G43" s="522"/>
      <c r="H43" s="522"/>
      <c r="I43" s="522"/>
      <c r="J43" s="522"/>
      <c r="K43" s="522"/>
      <c r="L43" s="522"/>
    </row>
    <row r="44" spans="1:12">
      <c r="A44" s="522"/>
      <c r="B44" s="522"/>
      <c r="C44" s="22"/>
      <c r="D44" s="22"/>
      <c r="E44" s="564"/>
      <c r="F44" s="565"/>
      <c r="G44" s="566"/>
      <c r="H44" s="522"/>
      <c r="I44" s="522"/>
      <c r="J44" s="522"/>
      <c r="K44" s="522"/>
      <c r="L44" s="522"/>
    </row>
    <row r="45" spans="1:12">
      <c r="A45" s="522"/>
      <c r="B45" s="1" t="s">
        <v>1988</v>
      </c>
      <c r="C45" s="522"/>
      <c r="D45" s="522"/>
      <c r="E45" s="564"/>
      <c r="F45" s="565"/>
      <c r="G45" s="566"/>
      <c r="H45" s="522"/>
      <c r="I45" s="522"/>
      <c r="J45" s="522"/>
      <c r="K45" s="522"/>
      <c r="L45" s="522"/>
    </row>
    <row r="46" spans="1:12">
      <c r="A46" s="522"/>
      <c r="B46" s="526" t="s">
        <v>334</v>
      </c>
      <c r="C46" s="522"/>
      <c r="D46" s="522"/>
      <c r="E46" s="564"/>
      <c r="F46" s="565"/>
      <c r="G46" s="566"/>
      <c r="H46" s="522"/>
      <c r="I46" s="522"/>
      <c r="J46" s="522"/>
      <c r="K46" s="522"/>
      <c r="L46" s="522"/>
    </row>
    <row r="47" spans="1:12" ht="12.75" customHeight="1">
      <c r="A47" s="522"/>
      <c r="B47" s="526"/>
      <c r="C47" s="522"/>
      <c r="D47" s="522"/>
      <c r="E47" s="564"/>
      <c r="F47" s="565"/>
      <c r="G47" s="566"/>
      <c r="H47" s="522"/>
      <c r="I47" s="522"/>
      <c r="J47" s="522"/>
      <c r="K47" s="522"/>
      <c r="L47" s="522"/>
    </row>
    <row r="48" spans="1:12">
      <c r="A48" s="522"/>
      <c r="B48" s="1"/>
      <c r="C48" s="262" t="s">
        <v>395</v>
      </c>
      <c r="D48" s="522"/>
      <c r="E48" s="564"/>
      <c r="F48" s="91" t="s">
        <v>394</v>
      </c>
      <c r="G48" s="91" t="s">
        <v>378</v>
      </c>
      <c r="H48" s="91" t="s">
        <v>379</v>
      </c>
      <c r="I48" s="522"/>
      <c r="J48" s="522"/>
      <c r="K48" s="522"/>
      <c r="L48" s="522"/>
    </row>
    <row r="49" spans="1:12">
      <c r="A49" s="522"/>
      <c r="B49" s="1"/>
      <c r="C49" s="555" t="s">
        <v>446</v>
      </c>
      <c r="D49" s="564"/>
      <c r="F49" s="555" t="s">
        <v>1349</v>
      </c>
      <c r="G49" s="555" t="s">
        <v>1350</v>
      </c>
      <c r="H49" s="80" t="s">
        <v>215</v>
      </c>
      <c r="I49" s="566"/>
      <c r="J49" s="522"/>
      <c r="K49" s="522"/>
      <c r="L49" s="522"/>
    </row>
    <row r="50" spans="1:12">
      <c r="A50" s="522"/>
      <c r="B50" s="522"/>
      <c r="C50" s="555" t="s">
        <v>212</v>
      </c>
      <c r="D50" s="26" t="s">
        <v>213</v>
      </c>
      <c r="F50" s="26" t="s">
        <v>414</v>
      </c>
      <c r="G50" s="26" t="s">
        <v>414</v>
      </c>
      <c r="H50" s="26" t="s">
        <v>1328</v>
      </c>
      <c r="I50" s="26"/>
      <c r="J50" s="522"/>
      <c r="K50" s="522"/>
      <c r="L50" s="522"/>
    </row>
    <row r="51" spans="1:12">
      <c r="A51" s="522"/>
      <c r="B51" s="522"/>
      <c r="C51" s="3" t="s">
        <v>211</v>
      </c>
      <c r="D51" s="25" t="s">
        <v>198</v>
      </c>
      <c r="F51" s="31" t="s">
        <v>2</v>
      </c>
      <c r="G51" s="31" t="s">
        <v>2</v>
      </c>
      <c r="H51" s="31" t="s">
        <v>2</v>
      </c>
      <c r="I51" s="29" t="s">
        <v>187</v>
      </c>
      <c r="J51" s="522"/>
      <c r="K51" s="522"/>
      <c r="L51" s="522"/>
    </row>
    <row r="52" spans="1:12">
      <c r="A52" s="555">
        <f>A43+1</f>
        <v>20</v>
      </c>
      <c r="B52" s="522"/>
      <c r="C52" s="567" t="s">
        <v>199</v>
      </c>
      <c r="D52" s="568" t="s">
        <v>1351</v>
      </c>
      <c r="E52" s="14"/>
      <c r="F52" s="114">
        <v>2714243545</v>
      </c>
      <c r="G52" s="557">
        <v>1877243156</v>
      </c>
      <c r="H52" s="561">
        <f>SUM(F52:G52)</f>
        <v>4591486701</v>
      </c>
      <c r="I52" s="568" t="s">
        <v>1989</v>
      </c>
      <c r="J52" s="524"/>
      <c r="K52" s="1280"/>
      <c r="L52" s="1280"/>
    </row>
    <row r="53" spans="1:12" ht="12.75" customHeight="1">
      <c r="A53" s="555">
        <f>A52+1</f>
        <v>21</v>
      </c>
      <c r="B53" s="522"/>
      <c r="C53" s="556" t="s">
        <v>199</v>
      </c>
      <c r="D53" s="568" t="s">
        <v>2028</v>
      </c>
      <c r="E53" s="14"/>
      <c r="F53" s="114">
        <v>2810955447</v>
      </c>
      <c r="G53" s="557">
        <v>1597954444</v>
      </c>
      <c r="H53" s="561">
        <f>SUM(F53:G53)</f>
        <v>4408909891</v>
      </c>
      <c r="I53" s="521" t="s">
        <v>1990</v>
      </c>
      <c r="J53" s="524"/>
      <c r="K53" s="1280"/>
      <c r="L53" s="1280"/>
    </row>
    <row r="54" spans="1:12" ht="12.75" customHeight="1">
      <c r="A54" s="522"/>
      <c r="B54" s="522"/>
      <c r="C54" s="556"/>
      <c r="D54" s="569"/>
      <c r="E54" s="570"/>
      <c r="F54" s="561"/>
      <c r="G54" s="526"/>
      <c r="H54" s="522"/>
      <c r="I54" s="522"/>
      <c r="J54" s="522"/>
      <c r="K54" s="522"/>
      <c r="L54" s="522"/>
    </row>
    <row r="55" spans="1:12" ht="12.75" customHeight="1">
      <c r="A55" s="522"/>
      <c r="B55" s="522"/>
      <c r="C55" s="22" t="s">
        <v>1353</v>
      </c>
      <c r="D55" s="22"/>
      <c r="E55" s="564"/>
      <c r="F55" s="431" t="s">
        <v>194</v>
      </c>
      <c r="G55" s="432" t="s">
        <v>198</v>
      </c>
      <c r="H55" s="522"/>
      <c r="I55" s="522"/>
      <c r="J55" s="522"/>
      <c r="K55" s="522"/>
      <c r="L55" s="522"/>
    </row>
    <row r="56" spans="1:12">
      <c r="A56" s="555">
        <f>A53+1</f>
        <v>22</v>
      </c>
      <c r="B56" s="522"/>
      <c r="C56" s="22"/>
      <c r="D56" s="22"/>
      <c r="E56" s="560" t="s">
        <v>94</v>
      </c>
      <c r="F56" s="561">
        <f>(H52+H53)/2</f>
        <v>4500198296</v>
      </c>
      <c r="G56" s="571" t="str">
        <f>"Average of Line "&amp;A52&amp;" and "&amp;A53&amp;"."</f>
        <v>Average of Line 20 and 21.</v>
      </c>
      <c r="H56" s="522"/>
      <c r="I56" s="522"/>
      <c r="J56" s="522"/>
      <c r="K56" s="522"/>
      <c r="L56" s="522"/>
    </row>
    <row r="57" spans="1:12">
      <c r="A57" s="555">
        <f>A56+1</f>
        <v>23</v>
      </c>
      <c r="B57" s="522"/>
      <c r="C57" s="22"/>
      <c r="D57" s="22"/>
      <c r="E57" s="572" t="s">
        <v>265</v>
      </c>
      <c r="F57" s="1299">
        <f>'27-Allocators'!G15</f>
        <v>6.0220089469584258E-2</v>
      </c>
      <c r="G57" s="571" t="str">
        <f>"27-Allocators, Line "&amp;'27-Allocators'!A15&amp;""</f>
        <v>27-Allocators, Line 9</v>
      </c>
      <c r="H57" s="522"/>
      <c r="I57" s="522"/>
      <c r="J57" s="522"/>
      <c r="K57" s="522"/>
      <c r="L57" s="522"/>
    </row>
    <row r="58" spans="1:12">
      <c r="A58" s="555">
        <f>A57+1</f>
        <v>24</v>
      </c>
      <c r="B58" s="522"/>
      <c r="C58" s="22"/>
      <c r="D58" s="22"/>
      <c r="E58" s="572" t="s">
        <v>335</v>
      </c>
      <c r="F58" s="561">
        <f>F56*F57</f>
        <v>271002344.01599061</v>
      </c>
      <c r="G58" s="571" t="str">
        <f>"Line "&amp;A56&amp;" * Line "&amp;A57&amp;"."</f>
        <v>Line 22 * Line 23.</v>
      </c>
      <c r="H58" s="522"/>
      <c r="I58" s="522"/>
      <c r="J58" s="522"/>
      <c r="K58" s="522"/>
      <c r="L58" s="522"/>
    </row>
    <row r="59" spans="1:12">
      <c r="A59" s="522"/>
      <c r="B59" s="522"/>
      <c r="C59" s="22"/>
      <c r="D59" s="22"/>
      <c r="E59" s="572"/>
      <c r="F59" s="561"/>
      <c r="G59" s="562"/>
      <c r="H59" s="522"/>
      <c r="I59" s="522"/>
      <c r="J59" s="522"/>
      <c r="K59" s="522"/>
      <c r="L59" s="522"/>
    </row>
    <row r="60" spans="1:12">
      <c r="A60" s="522"/>
      <c r="B60" s="522"/>
      <c r="C60" s="22" t="s">
        <v>1352</v>
      </c>
      <c r="D60" s="22"/>
      <c r="E60" s="564"/>
      <c r="F60" s="431" t="s">
        <v>194</v>
      </c>
      <c r="G60" s="432" t="s">
        <v>198</v>
      </c>
      <c r="H60" s="522"/>
      <c r="I60" s="522"/>
      <c r="J60" s="522"/>
      <c r="K60" s="522"/>
      <c r="L60" s="522"/>
    </row>
    <row r="61" spans="1:12">
      <c r="A61" s="555">
        <f>A58+1</f>
        <v>25</v>
      </c>
      <c r="B61" s="522"/>
      <c r="C61" s="22"/>
      <c r="D61" s="22"/>
      <c r="E61" s="560" t="s">
        <v>173</v>
      </c>
      <c r="F61" s="561">
        <f>H53</f>
        <v>4408909891</v>
      </c>
      <c r="G61" s="571" t="str">
        <f>"Line "&amp;A53&amp;"."</f>
        <v>Line 21.</v>
      </c>
      <c r="H61" s="522"/>
      <c r="I61" s="522"/>
      <c r="J61" s="522"/>
      <c r="K61" s="522"/>
      <c r="L61" s="522"/>
    </row>
    <row r="62" spans="1:12">
      <c r="A62" s="555">
        <f>A61+1</f>
        <v>26</v>
      </c>
      <c r="B62" s="522"/>
      <c r="C62" s="22"/>
      <c r="D62" s="22"/>
      <c r="E62" s="572" t="s">
        <v>265</v>
      </c>
      <c r="F62" s="1299">
        <f>'27-Allocators'!G15</f>
        <v>6.0220089469584258E-2</v>
      </c>
      <c r="G62" s="571" t="str">
        <f>"27-Allocators, Line "&amp;'27-Allocators'!A15&amp;""</f>
        <v>27-Allocators, Line 9</v>
      </c>
      <c r="H62" s="522"/>
      <c r="I62" s="522"/>
      <c r="J62" s="522"/>
      <c r="K62" s="522"/>
      <c r="L62" s="522"/>
    </row>
    <row r="63" spans="1:12">
      <c r="A63" s="555">
        <f>A62+1</f>
        <v>27</v>
      </c>
      <c r="B63" s="522"/>
      <c r="C63" s="22"/>
      <c r="D63" s="22"/>
      <c r="E63" s="572" t="s">
        <v>335</v>
      </c>
      <c r="F63" s="561">
        <f>F61*F62</f>
        <v>265504948.09935498</v>
      </c>
      <c r="G63" s="571" t="str">
        <f>"Line "&amp;A61&amp;" * Line "&amp;A62&amp;"."</f>
        <v>Line 25 * Line 26.</v>
      </c>
      <c r="H63" s="522"/>
      <c r="I63" s="522"/>
      <c r="J63" s="522"/>
      <c r="K63" s="522"/>
      <c r="L63" s="522"/>
    </row>
    <row r="64" spans="1:12">
      <c r="A64" s="522"/>
      <c r="B64" s="522"/>
      <c r="C64" s="522"/>
      <c r="D64" s="522"/>
      <c r="E64" s="522"/>
      <c r="F64" s="522"/>
      <c r="G64" s="522"/>
      <c r="H64" s="522"/>
      <c r="I64" s="522"/>
      <c r="J64" s="522"/>
      <c r="K64" s="522"/>
      <c r="L64" s="522"/>
    </row>
    <row r="65" spans="1:13">
      <c r="A65" s="522"/>
      <c r="B65" s="522"/>
      <c r="C65" s="522"/>
      <c r="D65" s="522"/>
      <c r="E65" s="522"/>
      <c r="F65" s="522"/>
      <c r="G65" s="522"/>
      <c r="H65" s="522"/>
      <c r="I65" s="522"/>
      <c r="J65" s="522"/>
      <c r="K65" s="522"/>
      <c r="L65" s="522"/>
    </row>
    <row r="66" spans="1:13">
      <c r="A66" s="522"/>
      <c r="B66" s="1" t="s">
        <v>1735</v>
      </c>
      <c r="C66" s="522"/>
      <c r="D66" s="522"/>
      <c r="E66" s="522"/>
      <c r="F66" s="522"/>
      <c r="G66" s="522"/>
      <c r="H66" s="522"/>
      <c r="I66" s="522"/>
      <c r="J66" s="522"/>
      <c r="K66" s="522"/>
      <c r="L66" s="522"/>
    </row>
    <row r="67" spans="1:13">
      <c r="A67" s="522"/>
      <c r="C67" s="522"/>
      <c r="D67" s="522"/>
      <c r="E67" s="522"/>
      <c r="F67" s="522"/>
      <c r="G67" s="522"/>
      <c r="H67" s="522"/>
      <c r="I67" s="522"/>
      <c r="J67" s="522"/>
      <c r="K67" s="522"/>
      <c r="L67" s="522"/>
    </row>
    <row r="68" spans="1:13">
      <c r="B68" s="1" t="s">
        <v>1736</v>
      </c>
      <c r="C68" s="522"/>
      <c r="D68" s="522"/>
      <c r="E68" s="522"/>
      <c r="F68" s="522"/>
      <c r="G68" s="522"/>
      <c r="H68" s="522"/>
      <c r="I68" s="522"/>
      <c r="J68" s="522"/>
      <c r="K68" s="522"/>
      <c r="L68" s="522"/>
    </row>
    <row r="69" spans="1:13">
      <c r="A69" s="522"/>
      <c r="C69" s="522"/>
      <c r="D69" s="522"/>
      <c r="E69" s="522"/>
      <c r="F69" s="522"/>
      <c r="G69" s="522"/>
      <c r="H69" s="522"/>
      <c r="I69" s="522"/>
      <c r="J69" s="522"/>
      <c r="K69" s="522"/>
      <c r="L69" s="522"/>
    </row>
    <row r="70" spans="1:13">
      <c r="A70" s="428"/>
      <c r="B70" s="91" t="s">
        <v>394</v>
      </c>
      <c r="C70" s="91" t="s">
        <v>378</v>
      </c>
      <c r="D70" s="91" t="s">
        <v>379</v>
      </c>
      <c r="E70" s="91" t="s">
        <v>380</v>
      </c>
      <c r="F70" s="91" t="s">
        <v>381</v>
      </c>
      <c r="G70" s="91" t="s">
        <v>382</v>
      </c>
      <c r="H70" s="91" t="s">
        <v>383</v>
      </c>
      <c r="I70" s="91" t="s">
        <v>596</v>
      </c>
      <c r="J70" s="91" t="s">
        <v>1045</v>
      </c>
      <c r="K70" s="91" t="s">
        <v>1061</v>
      </c>
      <c r="L70" s="91" t="s">
        <v>1064</v>
      </c>
      <c r="M70" s="91" t="s">
        <v>1082</v>
      </c>
    </row>
    <row r="71" spans="1:13">
      <c r="A71" s="241"/>
      <c r="B71" s="262"/>
      <c r="C71" s="241"/>
      <c r="D71" s="241"/>
      <c r="E71" s="241"/>
      <c r="F71" s="241"/>
      <c r="G71" s="241"/>
      <c r="H71" s="241"/>
      <c r="I71" s="241"/>
      <c r="J71" s="241"/>
      <c r="K71" s="241"/>
      <c r="M71" s="262" t="s">
        <v>1366</v>
      </c>
    </row>
    <row r="72" spans="1:13">
      <c r="A72" s="241"/>
      <c r="B72" s="117"/>
      <c r="C72" s="91"/>
      <c r="D72" s="91"/>
      <c r="E72" s="241"/>
      <c r="F72" s="241"/>
      <c r="G72" s="241"/>
      <c r="H72" s="241"/>
      <c r="I72" s="241"/>
      <c r="J72" s="241"/>
      <c r="K72" s="241"/>
      <c r="L72" s="241"/>
    </row>
    <row r="73" spans="1:13">
      <c r="A73" s="52"/>
      <c r="B73" s="131" t="s">
        <v>2034</v>
      </c>
      <c r="C73" s="91">
        <v>350.1</v>
      </c>
      <c r="D73" s="91">
        <v>350.2</v>
      </c>
      <c r="E73" s="91">
        <v>352</v>
      </c>
      <c r="F73" s="91">
        <v>353</v>
      </c>
      <c r="G73" s="91">
        <v>354</v>
      </c>
      <c r="H73" s="91">
        <v>355</v>
      </c>
      <c r="I73" s="91">
        <v>356</v>
      </c>
      <c r="J73" s="91">
        <v>357</v>
      </c>
      <c r="K73" s="91">
        <v>358</v>
      </c>
      <c r="L73" s="91">
        <v>359</v>
      </c>
      <c r="M73" s="3" t="s">
        <v>215</v>
      </c>
    </row>
    <row r="74" spans="1:13">
      <c r="A74" s="555">
        <f>A63+1</f>
        <v>28</v>
      </c>
      <c r="B74" s="822" t="s">
        <v>2916</v>
      </c>
      <c r="C74" s="557">
        <v>0</v>
      </c>
      <c r="D74" s="557">
        <v>-2837.6299999952316</v>
      </c>
      <c r="E74" s="246">
        <v>3560802.5499999523</v>
      </c>
      <c r="F74" s="246">
        <v>8432114.0900011063</v>
      </c>
      <c r="G74" s="246">
        <v>24372158.930000067</v>
      </c>
      <c r="H74" s="246">
        <v>12932404.410000086</v>
      </c>
      <c r="I74" s="246">
        <v>28539529.779999971</v>
      </c>
      <c r="J74" s="246">
        <v>6172542.9499999955</v>
      </c>
      <c r="K74" s="246">
        <v>285947.33000001311</v>
      </c>
      <c r="L74" s="246">
        <v>1194100.8299999833</v>
      </c>
      <c r="M74" s="243">
        <f t="shared" ref="M74:M85" si="13">SUM(C74:L74)</f>
        <v>85486763.240001172</v>
      </c>
    </row>
    <row r="75" spans="1:13">
      <c r="A75" s="555">
        <f t="shared" ref="A75:A86" si="14">A74+1</f>
        <v>29</v>
      </c>
      <c r="B75" s="821" t="s">
        <v>2917</v>
      </c>
      <c r="C75" s="557">
        <v>-349.4299999922514</v>
      </c>
      <c r="D75" s="557">
        <v>190639.09000000358</v>
      </c>
      <c r="E75" s="246">
        <v>2345863.9200000763</v>
      </c>
      <c r="F75" s="246">
        <v>9924867.6400003433</v>
      </c>
      <c r="G75" s="246">
        <v>-5270015.8900001049</v>
      </c>
      <c r="H75" s="246">
        <v>5198777.2000000477</v>
      </c>
      <c r="I75" s="246">
        <v>745804.09999990463</v>
      </c>
      <c r="J75" s="246">
        <v>480409.34000000358</v>
      </c>
      <c r="K75" s="246">
        <v>32741.079999983311</v>
      </c>
      <c r="L75" s="246">
        <v>782112.1400000006</v>
      </c>
      <c r="M75" s="243">
        <f t="shared" si="13"/>
        <v>14430849.190000266</v>
      </c>
    </row>
    <row r="76" spans="1:13">
      <c r="A76" s="555">
        <f t="shared" si="14"/>
        <v>30</v>
      </c>
      <c r="B76" s="821" t="s">
        <v>2918</v>
      </c>
      <c r="C76" s="557">
        <v>0</v>
      </c>
      <c r="D76" s="557">
        <v>16337.700000017881</v>
      </c>
      <c r="E76" s="246">
        <v>4178996.689999938</v>
      </c>
      <c r="F76" s="246">
        <v>13257711.189998627</v>
      </c>
      <c r="G76" s="246">
        <v>218586025.99000001</v>
      </c>
      <c r="H76" s="246">
        <v>64533694.449999928</v>
      </c>
      <c r="I76" s="246">
        <v>105108242.92000008</v>
      </c>
      <c r="J76" s="246">
        <v>1566.6899999976158</v>
      </c>
      <c r="K76" s="246">
        <v>-26580.909999996424</v>
      </c>
      <c r="L76" s="246">
        <v>23762074.580000013</v>
      </c>
      <c r="M76" s="243">
        <f t="shared" si="13"/>
        <v>429418069.29999864</v>
      </c>
    </row>
    <row r="77" spans="1:13">
      <c r="A77" s="555">
        <f t="shared" si="14"/>
        <v>31</v>
      </c>
      <c r="B77" s="822" t="s">
        <v>2919</v>
      </c>
      <c r="C77" s="557">
        <v>0</v>
      </c>
      <c r="D77" s="557">
        <v>3908.6899999976158</v>
      </c>
      <c r="E77" s="246">
        <v>-3390986.3400000334</v>
      </c>
      <c r="F77" s="246">
        <v>5063861.7600011826</v>
      </c>
      <c r="G77" s="246">
        <v>112328865.76000023</v>
      </c>
      <c r="H77" s="246">
        <v>12534694.769999981</v>
      </c>
      <c r="I77" s="246">
        <v>37402854.960000515</v>
      </c>
      <c r="J77" s="246">
        <v>-25.329999998211861</v>
      </c>
      <c r="K77" s="246">
        <v>-5196</v>
      </c>
      <c r="L77" s="246">
        <v>74996170.389999986</v>
      </c>
      <c r="M77" s="243">
        <f t="shared" si="13"/>
        <v>238934148.66000187</v>
      </c>
    </row>
    <row r="78" spans="1:13">
      <c r="A78" s="555">
        <f t="shared" si="14"/>
        <v>32</v>
      </c>
      <c r="B78" s="821" t="s">
        <v>2920</v>
      </c>
      <c r="C78" s="557">
        <v>0</v>
      </c>
      <c r="D78" s="557">
        <v>19657.840000033379</v>
      </c>
      <c r="E78" s="246">
        <v>588513.89999985695</v>
      </c>
      <c r="F78" s="246">
        <v>15283448.809999466</v>
      </c>
      <c r="G78" s="246">
        <v>5051672.8699998856</v>
      </c>
      <c r="H78" s="246">
        <v>7281782.6699999571</v>
      </c>
      <c r="I78" s="246">
        <v>1522432.4699997902</v>
      </c>
      <c r="J78" s="246">
        <v>1074.0300000011921</v>
      </c>
      <c r="K78" s="246">
        <v>-115030.57999998331</v>
      </c>
      <c r="L78" s="246">
        <v>1083872.5900000334</v>
      </c>
      <c r="M78" s="243">
        <f t="shared" si="13"/>
        <v>30717424.59999904</v>
      </c>
    </row>
    <row r="79" spans="1:13">
      <c r="A79" s="555">
        <f t="shared" si="14"/>
        <v>33</v>
      </c>
      <c r="B79" s="821" t="s">
        <v>2921</v>
      </c>
      <c r="C79" s="557">
        <v>1156575.0199999958</v>
      </c>
      <c r="D79" s="557">
        <v>-1084309.1500000358</v>
      </c>
      <c r="E79" s="246">
        <v>-1853042.2999998331</v>
      </c>
      <c r="F79" s="246">
        <v>34753868.269999504</v>
      </c>
      <c r="G79" s="246">
        <v>182592.71000003815</v>
      </c>
      <c r="H79" s="246">
        <v>5739969.9000000954</v>
      </c>
      <c r="I79" s="246">
        <v>-154220.40000009537</v>
      </c>
      <c r="J79" s="246">
        <v>-14457.530000001192</v>
      </c>
      <c r="K79" s="246">
        <v>-12236.380000025034</v>
      </c>
      <c r="L79" s="246">
        <v>332114.66999998689</v>
      </c>
      <c r="M79" s="243">
        <f t="shared" si="13"/>
        <v>39046854.80999963</v>
      </c>
    </row>
    <row r="80" spans="1:13">
      <c r="A80" s="555">
        <f t="shared" si="14"/>
        <v>34</v>
      </c>
      <c r="B80" s="822" t="s">
        <v>2922</v>
      </c>
      <c r="C80" s="557">
        <v>62837.339999988675</v>
      </c>
      <c r="D80" s="557">
        <v>8006826.9499999881</v>
      </c>
      <c r="E80" s="246">
        <v>2620571.7700001001</v>
      </c>
      <c r="F80" s="246">
        <v>15425026.200000763</v>
      </c>
      <c r="G80" s="246">
        <v>1410692.2699995041</v>
      </c>
      <c r="H80" s="246">
        <v>7756882.2099999189</v>
      </c>
      <c r="I80" s="246">
        <v>1229547.259999752</v>
      </c>
      <c r="J80" s="246">
        <v>1341180.3900000006</v>
      </c>
      <c r="K80" s="246">
        <v>1186908.75</v>
      </c>
      <c r="L80" s="246">
        <v>382423.91999998689</v>
      </c>
      <c r="M80" s="243">
        <f t="shared" si="13"/>
        <v>39422897.060000002</v>
      </c>
    </row>
    <row r="81" spans="1:13">
      <c r="A81" s="555">
        <f t="shared" si="14"/>
        <v>35</v>
      </c>
      <c r="B81" s="821" t="s">
        <v>2923</v>
      </c>
      <c r="C81" s="557">
        <v>0</v>
      </c>
      <c r="D81" s="557">
        <v>62835.379999995232</v>
      </c>
      <c r="E81" s="246">
        <v>1184222.6399999857</v>
      </c>
      <c r="F81" s="246">
        <v>5928133.7700004578</v>
      </c>
      <c r="G81" s="246">
        <v>8858401.1900005341</v>
      </c>
      <c r="H81" s="246">
        <v>8206517.8800001144</v>
      </c>
      <c r="I81" s="246">
        <v>21939932.639999866</v>
      </c>
      <c r="J81" s="246">
        <v>1079.2899999991059</v>
      </c>
      <c r="K81" s="246">
        <v>-231500.79999998212</v>
      </c>
      <c r="L81" s="246">
        <v>2881594.599999994</v>
      </c>
      <c r="M81" s="243">
        <f t="shared" si="13"/>
        <v>48831216.590000965</v>
      </c>
    </row>
    <row r="82" spans="1:13">
      <c r="A82" s="555">
        <f t="shared" si="14"/>
        <v>36</v>
      </c>
      <c r="B82" s="821" t="s">
        <v>2924</v>
      </c>
      <c r="C82" s="557">
        <v>1182.609999999404</v>
      </c>
      <c r="D82" s="557">
        <v>45668.270000010729</v>
      </c>
      <c r="E82" s="246">
        <v>1167662.8999998569</v>
      </c>
      <c r="F82" s="246">
        <v>-9448556.9300003052</v>
      </c>
      <c r="G82" s="246">
        <v>1555773.0199995041</v>
      </c>
      <c r="H82" s="246">
        <v>4823531.9199999571</v>
      </c>
      <c r="I82" s="246">
        <v>1207087.9900000095</v>
      </c>
      <c r="J82" s="246">
        <v>320905.78999999911</v>
      </c>
      <c r="K82" s="246">
        <v>387639.03000000119</v>
      </c>
      <c r="L82" s="246">
        <v>441322</v>
      </c>
      <c r="M82" s="243">
        <f t="shared" si="13"/>
        <v>502216.59999903291</v>
      </c>
    </row>
    <row r="83" spans="1:13">
      <c r="A83" s="555">
        <f t="shared" si="14"/>
        <v>37</v>
      </c>
      <c r="B83" s="822" t="s">
        <v>2925</v>
      </c>
      <c r="C83" s="557">
        <v>387886.49000000954</v>
      </c>
      <c r="D83" s="557">
        <v>-289863.5</v>
      </c>
      <c r="E83" s="246">
        <v>24403404.929999948</v>
      </c>
      <c r="F83" s="246">
        <v>104813286.57999706</v>
      </c>
      <c r="G83" s="246">
        <v>661129.13000011444</v>
      </c>
      <c r="H83" s="246">
        <v>6329501.310000062</v>
      </c>
      <c r="I83" s="246">
        <v>412046.25000023842</v>
      </c>
      <c r="J83" s="246">
        <v>-3412232.5200000033</v>
      </c>
      <c r="K83" s="246">
        <v>-4133649.2300000191</v>
      </c>
      <c r="L83" s="246">
        <v>99112.57000002265</v>
      </c>
      <c r="M83" s="243">
        <f t="shared" si="13"/>
        <v>129270622.00999743</v>
      </c>
    </row>
    <row r="84" spans="1:13">
      <c r="A84" s="555">
        <f t="shared" si="14"/>
        <v>38</v>
      </c>
      <c r="B84" s="822" t="s">
        <v>2926</v>
      </c>
      <c r="C84" s="557">
        <v>-387886.49000000954</v>
      </c>
      <c r="D84" s="557">
        <v>119123.80000001192</v>
      </c>
      <c r="E84" s="246">
        <v>2559555.8200000525</v>
      </c>
      <c r="F84" s="246">
        <v>3949535.0900030136</v>
      </c>
      <c r="G84" s="246">
        <v>1097957.3999996185</v>
      </c>
      <c r="H84" s="246">
        <v>8300983.2899999619</v>
      </c>
      <c r="I84" s="246">
        <v>-148257.13999986649</v>
      </c>
      <c r="J84" s="246">
        <v>-176582.32999999821</v>
      </c>
      <c r="K84" s="246">
        <v>21215092.480000019</v>
      </c>
      <c r="L84" s="246">
        <v>227853.31999999285</v>
      </c>
      <c r="M84" s="243">
        <f t="shared" si="13"/>
        <v>36757375.240002796</v>
      </c>
    </row>
    <row r="85" spans="1:13">
      <c r="A85" s="555">
        <f t="shared" si="14"/>
        <v>39</v>
      </c>
      <c r="B85" s="821" t="s">
        <v>2927</v>
      </c>
      <c r="C85" s="557">
        <v>154587.8900000006</v>
      </c>
      <c r="D85" s="557">
        <v>-145804.65999999642</v>
      </c>
      <c r="E85" s="1198">
        <v>20503732.2900002</v>
      </c>
      <c r="F85" s="1198">
        <v>44300689.039999008</v>
      </c>
      <c r="G85" s="1198">
        <v>7635247.3600001335</v>
      </c>
      <c r="H85" s="1198">
        <v>26258521.579999924</v>
      </c>
      <c r="I85" s="1198">
        <v>8874793.8399999142</v>
      </c>
      <c r="J85" s="1198">
        <v>66935.14999999851</v>
      </c>
      <c r="K85" s="1198">
        <v>1558101.9799999595</v>
      </c>
      <c r="L85" s="1198">
        <v>1139739.1899999976</v>
      </c>
      <c r="M85" s="378">
        <f t="shared" si="13"/>
        <v>110346543.65999913</v>
      </c>
    </row>
    <row r="86" spans="1:13">
      <c r="A86" s="555">
        <f t="shared" si="14"/>
        <v>40</v>
      </c>
      <c r="B86" s="559" t="s">
        <v>4</v>
      </c>
      <c r="C86" s="243">
        <f>SUM(C74:C85)</f>
        <v>1374833.4299999923</v>
      </c>
      <c r="D86" s="243">
        <f t="shared" ref="D86:L86" si="15">SUM(D74:D85)</f>
        <v>6942182.780000031</v>
      </c>
      <c r="E86" s="243">
        <f t="shared" si="15"/>
        <v>57869298.7700001</v>
      </c>
      <c r="F86" s="243">
        <f t="shared" si="15"/>
        <v>251683985.51000023</v>
      </c>
      <c r="G86" s="243">
        <f t="shared" si="15"/>
        <v>376470500.73999953</v>
      </c>
      <c r="H86" s="243">
        <f t="shared" si="15"/>
        <v>169897261.59000003</v>
      </c>
      <c r="I86" s="243">
        <f t="shared" si="15"/>
        <v>206679794.67000008</v>
      </c>
      <c r="J86" s="243">
        <f t="shared" si="15"/>
        <v>4782395.9199999943</v>
      </c>
      <c r="K86" s="243">
        <f t="shared" si="15"/>
        <v>20142236.74999997</v>
      </c>
      <c r="L86" s="243">
        <f t="shared" si="15"/>
        <v>107322490.8</v>
      </c>
      <c r="M86" s="243">
        <f>SUM(M74:M85)</f>
        <v>1203164980.96</v>
      </c>
    </row>
    <row r="88" spans="1:13">
      <c r="B88" s="44" t="s">
        <v>1983</v>
      </c>
      <c r="C88" s="14"/>
      <c r="D88" s="14"/>
      <c r="E88" s="14"/>
    </row>
    <row r="89" spans="1:13">
      <c r="B89" s="14"/>
      <c r="C89" s="14"/>
      <c r="D89" s="14"/>
    </row>
    <row r="90" spans="1:13">
      <c r="A90" s="428"/>
      <c r="B90" s="369" t="s">
        <v>394</v>
      </c>
      <c r="C90" s="369" t="s">
        <v>378</v>
      </c>
      <c r="D90" s="369" t="s">
        <v>379</v>
      </c>
      <c r="E90" s="91" t="s">
        <v>380</v>
      </c>
      <c r="F90" s="91" t="s">
        <v>381</v>
      </c>
      <c r="G90" s="91" t="s">
        <v>382</v>
      </c>
      <c r="H90" s="91" t="s">
        <v>383</v>
      </c>
      <c r="I90" s="91" t="s">
        <v>596</v>
      </c>
      <c r="J90" s="91" t="s">
        <v>1045</v>
      </c>
      <c r="K90" s="91" t="s">
        <v>1061</v>
      </c>
      <c r="L90" s="91" t="s">
        <v>1064</v>
      </c>
      <c r="M90" s="91" t="s">
        <v>1082</v>
      </c>
    </row>
    <row r="91" spans="1:13">
      <c r="A91" s="241"/>
      <c r="B91" s="493"/>
      <c r="C91" s="251"/>
      <c r="D91" s="251"/>
      <c r="E91" s="241"/>
      <c r="F91" s="241"/>
      <c r="G91" s="241"/>
      <c r="H91" s="241"/>
      <c r="I91" s="241"/>
      <c r="J91" s="241"/>
      <c r="K91" s="241"/>
      <c r="M91" s="262" t="s">
        <v>1366</v>
      </c>
    </row>
    <row r="92" spans="1:13">
      <c r="A92" s="241"/>
      <c r="B92" s="117"/>
      <c r="C92" s="369"/>
      <c r="D92" s="369"/>
      <c r="E92" s="241"/>
      <c r="F92" s="241"/>
      <c r="G92" s="241"/>
      <c r="H92" s="241"/>
      <c r="I92" s="241"/>
      <c r="J92" s="241"/>
      <c r="K92" s="241"/>
      <c r="L92" s="241"/>
    </row>
    <row r="93" spans="1:13">
      <c r="A93" s="52"/>
      <c r="B93" s="131" t="s">
        <v>2034</v>
      </c>
      <c r="C93" s="369">
        <v>350.1</v>
      </c>
      <c r="D93" s="369">
        <v>350.2</v>
      </c>
      <c r="E93" s="91">
        <v>352</v>
      </c>
      <c r="F93" s="91">
        <v>353</v>
      </c>
      <c r="G93" s="91">
        <v>354</v>
      </c>
      <c r="H93" s="91">
        <v>355</v>
      </c>
      <c r="I93" s="91">
        <v>356</v>
      </c>
      <c r="J93" s="91">
        <v>357</v>
      </c>
      <c r="K93" s="91">
        <v>358</v>
      </c>
      <c r="L93" s="91">
        <v>359</v>
      </c>
      <c r="M93" s="3" t="s">
        <v>215</v>
      </c>
    </row>
    <row r="94" spans="1:13">
      <c r="A94" s="555">
        <f>A86+1</f>
        <v>41</v>
      </c>
      <c r="B94" s="822" t="s">
        <v>2916</v>
      </c>
      <c r="C94" s="557">
        <v>0</v>
      </c>
      <c r="D94" s="557">
        <v>0</v>
      </c>
      <c r="E94" s="246">
        <v>107745.21000000834</v>
      </c>
      <c r="F94" s="246">
        <v>-103507.61999988556</v>
      </c>
      <c r="G94" s="246">
        <v>22239936.070000172</v>
      </c>
      <c r="H94" s="246">
        <v>1495060.3900000155</v>
      </c>
      <c r="I94" s="246">
        <v>23529619.870000005</v>
      </c>
      <c r="J94" s="246">
        <v>0</v>
      </c>
      <c r="K94" s="246">
        <v>0</v>
      </c>
      <c r="L94" s="246">
        <v>409569.75</v>
      </c>
      <c r="M94" s="243">
        <f t="shared" ref="M94:M105" si="16">SUM(C94:L94)</f>
        <v>47678423.670000315</v>
      </c>
    </row>
    <row r="95" spans="1:13">
      <c r="A95" s="555">
        <f t="shared" ref="A95:A106" si="17">A94+1</f>
        <v>42</v>
      </c>
      <c r="B95" s="821" t="s">
        <v>2917</v>
      </c>
      <c r="C95" s="557">
        <v>0</v>
      </c>
      <c r="D95" s="557">
        <v>0</v>
      </c>
      <c r="E95" s="246">
        <v>1603510.4399999976</v>
      </c>
      <c r="F95" s="246">
        <v>1344100.1499998569</v>
      </c>
      <c r="G95" s="246">
        <v>-4445500.5900001526</v>
      </c>
      <c r="H95" s="246">
        <v>-357249.57000000775</v>
      </c>
      <c r="I95" s="246">
        <v>-348344.30999994278</v>
      </c>
      <c r="J95" s="246">
        <v>0</v>
      </c>
      <c r="K95" s="246">
        <v>0</v>
      </c>
      <c r="L95" s="246">
        <v>623604.6099999994</v>
      </c>
      <c r="M95" s="243">
        <f t="shared" si="16"/>
        <v>-1579879.2700002491</v>
      </c>
    </row>
    <row r="96" spans="1:13">
      <c r="A96" s="555">
        <f t="shared" si="17"/>
        <v>43</v>
      </c>
      <c r="B96" s="821" t="s">
        <v>2918</v>
      </c>
      <c r="C96" s="557">
        <v>0</v>
      </c>
      <c r="D96" s="557">
        <v>0</v>
      </c>
      <c r="E96" s="246">
        <v>13209.25</v>
      </c>
      <c r="F96" s="246">
        <v>29443.050000190735</v>
      </c>
      <c r="G96" s="246">
        <v>217424764.01000023</v>
      </c>
      <c r="H96" s="246">
        <v>59961701.420000002</v>
      </c>
      <c r="I96" s="246">
        <v>104568148.51999998</v>
      </c>
      <c r="J96" s="246">
        <v>0</v>
      </c>
      <c r="K96" s="246">
        <v>0</v>
      </c>
      <c r="L96" s="246">
        <v>23675774.069999993</v>
      </c>
      <c r="M96" s="243">
        <f t="shared" si="16"/>
        <v>405673040.32000041</v>
      </c>
    </row>
    <row r="97" spans="1:13">
      <c r="A97" s="555">
        <f t="shared" si="17"/>
        <v>44</v>
      </c>
      <c r="B97" s="822" t="s">
        <v>2919</v>
      </c>
      <c r="C97" s="557">
        <v>0</v>
      </c>
      <c r="D97" s="557">
        <v>0</v>
      </c>
      <c r="E97" s="246">
        <v>7934.5799999833107</v>
      </c>
      <c r="F97" s="246">
        <v>64407.669999837875</v>
      </c>
      <c r="G97" s="246">
        <v>112119814.36999989</v>
      </c>
      <c r="H97" s="246">
        <v>5975834.7699999809</v>
      </c>
      <c r="I97" s="246">
        <v>36732171.399999976</v>
      </c>
      <c r="J97" s="246">
        <v>0</v>
      </c>
      <c r="K97" s="246">
        <v>0</v>
      </c>
      <c r="L97" s="246">
        <v>74904321.589999989</v>
      </c>
      <c r="M97" s="243">
        <f t="shared" si="16"/>
        <v>229804484.37999964</v>
      </c>
    </row>
    <row r="98" spans="1:13">
      <c r="A98" s="555">
        <f t="shared" si="17"/>
        <v>45</v>
      </c>
      <c r="B98" s="821" t="s">
        <v>2920</v>
      </c>
      <c r="C98" s="557">
        <v>0</v>
      </c>
      <c r="D98" s="557">
        <v>-243.23000000417233</v>
      </c>
      <c r="E98" s="246">
        <v>7536.3100000023842</v>
      </c>
      <c r="F98" s="246">
        <v>-142239.84000015259</v>
      </c>
      <c r="G98" s="246">
        <v>2600742.0800001621</v>
      </c>
      <c r="H98" s="246">
        <v>317876.40000000596</v>
      </c>
      <c r="I98" s="246">
        <v>1019190.6900000572</v>
      </c>
      <c r="J98" s="246">
        <v>0</v>
      </c>
      <c r="K98" s="246">
        <v>0</v>
      </c>
      <c r="L98" s="246">
        <v>1043619.7300000191</v>
      </c>
      <c r="M98" s="243">
        <f t="shared" si="16"/>
        <v>4846482.14000009</v>
      </c>
    </row>
    <row r="99" spans="1:13">
      <c r="A99" s="555">
        <f t="shared" si="17"/>
        <v>46</v>
      </c>
      <c r="B99" s="821" t="s">
        <v>2921</v>
      </c>
      <c r="C99" s="557">
        <v>1156575.0199999996</v>
      </c>
      <c r="D99" s="557">
        <v>-1156575.0199999958</v>
      </c>
      <c r="E99" s="246">
        <v>-2428702.0200000405</v>
      </c>
      <c r="F99" s="246">
        <v>2574007.3900003433</v>
      </c>
      <c r="G99" s="246">
        <v>-153545.95000004768</v>
      </c>
      <c r="H99" s="246">
        <v>-140697.29000002146</v>
      </c>
      <c r="I99" s="246">
        <v>-876130.23000001907</v>
      </c>
      <c r="J99" s="246">
        <v>0</v>
      </c>
      <c r="K99" s="246">
        <v>0</v>
      </c>
      <c r="L99" s="246">
        <v>307845.29999998212</v>
      </c>
      <c r="M99" s="243">
        <f t="shared" si="16"/>
        <v>-717222.79999979958</v>
      </c>
    </row>
    <row r="100" spans="1:13">
      <c r="A100" s="555">
        <f t="shared" si="17"/>
        <v>47</v>
      </c>
      <c r="B100" s="822" t="s">
        <v>2922</v>
      </c>
      <c r="C100" s="557">
        <v>0</v>
      </c>
      <c r="D100" s="557">
        <v>352196.32999999821</v>
      </c>
      <c r="E100" s="246">
        <v>553028.70000001788</v>
      </c>
      <c r="F100" s="246">
        <v>359976.6099998951</v>
      </c>
      <c r="G100" s="246">
        <v>1827477.1300001144</v>
      </c>
      <c r="H100" s="246">
        <v>295734.10000002384</v>
      </c>
      <c r="I100" s="246">
        <v>540923.29999995232</v>
      </c>
      <c r="J100" s="246">
        <v>0</v>
      </c>
      <c r="K100" s="246">
        <v>0</v>
      </c>
      <c r="L100" s="246">
        <v>366994.75</v>
      </c>
      <c r="M100" s="243">
        <f t="shared" si="16"/>
        <v>4296330.9200000018</v>
      </c>
    </row>
    <row r="101" spans="1:13">
      <c r="A101" s="555">
        <f t="shared" si="17"/>
        <v>48</v>
      </c>
      <c r="B101" s="821" t="s">
        <v>2923</v>
      </c>
      <c r="C101" s="557">
        <v>0</v>
      </c>
      <c r="D101" s="557">
        <v>0</v>
      </c>
      <c r="E101" s="246">
        <v>1051578.8299999833</v>
      </c>
      <c r="F101" s="246">
        <v>4510.1099998950958</v>
      </c>
      <c r="G101" s="246">
        <v>2837568.1399998665</v>
      </c>
      <c r="H101" s="246">
        <v>395308.88999998569</v>
      </c>
      <c r="I101" s="246">
        <v>1012358.0200001001</v>
      </c>
      <c r="J101" s="246">
        <v>0</v>
      </c>
      <c r="K101" s="246">
        <v>0</v>
      </c>
      <c r="L101" s="246">
        <v>478879.40000003576</v>
      </c>
      <c r="M101" s="243">
        <f t="shared" si="16"/>
        <v>5780203.3899998665</v>
      </c>
    </row>
    <row r="102" spans="1:13">
      <c r="A102" s="555">
        <f t="shared" si="17"/>
        <v>49</v>
      </c>
      <c r="B102" s="821" t="s">
        <v>2924</v>
      </c>
      <c r="C102" s="557">
        <v>1345.4199999999255</v>
      </c>
      <c r="D102" s="557">
        <v>-24230.209999993443</v>
      </c>
      <c r="E102" s="246">
        <v>48195.409999966621</v>
      </c>
      <c r="F102" s="246">
        <v>102546.53999996185</v>
      </c>
      <c r="G102" s="246">
        <v>1223810.2300000191</v>
      </c>
      <c r="H102" s="246">
        <v>107352.45000001788</v>
      </c>
      <c r="I102" s="246">
        <v>452706.48000001907</v>
      </c>
      <c r="J102" s="246">
        <v>0</v>
      </c>
      <c r="K102" s="246">
        <v>0</v>
      </c>
      <c r="L102" s="246">
        <v>423196.75999999046</v>
      </c>
      <c r="M102" s="243">
        <f t="shared" si="16"/>
        <v>2334923.0799999814</v>
      </c>
    </row>
    <row r="103" spans="1:13">
      <c r="A103" s="555">
        <f t="shared" si="17"/>
        <v>50</v>
      </c>
      <c r="B103" s="822" t="s">
        <v>2925</v>
      </c>
      <c r="C103" s="557">
        <v>0</v>
      </c>
      <c r="D103" s="557">
        <v>-340651.70999999344</v>
      </c>
      <c r="E103" s="246">
        <v>3747092.9600000083</v>
      </c>
      <c r="F103" s="246">
        <v>-4922519.2699999809</v>
      </c>
      <c r="G103" s="246">
        <v>539298.22000026703</v>
      </c>
      <c r="H103" s="246">
        <v>144629.09000000358</v>
      </c>
      <c r="I103" s="246">
        <v>575463.16999995708</v>
      </c>
      <c r="J103" s="246">
        <v>0</v>
      </c>
      <c r="K103" s="246">
        <v>0</v>
      </c>
      <c r="L103" s="246">
        <v>96696.560000002384</v>
      </c>
      <c r="M103" s="243">
        <f t="shared" si="16"/>
        <v>-159990.97999973595</v>
      </c>
    </row>
    <row r="104" spans="1:13">
      <c r="A104" s="555">
        <f t="shared" si="17"/>
        <v>51</v>
      </c>
      <c r="B104" s="822" t="s">
        <v>2926</v>
      </c>
      <c r="C104" s="557">
        <v>0</v>
      </c>
      <c r="D104" s="557">
        <v>118863.87000000477</v>
      </c>
      <c r="E104" s="246">
        <v>13829.830000013113</v>
      </c>
      <c r="F104" s="246">
        <v>15590.900000095367</v>
      </c>
      <c r="G104" s="246">
        <v>1247893.7499997616</v>
      </c>
      <c r="H104" s="246">
        <v>-114190.64999997616</v>
      </c>
      <c r="I104" s="246">
        <v>-334366.12000000477</v>
      </c>
      <c r="J104" s="246">
        <v>0</v>
      </c>
      <c r="K104" s="246">
        <v>0</v>
      </c>
      <c r="L104" s="246">
        <v>228235.98999997973</v>
      </c>
      <c r="M104" s="243">
        <f t="shared" si="16"/>
        <v>1175857.5699998736</v>
      </c>
    </row>
    <row r="105" spans="1:13">
      <c r="A105" s="555">
        <f t="shared" si="17"/>
        <v>52</v>
      </c>
      <c r="B105" s="821" t="s">
        <v>2927</v>
      </c>
      <c r="C105" s="557">
        <v>0</v>
      </c>
      <c r="D105" s="557">
        <v>0</v>
      </c>
      <c r="E105" s="1198">
        <v>525462.73999997973</v>
      </c>
      <c r="F105" s="1198">
        <v>273926.72999978065</v>
      </c>
      <c r="G105" s="1198">
        <v>6695523.2300000191</v>
      </c>
      <c r="H105" s="1198">
        <v>879484.38999998569</v>
      </c>
      <c r="I105" s="1198">
        <v>4879961.7600001097</v>
      </c>
      <c r="J105" s="1198">
        <v>0</v>
      </c>
      <c r="K105" s="1198">
        <v>0</v>
      </c>
      <c r="L105" s="1198">
        <v>1030659.0500000119</v>
      </c>
      <c r="M105" s="378">
        <f t="shared" si="16"/>
        <v>14285017.899999887</v>
      </c>
    </row>
    <row r="106" spans="1:13">
      <c r="A106" s="555">
        <f t="shared" si="17"/>
        <v>53</v>
      </c>
      <c r="B106" s="559" t="s">
        <v>4</v>
      </c>
      <c r="C106" s="243">
        <f>SUM(C94:C105)</f>
        <v>1157920.4399999995</v>
      </c>
      <c r="D106" s="243">
        <f t="shared" ref="D106:L106" si="18">SUM(D94:D105)</f>
        <v>-1050639.9699999839</v>
      </c>
      <c r="E106" s="243">
        <f t="shared" si="18"/>
        <v>5250422.2399999201</v>
      </c>
      <c r="F106" s="243">
        <f t="shared" si="18"/>
        <v>-399757.58000016212</v>
      </c>
      <c r="G106" s="243">
        <f t="shared" si="18"/>
        <v>364157780.6900003</v>
      </c>
      <c r="H106" s="243">
        <f t="shared" si="18"/>
        <v>68960844.390000015</v>
      </c>
      <c r="I106" s="243">
        <f t="shared" si="18"/>
        <v>171751702.55000019</v>
      </c>
      <c r="J106" s="243">
        <f t="shared" si="18"/>
        <v>0</v>
      </c>
      <c r="K106" s="243">
        <f t="shared" si="18"/>
        <v>0</v>
      </c>
      <c r="L106" s="243">
        <f t="shared" si="18"/>
        <v>103589397.56</v>
      </c>
      <c r="M106" s="243">
        <f>SUM(M94:M105)</f>
        <v>713417670.32000017</v>
      </c>
    </row>
    <row r="108" spans="1:13">
      <c r="B108" s="44" t="s">
        <v>1984</v>
      </c>
      <c r="C108" s="14"/>
      <c r="D108" s="14"/>
      <c r="E108" s="14"/>
      <c r="F108" s="14"/>
      <c r="G108" s="14"/>
    </row>
    <row r="109" spans="1:13">
      <c r="B109" s="14"/>
      <c r="C109" s="14"/>
      <c r="D109" s="14"/>
      <c r="E109" s="14"/>
      <c r="F109" s="14"/>
      <c r="G109" s="14"/>
    </row>
    <row r="110" spans="1:13">
      <c r="A110" s="428"/>
      <c r="B110" s="369" t="s">
        <v>394</v>
      </c>
      <c r="C110" s="369" t="s">
        <v>378</v>
      </c>
      <c r="D110" s="369" t="s">
        <v>379</v>
      </c>
      <c r="E110" s="369" t="s">
        <v>380</v>
      </c>
      <c r="F110" s="369" t="s">
        <v>381</v>
      </c>
      <c r="G110" s="369" t="s">
        <v>382</v>
      </c>
      <c r="H110" s="91" t="s">
        <v>383</v>
      </c>
      <c r="I110" s="91" t="s">
        <v>596</v>
      </c>
      <c r="J110" s="91" t="s">
        <v>1045</v>
      </c>
      <c r="K110" s="91" t="s">
        <v>1061</v>
      </c>
      <c r="L110" s="91" t="s">
        <v>1064</v>
      </c>
      <c r="M110" s="91" t="s">
        <v>1082</v>
      </c>
    </row>
    <row r="111" spans="1:13">
      <c r="A111" s="241"/>
      <c r="B111" s="493"/>
      <c r="C111" s="251"/>
      <c r="D111" s="251"/>
      <c r="E111" s="251"/>
      <c r="F111" s="251"/>
      <c r="G111" s="251"/>
      <c r="H111" s="241"/>
      <c r="I111" s="241"/>
      <c r="J111" s="241"/>
      <c r="K111" s="241"/>
      <c r="M111" s="262" t="s">
        <v>1366</v>
      </c>
    </row>
    <row r="112" spans="1:13">
      <c r="A112" s="241"/>
      <c r="B112" s="117"/>
      <c r="C112" s="369"/>
      <c r="D112" s="369"/>
      <c r="E112" s="251"/>
      <c r="F112" s="251"/>
      <c r="G112" s="251"/>
      <c r="H112" s="241"/>
      <c r="I112" s="241"/>
      <c r="J112" s="241"/>
      <c r="K112" s="241"/>
      <c r="L112" s="241"/>
    </row>
    <row r="113" spans="1:13">
      <c r="A113" s="52"/>
      <c r="B113" s="131" t="s">
        <v>2034</v>
      </c>
      <c r="C113" s="369">
        <v>350.1</v>
      </c>
      <c r="D113" s="369">
        <v>350.2</v>
      </c>
      <c r="E113" s="369">
        <v>352</v>
      </c>
      <c r="F113" s="369">
        <v>353</v>
      </c>
      <c r="G113" s="369">
        <v>354</v>
      </c>
      <c r="H113" s="91">
        <v>355</v>
      </c>
      <c r="I113" s="91">
        <v>356</v>
      </c>
      <c r="J113" s="91">
        <v>357</v>
      </c>
      <c r="K113" s="91">
        <v>358</v>
      </c>
      <c r="L113" s="91">
        <v>359</v>
      </c>
      <c r="M113" s="3" t="s">
        <v>215</v>
      </c>
    </row>
    <row r="114" spans="1:13">
      <c r="A114" s="555">
        <f>A106+1</f>
        <v>54</v>
      </c>
      <c r="B114" s="822" t="s">
        <v>2916</v>
      </c>
      <c r="C114" s="534">
        <f t="shared" ref="C114:L114" si="19">C74-C94</f>
        <v>0</v>
      </c>
      <c r="D114" s="534">
        <f t="shared" si="19"/>
        <v>-2837.6299999952316</v>
      </c>
      <c r="E114" s="534">
        <f t="shared" si="19"/>
        <v>3453057.339999944</v>
      </c>
      <c r="F114" s="534">
        <f t="shared" si="19"/>
        <v>8535621.7100009918</v>
      </c>
      <c r="G114" s="534">
        <f t="shared" si="19"/>
        <v>2132222.8599998951</v>
      </c>
      <c r="H114" s="534">
        <f t="shared" si="19"/>
        <v>11437344.02000007</v>
      </c>
      <c r="I114" s="534">
        <f t="shared" si="19"/>
        <v>5009909.9099999666</v>
      </c>
      <c r="J114" s="534">
        <f t="shared" si="19"/>
        <v>6172542.9499999955</v>
      </c>
      <c r="K114" s="534">
        <f t="shared" si="19"/>
        <v>285947.33000001311</v>
      </c>
      <c r="L114" s="534">
        <f t="shared" si="19"/>
        <v>784531.07999998331</v>
      </c>
      <c r="M114" s="243">
        <f t="shared" ref="M114:M125" si="20">SUM(C114:L114)</f>
        <v>37808339.570000865</v>
      </c>
    </row>
    <row r="115" spans="1:13">
      <c r="A115" s="555">
        <f t="shared" ref="A115:A126" si="21">A114+1</f>
        <v>55</v>
      </c>
      <c r="B115" s="821" t="s">
        <v>2917</v>
      </c>
      <c r="C115" s="534">
        <f t="shared" ref="C115:L115" si="22">C75-C95</f>
        <v>-349.4299999922514</v>
      </c>
      <c r="D115" s="534">
        <f t="shared" si="22"/>
        <v>190639.09000000358</v>
      </c>
      <c r="E115" s="534">
        <f t="shared" si="22"/>
        <v>742353.48000007868</v>
      </c>
      <c r="F115" s="534">
        <f t="shared" si="22"/>
        <v>8580767.4900004864</v>
      </c>
      <c r="G115" s="534">
        <f t="shared" si="22"/>
        <v>-824515.29999995232</v>
      </c>
      <c r="H115" s="534">
        <f t="shared" si="22"/>
        <v>5556026.7700000554</v>
      </c>
      <c r="I115" s="534">
        <f t="shared" si="22"/>
        <v>1094148.4099998474</v>
      </c>
      <c r="J115" s="534">
        <f t="shared" si="22"/>
        <v>480409.34000000358</v>
      </c>
      <c r="K115" s="534">
        <f t="shared" si="22"/>
        <v>32741.079999983311</v>
      </c>
      <c r="L115" s="534">
        <f t="shared" si="22"/>
        <v>158507.53000000119</v>
      </c>
      <c r="M115" s="243">
        <f t="shared" si="20"/>
        <v>16010728.460000515</v>
      </c>
    </row>
    <row r="116" spans="1:13">
      <c r="A116" s="555">
        <f t="shared" si="21"/>
        <v>56</v>
      </c>
      <c r="B116" s="821" t="s">
        <v>2918</v>
      </c>
      <c r="C116" s="534">
        <f t="shared" ref="C116:L116" si="23">C76-C96</f>
        <v>0</v>
      </c>
      <c r="D116" s="534">
        <f t="shared" si="23"/>
        <v>16337.700000017881</v>
      </c>
      <c r="E116" s="534">
        <f t="shared" si="23"/>
        <v>4165787.439999938</v>
      </c>
      <c r="F116" s="534">
        <f t="shared" si="23"/>
        <v>13228268.139998436</v>
      </c>
      <c r="G116" s="534">
        <f t="shared" si="23"/>
        <v>1161261.9799997807</v>
      </c>
      <c r="H116" s="534">
        <f t="shared" si="23"/>
        <v>4571993.0299999267</v>
      </c>
      <c r="I116" s="534">
        <f t="shared" si="23"/>
        <v>540094.40000009537</v>
      </c>
      <c r="J116" s="534">
        <f t="shared" si="23"/>
        <v>1566.6899999976158</v>
      </c>
      <c r="K116" s="534">
        <f t="shared" si="23"/>
        <v>-26580.909999996424</v>
      </c>
      <c r="L116" s="534">
        <f t="shared" si="23"/>
        <v>86300.510000020266</v>
      </c>
      <c r="M116" s="243">
        <f t="shared" si="20"/>
        <v>23745028.979998216</v>
      </c>
    </row>
    <row r="117" spans="1:13">
      <c r="A117" s="555">
        <f t="shared" si="21"/>
        <v>57</v>
      </c>
      <c r="B117" s="822" t="s">
        <v>2919</v>
      </c>
      <c r="C117" s="534">
        <f t="shared" ref="C117:L117" si="24">C77-C97</f>
        <v>0</v>
      </c>
      <c r="D117" s="534">
        <f t="shared" si="24"/>
        <v>3908.6899999976158</v>
      </c>
      <c r="E117" s="534">
        <f t="shared" si="24"/>
        <v>-3398920.9200000167</v>
      </c>
      <c r="F117" s="534">
        <f t="shared" si="24"/>
        <v>4999454.0900013447</v>
      </c>
      <c r="G117" s="534">
        <f t="shared" si="24"/>
        <v>209051.39000034332</v>
      </c>
      <c r="H117" s="534">
        <f t="shared" si="24"/>
        <v>6558860</v>
      </c>
      <c r="I117" s="534">
        <f t="shared" si="24"/>
        <v>670683.56000053883</v>
      </c>
      <c r="J117" s="534">
        <f t="shared" si="24"/>
        <v>-25.329999998211861</v>
      </c>
      <c r="K117" s="534">
        <f t="shared" si="24"/>
        <v>-5196</v>
      </c>
      <c r="L117" s="534">
        <f t="shared" si="24"/>
        <v>91848.79999999702</v>
      </c>
      <c r="M117" s="243">
        <f t="shared" si="20"/>
        <v>9129664.2800022066</v>
      </c>
    </row>
    <row r="118" spans="1:13">
      <c r="A118" s="555">
        <f t="shared" si="21"/>
        <v>58</v>
      </c>
      <c r="B118" s="821" t="s">
        <v>2920</v>
      </c>
      <c r="C118" s="534">
        <f t="shared" ref="C118:L118" si="25">C78-C98</f>
        <v>0</v>
      </c>
      <c r="D118" s="534">
        <f t="shared" si="25"/>
        <v>19901.070000037551</v>
      </c>
      <c r="E118" s="534">
        <f t="shared" si="25"/>
        <v>580977.58999985456</v>
      </c>
      <c r="F118" s="534">
        <f t="shared" si="25"/>
        <v>15425688.649999619</v>
      </c>
      <c r="G118" s="534">
        <f t="shared" si="25"/>
        <v>2450930.7899997234</v>
      </c>
      <c r="H118" s="534">
        <f t="shared" si="25"/>
        <v>6963906.2699999511</v>
      </c>
      <c r="I118" s="534">
        <f t="shared" si="25"/>
        <v>503241.77999973297</v>
      </c>
      <c r="J118" s="534">
        <f t="shared" si="25"/>
        <v>1074.0300000011921</v>
      </c>
      <c r="K118" s="534">
        <f t="shared" si="25"/>
        <v>-115030.57999998331</v>
      </c>
      <c r="L118" s="534">
        <f t="shared" si="25"/>
        <v>40252.860000014305</v>
      </c>
      <c r="M118" s="243">
        <f t="shared" si="20"/>
        <v>25870942.45999895</v>
      </c>
    </row>
    <row r="119" spans="1:13">
      <c r="A119" s="555">
        <f t="shared" si="21"/>
        <v>59</v>
      </c>
      <c r="B119" s="821" t="s">
        <v>2921</v>
      </c>
      <c r="C119" s="534">
        <f t="shared" ref="C119:L119" si="26">C79-C99</f>
        <v>-3.7252902984619141E-9</v>
      </c>
      <c r="D119" s="534">
        <f t="shared" si="26"/>
        <v>72265.869999960065</v>
      </c>
      <c r="E119" s="534">
        <f t="shared" si="26"/>
        <v>575659.72000020742</v>
      </c>
      <c r="F119" s="534">
        <f t="shared" si="26"/>
        <v>32179860.879999161</v>
      </c>
      <c r="G119" s="534">
        <f t="shared" si="26"/>
        <v>336138.66000008583</v>
      </c>
      <c r="H119" s="534">
        <f t="shared" si="26"/>
        <v>5880667.1900001168</v>
      </c>
      <c r="I119" s="534">
        <f t="shared" si="26"/>
        <v>721909.82999992371</v>
      </c>
      <c r="J119" s="534">
        <f t="shared" si="26"/>
        <v>-14457.530000001192</v>
      </c>
      <c r="K119" s="534">
        <f t="shared" si="26"/>
        <v>-12236.380000025034</v>
      </c>
      <c r="L119" s="534">
        <f t="shared" si="26"/>
        <v>24269.370000004768</v>
      </c>
      <c r="M119" s="243">
        <f t="shared" si="20"/>
        <v>39764077.609999433</v>
      </c>
    </row>
    <row r="120" spans="1:13">
      <c r="A120" s="555">
        <f t="shared" si="21"/>
        <v>60</v>
      </c>
      <c r="B120" s="822" t="s">
        <v>2922</v>
      </c>
      <c r="C120" s="534">
        <f t="shared" ref="C120:L120" si="27">C80-C100</f>
        <v>62837.339999988675</v>
      </c>
      <c r="D120" s="534">
        <f t="shared" si="27"/>
        <v>7654630.6199999899</v>
      </c>
      <c r="E120" s="534">
        <f t="shared" si="27"/>
        <v>2067543.0700000823</v>
      </c>
      <c r="F120" s="534">
        <f t="shared" si="27"/>
        <v>15065049.590000868</v>
      </c>
      <c r="G120" s="534">
        <f t="shared" si="27"/>
        <v>-416784.86000061035</v>
      </c>
      <c r="H120" s="534">
        <f t="shared" si="27"/>
        <v>7461148.1099998951</v>
      </c>
      <c r="I120" s="534">
        <f t="shared" si="27"/>
        <v>688623.95999979973</v>
      </c>
      <c r="J120" s="534">
        <f t="shared" si="27"/>
        <v>1341180.3900000006</v>
      </c>
      <c r="K120" s="534">
        <f t="shared" si="27"/>
        <v>1186908.75</v>
      </c>
      <c r="L120" s="534">
        <f t="shared" si="27"/>
        <v>15429.169999986887</v>
      </c>
      <c r="M120" s="243">
        <f t="shared" si="20"/>
        <v>35126566.140000001</v>
      </c>
    </row>
    <row r="121" spans="1:13">
      <c r="A121" s="555">
        <f t="shared" si="21"/>
        <v>61</v>
      </c>
      <c r="B121" s="821" t="s">
        <v>2923</v>
      </c>
      <c r="C121" s="534">
        <f t="shared" ref="C121:L121" si="28">C81-C101</f>
        <v>0</v>
      </c>
      <c r="D121" s="534">
        <f t="shared" si="28"/>
        <v>62835.379999995232</v>
      </c>
      <c r="E121" s="534">
        <f t="shared" si="28"/>
        <v>132643.81000000238</v>
      </c>
      <c r="F121" s="534">
        <f t="shared" si="28"/>
        <v>5923623.6600005627</v>
      </c>
      <c r="G121" s="534">
        <f t="shared" si="28"/>
        <v>6020833.0500006676</v>
      </c>
      <c r="H121" s="534">
        <f t="shared" si="28"/>
        <v>7811208.9900001287</v>
      </c>
      <c r="I121" s="534">
        <f t="shared" si="28"/>
        <v>20927574.619999766</v>
      </c>
      <c r="J121" s="534">
        <f t="shared" si="28"/>
        <v>1079.2899999991059</v>
      </c>
      <c r="K121" s="534">
        <f t="shared" si="28"/>
        <v>-231500.79999998212</v>
      </c>
      <c r="L121" s="534">
        <f t="shared" si="28"/>
        <v>2402715.1999999583</v>
      </c>
      <c r="M121" s="243">
        <f t="shared" si="20"/>
        <v>43051013.200001098</v>
      </c>
    </row>
    <row r="122" spans="1:13">
      <c r="A122" s="555">
        <f t="shared" si="21"/>
        <v>62</v>
      </c>
      <c r="B122" s="821" t="s">
        <v>2924</v>
      </c>
      <c r="C122" s="534">
        <f t="shared" ref="C122:L122" si="29">C82-C102</f>
        <v>-162.81000000052154</v>
      </c>
      <c r="D122" s="534">
        <f t="shared" si="29"/>
        <v>69898.480000004172</v>
      </c>
      <c r="E122" s="534">
        <f t="shared" si="29"/>
        <v>1119467.4899998903</v>
      </c>
      <c r="F122" s="534">
        <f t="shared" si="29"/>
        <v>-9551103.470000267</v>
      </c>
      <c r="G122" s="534">
        <f t="shared" si="29"/>
        <v>331962.78999948502</v>
      </c>
      <c r="H122" s="534">
        <f t="shared" si="29"/>
        <v>4716179.4699999392</v>
      </c>
      <c r="I122" s="534">
        <f t="shared" si="29"/>
        <v>754381.50999999046</v>
      </c>
      <c r="J122" s="534">
        <f t="shared" si="29"/>
        <v>320905.78999999911</v>
      </c>
      <c r="K122" s="534">
        <f t="shared" si="29"/>
        <v>387639.03000000119</v>
      </c>
      <c r="L122" s="534">
        <f t="shared" si="29"/>
        <v>18125.240000009537</v>
      </c>
      <c r="M122" s="243">
        <f t="shared" si="20"/>
        <v>-1832706.4800009485</v>
      </c>
    </row>
    <row r="123" spans="1:13">
      <c r="A123" s="555">
        <f t="shared" si="21"/>
        <v>63</v>
      </c>
      <c r="B123" s="822" t="s">
        <v>2925</v>
      </c>
      <c r="C123" s="534">
        <f t="shared" ref="C123:L123" si="30">C83-C103</f>
        <v>387886.49000000954</v>
      </c>
      <c r="D123" s="534">
        <f t="shared" si="30"/>
        <v>50788.209999993443</v>
      </c>
      <c r="E123" s="534">
        <f t="shared" si="30"/>
        <v>20656311.969999939</v>
      </c>
      <c r="F123" s="534">
        <f t="shared" si="30"/>
        <v>109735805.84999704</v>
      </c>
      <c r="G123" s="534">
        <f t="shared" si="30"/>
        <v>121830.90999984741</v>
      </c>
      <c r="H123" s="534">
        <f t="shared" si="30"/>
        <v>6184872.2200000584</v>
      </c>
      <c r="I123" s="534">
        <f t="shared" si="30"/>
        <v>-163416.91999971867</v>
      </c>
      <c r="J123" s="534">
        <f t="shared" si="30"/>
        <v>-3412232.5200000033</v>
      </c>
      <c r="K123" s="534">
        <f t="shared" si="30"/>
        <v>-4133649.2300000191</v>
      </c>
      <c r="L123" s="534">
        <f t="shared" si="30"/>
        <v>2416.0100000202656</v>
      </c>
      <c r="M123" s="243">
        <f t="shared" si="20"/>
        <v>129430612.98999715</v>
      </c>
    </row>
    <row r="124" spans="1:13">
      <c r="A124" s="555">
        <f t="shared" si="21"/>
        <v>64</v>
      </c>
      <c r="B124" s="822" t="s">
        <v>2926</v>
      </c>
      <c r="C124" s="534">
        <f t="shared" ref="C124:L124" si="31">C84-C104</f>
        <v>-387886.49000000954</v>
      </c>
      <c r="D124" s="534">
        <f t="shared" si="31"/>
        <v>259.93000000715256</v>
      </c>
      <c r="E124" s="534">
        <f t="shared" si="31"/>
        <v>2545725.9900000393</v>
      </c>
      <c r="F124" s="534">
        <f t="shared" si="31"/>
        <v>3933944.1900029182</v>
      </c>
      <c r="G124" s="534">
        <f t="shared" si="31"/>
        <v>-149936.35000014305</v>
      </c>
      <c r="H124" s="534">
        <f t="shared" si="31"/>
        <v>8415173.939999938</v>
      </c>
      <c r="I124" s="534">
        <f t="shared" si="31"/>
        <v>186108.98000013828</v>
      </c>
      <c r="J124" s="534">
        <f t="shared" si="31"/>
        <v>-176582.32999999821</v>
      </c>
      <c r="K124" s="534">
        <f t="shared" si="31"/>
        <v>21215092.480000019</v>
      </c>
      <c r="L124" s="534">
        <f t="shared" si="31"/>
        <v>-382.66999998688698</v>
      </c>
      <c r="M124" s="243">
        <f t="shared" si="20"/>
        <v>35581517.670002922</v>
      </c>
    </row>
    <row r="125" spans="1:13">
      <c r="A125" s="555">
        <f t="shared" si="21"/>
        <v>65</v>
      </c>
      <c r="B125" s="821" t="s">
        <v>2927</v>
      </c>
      <c r="C125" s="118">
        <f t="shared" ref="C125:L125" si="32">C85-C105</f>
        <v>154587.8900000006</v>
      </c>
      <c r="D125" s="118">
        <f t="shared" si="32"/>
        <v>-145804.65999999642</v>
      </c>
      <c r="E125" s="118">
        <f t="shared" si="32"/>
        <v>19978269.550000221</v>
      </c>
      <c r="F125" s="118">
        <f t="shared" si="32"/>
        <v>44026762.309999228</v>
      </c>
      <c r="G125" s="118">
        <f t="shared" si="32"/>
        <v>939724.13000011444</v>
      </c>
      <c r="H125" s="118">
        <f t="shared" si="32"/>
        <v>25379037.189999938</v>
      </c>
      <c r="I125" s="118">
        <f t="shared" si="32"/>
        <v>3994832.0799998045</v>
      </c>
      <c r="J125" s="118">
        <f t="shared" si="32"/>
        <v>66935.14999999851</v>
      </c>
      <c r="K125" s="118">
        <f t="shared" si="32"/>
        <v>1558101.9799999595</v>
      </c>
      <c r="L125" s="118">
        <f t="shared" si="32"/>
        <v>109080.13999998569</v>
      </c>
      <c r="M125" s="378">
        <f t="shared" si="20"/>
        <v>96061525.759999245</v>
      </c>
    </row>
    <row r="126" spans="1:13">
      <c r="A126" s="555">
        <f t="shared" si="21"/>
        <v>66</v>
      </c>
      <c r="B126" s="559" t="s">
        <v>4</v>
      </c>
      <c r="C126" s="243">
        <f>SUM(C114:C125)</f>
        <v>216912.98999999277</v>
      </c>
      <c r="D126" s="243">
        <f t="shared" ref="D126:L126" si="33">SUM(D114:D125)</f>
        <v>7992822.7500000149</v>
      </c>
      <c r="E126" s="243">
        <f t="shared" si="33"/>
        <v>52618876.53000018</v>
      </c>
      <c r="F126" s="243">
        <f t="shared" si="33"/>
        <v>252083743.09000039</v>
      </c>
      <c r="G126" s="243">
        <f t="shared" si="33"/>
        <v>12312720.049999237</v>
      </c>
      <c r="H126" s="243">
        <f t="shared" si="33"/>
        <v>100936417.20000002</v>
      </c>
      <c r="I126" s="243">
        <f t="shared" si="33"/>
        <v>34928092.119999886</v>
      </c>
      <c r="J126" s="243">
        <f t="shared" si="33"/>
        <v>4782395.9199999943</v>
      </c>
      <c r="K126" s="243">
        <f t="shared" si="33"/>
        <v>20142236.74999997</v>
      </c>
      <c r="L126" s="243">
        <f t="shared" si="33"/>
        <v>3733093.2399999946</v>
      </c>
      <c r="M126" s="243">
        <f>SUM(M114:M125)</f>
        <v>489747310.63999963</v>
      </c>
    </row>
    <row r="128" spans="1:13">
      <c r="B128" s="1" t="s">
        <v>1737</v>
      </c>
    </row>
    <row r="129" spans="1:13">
      <c r="B129" s="526" t="s">
        <v>1738</v>
      </c>
    </row>
    <row r="130" spans="1:13">
      <c r="B130" s="16"/>
      <c r="C130" s="91">
        <v>350.1</v>
      </c>
      <c r="D130" s="91">
        <v>350.2</v>
      </c>
      <c r="E130" s="91">
        <v>352</v>
      </c>
      <c r="F130" s="91">
        <v>353</v>
      </c>
      <c r="G130" s="91">
        <v>354</v>
      </c>
      <c r="H130" s="91">
        <v>355</v>
      </c>
      <c r="I130" s="91">
        <v>356</v>
      </c>
      <c r="J130" s="91">
        <v>357</v>
      </c>
      <c r="K130" s="91">
        <v>358</v>
      </c>
      <c r="L130" s="91">
        <v>359</v>
      </c>
      <c r="M130" s="3" t="s">
        <v>215</v>
      </c>
    </row>
    <row r="131" spans="1:13">
      <c r="A131" s="555">
        <f>A126+1</f>
        <v>67</v>
      </c>
      <c r="B131" s="16"/>
      <c r="C131" s="7">
        <f t="shared" ref="C131:M131" si="34">C23-C11</f>
        <v>2191399.7208648473</v>
      </c>
      <c r="D131" s="7">
        <f t="shared" si="34"/>
        <v>4676533.164119035</v>
      </c>
      <c r="E131" s="7">
        <f t="shared" si="34"/>
        <v>42132274.384457469</v>
      </c>
      <c r="F131" s="7">
        <f t="shared" si="34"/>
        <v>110065796.46250391</v>
      </c>
      <c r="G131" s="7">
        <f t="shared" si="34"/>
        <v>378693283.81574249</v>
      </c>
      <c r="H131" s="7">
        <f t="shared" si="34"/>
        <v>80150265.782482833</v>
      </c>
      <c r="I131" s="7">
        <f t="shared" si="34"/>
        <v>195259660.17309713</v>
      </c>
      <c r="J131" s="7">
        <f t="shared" si="34"/>
        <v>4215.5060913148045</v>
      </c>
      <c r="K131" s="7">
        <f t="shared" si="34"/>
        <v>17614.669060958549</v>
      </c>
      <c r="L131" s="7">
        <f t="shared" si="34"/>
        <v>107387286.84298539</v>
      </c>
      <c r="M131" s="7">
        <f t="shared" si="34"/>
        <v>920578330.52140522</v>
      </c>
    </row>
    <row r="132" spans="1:13">
      <c r="B132" s="16"/>
      <c r="C132" s="7"/>
      <c r="D132" s="7"/>
      <c r="E132" s="7"/>
      <c r="F132" s="7"/>
      <c r="G132" s="7"/>
      <c r="H132" s="7"/>
      <c r="I132" s="7"/>
      <c r="J132" s="7"/>
      <c r="K132" s="7"/>
      <c r="L132" s="7"/>
      <c r="M132" s="7"/>
    </row>
    <row r="133" spans="1:13">
      <c r="B133" s="526" t="s">
        <v>1739</v>
      </c>
      <c r="C133" s="7"/>
      <c r="D133" s="7"/>
      <c r="E133" s="7"/>
      <c r="F133" s="7"/>
      <c r="G133" s="7"/>
      <c r="H133" s="7"/>
      <c r="I133" s="7"/>
      <c r="J133" s="7"/>
      <c r="K133" s="7"/>
      <c r="L133" s="7"/>
      <c r="M133" s="7"/>
    </row>
    <row r="134" spans="1:13">
      <c r="B134" s="16"/>
      <c r="C134" s="91">
        <v>350.1</v>
      </c>
      <c r="D134" s="91">
        <v>350.2</v>
      </c>
      <c r="E134" s="91">
        <v>352</v>
      </c>
      <c r="F134" s="91">
        <v>353</v>
      </c>
      <c r="G134" s="91">
        <v>354</v>
      </c>
      <c r="H134" s="91">
        <v>355</v>
      </c>
      <c r="I134" s="91">
        <v>356</v>
      </c>
      <c r="J134" s="91">
        <v>357</v>
      </c>
      <c r="K134" s="91">
        <v>358</v>
      </c>
      <c r="L134" s="91">
        <v>359</v>
      </c>
      <c r="M134" s="3" t="s">
        <v>215</v>
      </c>
    </row>
    <row r="135" spans="1:13">
      <c r="A135" s="555">
        <f>A131+1</f>
        <v>68</v>
      </c>
      <c r="B135" s="16"/>
      <c r="C135" s="7">
        <f t="shared" ref="C135:M135" si="35">C106</f>
        <v>1157920.4399999995</v>
      </c>
      <c r="D135" s="7">
        <f t="shared" si="35"/>
        <v>-1050639.9699999839</v>
      </c>
      <c r="E135" s="7">
        <f t="shared" si="35"/>
        <v>5250422.2399999201</v>
      </c>
      <c r="F135" s="7">
        <f t="shared" si="35"/>
        <v>-399757.58000016212</v>
      </c>
      <c r="G135" s="7">
        <f t="shared" si="35"/>
        <v>364157780.6900003</v>
      </c>
      <c r="H135" s="7">
        <f t="shared" si="35"/>
        <v>68960844.390000015</v>
      </c>
      <c r="I135" s="7">
        <f t="shared" si="35"/>
        <v>171751702.55000019</v>
      </c>
      <c r="J135" s="7">
        <f t="shared" si="35"/>
        <v>0</v>
      </c>
      <c r="K135" s="7">
        <f t="shared" si="35"/>
        <v>0</v>
      </c>
      <c r="L135" s="7">
        <f t="shared" si="35"/>
        <v>103589397.56</v>
      </c>
      <c r="M135" s="7">
        <f t="shared" si="35"/>
        <v>713417670.32000017</v>
      </c>
    </row>
    <row r="136" spans="1:13">
      <c r="B136" s="16"/>
      <c r="C136" s="7"/>
      <c r="D136" s="7"/>
      <c r="E136" s="7"/>
      <c r="F136" s="7"/>
      <c r="G136" s="7"/>
      <c r="H136" s="7"/>
      <c r="I136" s="7"/>
      <c r="J136" s="7"/>
      <c r="K136" s="7"/>
      <c r="L136" s="7"/>
      <c r="M136" s="7"/>
    </row>
    <row r="137" spans="1:13">
      <c r="B137" s="526" t="s">
        <v>1740</v>
      </c>
      <c r="C137" s="7"/>
      <c r="D137" s="7"/>
      <c r="E137" s="7"/>
      <c r="F137" s="7"/>
      <c r="G137" s="7"/>
      <c r="H137" s="7"/>
      <c r="I137" s="7"/>
      <c r="J137" s="7"/>
      <c r="K137" s="7"/>
      <c r="L137" s="7"/>
      <c r="M137" s="7"/>
    </row>
    <row r="138" spans="1:13">
      <c r="C138" s="91">
        <v>350.1</v>
      </c>
      <c r="D138" s="91">
        <v>350.2</v>
      </c>
      <c r="E138" s="91">
        <v>352</v>
      </c>
      <c r="F138" s="91">
        <v>353</v>
      </c>
      <c r="G138" s="91">
        <v>354</v>
      </c>
      <c r="H138" s="91">
        <v>355</v>
      </c>
      <c r="I138" s="91">
        <v>356</v>
      </c>
      <c r="J138" s="91">
        <v>357</v>
      </c>
      <c r="K138" s="91">
        <v>358</v>
      </c>
      <c r="L138" s="91">
        <v>359</v>
      </c>
      <c r="M138" s="3" t="s">
        <v>215</v>
      </c>
    </row>
    <row r="139" spans="1:13">
      <c r="A139" s="555">
        <f>A135+1</f>
        <v>69</v>
      </c>
      <c r="C139" s="7">
        <f t="shared" ref="C139:M139" si="36">C131-C135</f>
        <v>1033479.2808648478</v>
      </c>
      <c r="D139" s="7">
        <f t="shared" si="36"/>
        <v>5727173.1341190189</v>
      </c>
      <c r="E139" s="7">
        <f t="shared" si="36"/>
        <v>36881852.144457549</v>
      </c>
      <c r="F139" s="7">
        <f t="shared" si="36"/>
        <v>110465554.04250407</v>
      </c>
      <c r="G139" s="7">
        <f t="shared" si="36"/>
        <v>14535503.125742197</v>
      </c>
      <c r="H139" s="7">
        <f t="shared" si="36"/>
        <v>11189421.392482817</v>
      </c>
      <c r="I139" s="7">
        <f t="shared" si="36"/>
        <v>23507957.623096943</v>
      </c>
      <c r="J139" s="7">
        <f t="shared" si="36"/>
        <v>4215.5060913148045</v>
      </c>
      <c r="K139" s="7">
        <f t="shared" si="36"/>
        <v>17614.669060958549</v>
      </c>
      <c r="L139" s="7">
        <f t="shared" si="36"/>
        <v>3797889.2829853892</v>
      </c>
      <c r="M139" s="7">
        <f t="shared" si="36"/>
        <v>207160660.20140505</v>
      </c>
    </row>
    <row r="141" spans="1:13">
      <c r="B141" s="44" t="s">
        <v>1985</v>
      </c>
      <c r="C141" s="14"/>
      <c r="D141" s="14"/>
      <c r="E141" s="14"/>
      <c r="F141" s="14"/>
      <c r="G141" s="14"/>
    </row>
    <row r="142" spans="1:13">
      <c r="A142" s="428"/>
      <c r="B142" s="369" t="s">
        <v>394</v>
      </c>
      <c r="C142" s="369" t="s">
        <v>378</v>
      </c>
      <c r="D142" s="369" t="s">
        <v>379</v>
      </c>
      <c r="E142" s="369" t="s">
        <v>380</v>
      </c>
      <c r="F142" s="369" t="s">
        <v>381</v>
      </c>
      <c r="G142" s="369" t="s">
        <v>382</v>
      </c>
      <c r="H142" s="91" t="s">
        <v>383</v>
      </c>
      <c r="I142" s="91" t="s">
        <v>596</v>
      </c>
      <c r="J142" s="91" t="s">
        <v>1045</v>
      </c>
      <c r="K142" s="91" t="s">
        <v>1061</v>
      </c>
      <c r="L142" s="91" t="s">
        <v>1064</v>
      </c>
      <c r="M142" s="91" t="s">
        <v>1082</v>
      </c>
    </row>
    <row r="143" spans="1:13">
      <c r="A143" s="241"/>
      <c r="B143" s="491"/>
      <c r="C143" s="251"/>
      <c r="D143" s="251"/>
      <c r="E143" s="251"/>
      <c r="F143" s="573"/>
      <c r="G143" s="251"/>
      <c r="H143" s="241"/>
      <c r="I143" s="241"/>
      <c r="J143" s="241"/>
      <c r="K143" s="241"/>
      <c r="L143" s="241"/>
      <c r="M143" s="262" t="s">
        <v>1366</v>
      </c>
    </row>
    <row r="144" spans="1:13">
      <c r="A144" s="241"/>
      <c r="B144" s="117"/>
      <c r="C144" s="369"/>
      <c r="D144" s="369"/>
      <c r="E144" s="251"/>
      <c r="F144" s="251"/>
      <c r="G144" s="251"/>
      <c r="H144" s="241"/>
      <c r="I144" s="241"/>
      <c r="J144" s="241"/>
      <c r="K144" s="241"/>
      <c r="L144" s="241"/>
    </row>
    <row r="145" spans="1:13">
      <c r="A145" s="52"/>
      <c r="B145" s="131" t="s">
        <v>2034</v>
      </c>
      <c r="C145" s="369">
        <v>350.1</v>
      </c>
      <c r="D145" s="369">
        <v>350.2</v>
      </c>
      <c r="E145" s="369">
        <v>352</v>
      </c>
      <c r="F145" s="369">
        <v>353</v>
      </c>
      <c r="G145" s="369">
        <v>354</v>
      </c>
      <c r="H145" s="91">
        <v>355</v>
      </c>
      <c r="I145" s="91">
        <v>356</v>
      </c>
      <c r="J145" s="91">
        <v>357</v>
      </c>
      <c r="K145" s="91">
        <v>358</v>
      </c>
      <c r="L145" s="91">
        <v>359</v>
      </c>
      <c r="M145" s="3" t="s">
        <v>215</v>
      </c>
    </row>
    <row r="146" spans="1:13">
      <c r="A146" s="555">
        <f>A139+1</f>
        <v>70</v>
      </c>
      <c r="B146" s="822" t="s">
        <v>2916</v>
      </c>
      <c r="C146" s="534">
        <f t="shared" ref="C146:C157" si="37">C114*($C$139/$C$126)</f>
        <v>0</v>
      </c>
      <c r="D146" s="534">
        <f t="shared" ref="D146:D157" si="38">D114*($D$139/$D$126)</f>
        <v>-2033.2739520018522</v>
      </c>
      <c r="E146" s="534">
        <f t="shared" ref="E146:E157" si="39">E114*($E$139/$E$126)</f>
        <v>2420331.9922195873</v>
      </c>
      <c r="F146" s="534">
        <f t="shared" ref="F146:F157" si="40">F114*($F$139/$F$126)</f>
        <v>3740392.6557685584</v>
      </c>
      <c r="G146" s="534">
        <f t="shared" ref="G146:G157" si="41">G114*($G$139/$G$126)</f>
        <v>2517147.4637977625</v>
      </c>
      <c r="H146" s="534">
        <f t="shared" ref="H146:H157" si="42">H114*($H$139/$H$126)</f>
        <v>1267899.7868231665</v>
      </c>
      <c r="I146" s="534">
        <f t="shared" ref="I146:I157" si="43">I114*($I$139/$I$126)</f>
        <v>3371863.2399155796</v>
      </c>
      <c r="J146" s="534">
        <f t="shared" ref="J146:J157" si="44">J114*($J$139/$J$126)</f>
        <v>5440.8695641048607</v>
      </c>
      <c r="K146" s="534">
        <f t="shared" ref="K146:K157" si="45">K114*($K$139/$K$126)</f>
        <v>250.06495799504208</v>
      </c>
      <c r="L146" s="534">
        <f t="shared" ref="L146:L157" si="46">L114*($L$139/$L$126)</f>
        <v>798148.34223130578</v>
      </c>
      <c r="M146" s="243">
        <f t="shared" ref="M146:M157" si="47">SUM(C146:L146)</f>
        <v>14119441.141326059</v>
      </c>
    </row>
    <row r="147" spans="1:13">
      <c r="A147" s="555">
        <f t="shared" ref="A147:A158" si="48">A146+1</f>
        <v>71</v>
      </c>
      <c r="B147" s="821" t="s">
        <v>2917</v>
      </c>
      <c r="C147" s="534">
        <f t="shared" si="37"/>
        <v>-1664.8549499253493</v>
      </c>
      <c r="D147" s="534">
        <f t="shared" si="38"/>
        <v>136600.43625525365</v>
      </c>
      <c r="E147" s="534">
        <f t="shared" si="39"/>
        <v>520333.63488246128</v>
      </c>
      <c r="F147" s="534">
        <f t="shared" si="40"/>
        <v>3760175.9767364031</v>
      </c>
      <c r="G147" s="534">
        <f t="shared" si="41"/>
        <v>-973362.88583709928</v>
      </c>
      <c r="H147" s="534">
        <f t="shared" si="42"/>
        <v>615919.67024410912</v>
      </c>
      <c r="I147" s="534">
        <f t="shared" si="43"/>
        <v>736404.22062810906</v>
      </c>
      <c r="J147" s="534">
        <f t="shared" si="44"/>
        <v>423.46316218305537</v>
      </c>
      <c r="K147" s="534">
        <f t="shared" si="45"/>
        <v>28.632534512239594</v>
      </c>
      <c r="L147" s="534">
        <f t="shared" si="46"/>
        <v>161258.77677233974</v>
      </c>
      <c r="M147" s="243">
        <f t="shared" si="47"/>
        <v>4956117.0704283454</v>
      </c>
    </row>
    <row r="148" spans="1:13">
      <c r="A148" s="555">
        <f t="shared" si="48"/>
        <v>72</v>
      </c>
      <c r="B148" s="821" t="s">
        <v>2918</v>
      </c>
      <c r="C148" s="534">
        <f t="shared" si="37"/>
        <v>0</v>
      </c>
      <c r="D148" s="534">
        <f t="shared" si="38"/>
        <v>11706.607220008544</v>
      </c>
      <c r="E148" s="534">
        <f t="shared" si="39"/>
        <v>2919901.8785533831</v>
      </c>
      <c r="F148" s="534">
        <f t="shared" si="40"/>
        <v>5796756.0747700483</v>
      </c>
      <c r="G148" s="534">
        <f t="shared" si="41"/>
        <v>1370901.5612755225</v>
      </c>
      <c r="H148" s="534">
        <f t="shared" si="42"/>
        <v>506833.49018418998</v>
      </c>
      <c r="I148" s="534">
        <f t="shared" si="43"/>
        <v>363504.43144886702</v>
      </c>
      <c r="J148" s="534">
        <f t="shared" si="44"/>
        <v>1.3809796070150437</v>
      </c>
      <c r="K148" s="534">
        <f t="shared" si="45"/>
        <v>-23.245379289321551</v>
      </c>
      <c r="L148" s="534">
        <f t="shared" si="46"/>
        <v>87798.445142841083</v>
      </c>
      <c r="M148" s="243">
        <f t="shared" si="47"/>
        <v>11057380.624195179</v>
      </c>
    </row>
    <row r="149" spans="1:13">
      <c r="A149" s="555">
        <f t="shared" si="48"/>
        <v>73</v>
      </c>
      <c r="B149" s="822" t="s">
        <v>2919</v>
      </c>
      <c r="C149" s="534">
        <f t="shared" si="37"/>
        <v>0</v>
      </c>
      <c r="D149" s="534">
        <f t="shared" si="38"/>
        <v>2800.7307377842167</v>
      </c>
      <c r="E149" s="534">
        <f t="shared" si="39"/>
        <v>-2382386.4568957915</v>
      </c>
      <c r="F149" s="534">
        <f t="shared" si="40"/>
        <v>2190809.5269947173</v>
      </c>
      <c r="G149" s="534">
        <f t="shared" si="41"/>
        <v>246790.88945833131</v>
      </c>
      <c r="H149" s="534">
        <f t="shared" si="42"/>
        <v>727089.88916142983</v>
      </c>
      <c r="I149" s="534">
        <f t="shared" si="43"/>
        <v>451395.98959006969</v>
      </c>
      <c r="J149" s="534">
        <f t="shared" si="44"/>
        <v>-2.2327463278169202E-2</v>
      </c>
      <c r="K149" s="534">
        <f t="shared" si="45"/>
        <v>-4.5439750101607146</v>
      </c>
      <c r="L149" s="534">
        <f t="shared" si="46"/>
        <v>93443.037917546797</v>
      </c>
      <c r="M149" s="243">
        <f t="shared" si="47"/>
        <v>1329939.0406616144</v>
      </c>
    </row>
    <row r="150" spans="1:13">
      <c r="A150" s="555">
        <f t="shared" si="48"/>
        <v>74</v>
      </c>
      <c r="B150" s="821" t="s">
        <v>2920</v>
      </c>
      <c r="C150" s="534">
        <f t="shared" si="37"/>
        <v>0</v>
      </c>
      <c r="D150" s="534">
        <f t="shared" si="38"/>
        <v>14259.902541243873</v>
      </c>
      <c r="E150" s="534">
        <f t="shared" si="39"/>
        <v>407221.3431125083</v>
      </c>
      <c r="F150" s="534">
        <f t="shared" si="40"/>
        <v>6759687.1671371525</v>
      </c>
      <c r="G150" s="534">
        <f t="shared" si="41"/>
        <v>2893390.9009830025</v>
      </c>
      <c r="H150" s="534">
        <f t="shared" si="42"/>
        <v>771991.75435744179</v>
      </c>
      <c r="I150" s="534">
        <f t="shared" si="43"/>
        <v>338701.19208806177</v>
      </c>
      <c r="J150" s="534">
        <f t="shared" si="44"/>
        <v>0.94671793866449061</v>
      </c>
      <c r="K150" s="534">
        <f t="shared" si="45"/>
        <v>-100.59585853044977</v>
      </c>
      <c r="L150" s="534">
        <f t="shared" si="46"/>
        <v>40951.536909259143</v>
      </c>
      <c r="M150" s="243">
        <f t="shared" si="47"/>
        <v>11226104.147988079</v>
      </c>
    </row>
    <row r="151" spans="1:13">
      <c r="A151" s="555">
        <f t="shared" si="48"/>
        <v>75</v>
      </c>
      <c r="B151" s="821" t="s">
        <v>2921</v>
      </c>
      <c r="C151" s="534">
        <f t="shared" si="37"/>
        <v>-1.7749099944025212E-8</v>
      </c>
      <c r="D151" s="534">
        <f t="shared" si="38"/>
        <v>51781.349608623328</v>
      </c>
      <c r="E151" s="534">
        <f t="shared" si="39"/>
        <v>403493.9185077924</v>
      </c>
      <c r="F151" s="534">
        <f t="shared" si="40"/>
        <v>14101528.791766103</v>
      </c>
      <c r="G151" s="534">
        <f t="shared" si="41"/>
        <v>396820.89118190773</v>
      </c>
      <c r="H151" s="534">
        <f t="shared" si="42"/>
        <v>651908.05343801237</v>
      </c>
      <c r="I151" s="534">
        <f t="shared" si="43"/>
        <v>485873.25162309437</v>
      </c>
      <c r="J151" s="534">
        <f t="shared" si="44"/>
        <v>-12.743780899756961</v>
      </c>
      <c r="K151" s="534">
        <f t="shared" si="45"/>
        <v>-10.700886246140129</v>
      </c>
      <c r="L151" s="534">
        <f t="shared" si="46"/>
        <v>24690.61828946586</v>
      </c>
      <c r="M151" s="243">
        <f t="shared" si="47"/>
        <v>16116073.429747835</v>
      </c>
    </row>
    <row r="152" spans="1:13">
      <c r="A152" s="555">
        <f t="shared" si="48"/>
        <v>76</v>
      </c>
      <c r="B152" s="822" t="s">
        <v>2922</v>
      </c>
      <c r="C152" s="534">
        <f t="shared" si="37"/>
        <v>299387.73585966608</v>
      </c>
      <c r="D152" s="534">
        <f t="shared" si="38"/>
        <v>5484845.1178863775</v>
      </c>
      <c r="E152" s="534">
        <f t="shared" si="39"/>
        <v>1449191.2948115659</v>
      </c>
      <c r="F152" s="534">
        <f t="shared" si="40"/>
        <v>6601651.6148091843</v>
      </c>
      <c r="G152" s="534">
        <f t="shared" si="41"/>
        <v>-492025.93827358808</v>
      </c>
      <c r="H152" s="534">
        <f t="shared" si="42"/>
        <v>827114.06438265729</v>
      </c>
      <c r="I152" s="534">
        <f t="shared" si="43"/>
        <v>463470.5730363995</v>
      </c>
      <c r="J152" s="534">
        <f t="shared" si="44"/>
        <v>1182.2011807832453</v>
      </c>
      <c r="K152" s="534">
        <f t="shared" si="45"/>
        <v>1037.9683793958989</v>
      </c>
      <c r="L152" s="534">
        <f t="shared" si="46"/>
        <v>15696.977177111698</v>
      </c>
      <c r="M152" s="243">
        <f t="shared" si="47"/>
        <v>14651551.609249551</v>
      </c>
    </row>
    <row r="153" spans="1:13">
      <c r="A153" s="555">
        <f t="shared" si="48"/>
        <v>77</v>
      </c>
      <c r="B153" s="821" t="s">
        <v>2923</v>
      </c>
      <c r="C153" s="534">
        <f t="shared" si="37"/>
        <v>0</v>
      </c>
      <c r="D153" s="534">
        <f t="shared" si="38"/>
        <v>45024.031116933198</v>
      </c>
      <c r="E153" s="534">
        <f t="shared" si="39"/>
        <v>92973.277099681</v>
      </c>
      <c r="F153" s="534">
        <f t="shared" si="40"/>
        <v>2595789.6432362394</v>
      </c>
      <c r="G153" s="534">
        <f t="shared" si="41"/>
        <v>7107758.2583274962</v>
      </c>
      <c r="H153" s="534">
        <f t="shared" si="42"/>
        <v>865920.46159789327</v>
      </c>
      <c r="I153" s="534">
        <f t="shared" si="43"/>
        <v>14085067.561976966</v>
      </c>
      <c r="J153" s="534">
        <f t="shared" si="44"/>
        <v>0.95135443518264617</v>
      </c>
      <c r="K153" s="534">
        <f t="shared" si="45"/>
        <v>-202.45070246961745</v>
      </c>
      <c r="L153" s="534">
        <f t="shared" si="46"/>
        <v>2444419.6063385629</v>
      </c>
      <c r="M153" s="243">
        <f t="shared" si="47"/>
        <v>27236751.34034574</v>
      </c>
    </row>
    <row r="154" spans="1:13">
      <c r="A154" s="555">
        <f t="shared" si="48"/>
        <v>78</v>
      </c>
      <c r="B154" s="821" t="s">
        <v>2924</v>
      </c>
      <c r="C154" s="534">
        <f t="shared" si="37"/>
        <v>-775.70624847387182</v>
      </c>
      <c r="D154" s="534">
        <f t="shared" si="38"/>
        <v>50085.021186260979</v>
      </c>
      <c r="E154" s="534">
        <f t="shared" si="39"/>
        <v>784662.02947459288</v>
      </c>
      <c r="F154" s="534">
        <f t="shared" si="40"/>
        <v>-4185386.6639633966</v>
      </c>
      <c r="G154" s="534">
        <f t="shared" si="41"/>
        <v>391891.16231615399</v>
      </c>
      <c r="H154" s="534">
        <f t="shared" si="42"/>
        <v>522817.44207189459</v>
      </c>
      <c r="I154" s="534">
        <f t="shared" si="43"/>
        <v>507727.94883271505</v>
      </c>
      <c r="J154" s="534">
        <f t="shared" si="44"/>
        <v>282.86664992035776</v>
      </c>
      <c r="K154" s="534">
        <f t="shared" si="45"/>
        <v>338.99577853790316</v>
      </c>
      <c r="L154" s="534">
        <f t="shared" si="46"/>
        <v>18439.843401172166</v>
      </c>
      <c r="M154" s="243">
        <f t="shared" si="47"/>
        <v>-1909917.0605006225</v>
      </c>
    </row>
    <row r="155" spans="1:13">
      <c r="A155" s="555">
        <f t="shared" si="48"/>
        <v>79</v>
      </c>
      <c r="B155" s="822" t="s">
        <v>2925</v>
      </c>
      <c r="C155" s="534">
        <f t="shared" si="37"/>
        <v>1848080.4249778364</v>
      </c>
      <c r="D155" s="534">
        <f t="shared" si="38"/>
        <v>36391.758073448684</v>
      </c>
      <c r="E155" s="534">
        <f t="shared" si="39"/>
        <v>14478512.164602535</v>
      </c>
      <c r="F155" s="534">
        <f t="shared" si="40"/>
        <v>48087300.049304277</v>
      </c>
      <c r="G155" s="534">
        <f t="shared" si="41"/>
        <v>143824.72483120477</v>
      </c>
      <c r="H155" s="534">
        <f t="shared" si="42"/>
        <v>685631.04821835633</v>
      </c>
      <c r="I155" s="534">
        <f t="shared" si="43"/>
        <v>-109985.91096966056</v>
      </c>
      <c r="J155" s="534">
        <f t="shared" si="44"/>
        <v>-3007.757453306479</v>
      </c>
      <c r="K155" s="534">
        <f t="shared" si="45"/>
        <v>-3614.9343344669296</v>
      </c>
      <c r="L155" s="534">
        <f t="shared" si="46"/>
        <v>2457.9451668510992</v>
      </c>
      <c r="M155" s="243">
        <f t="shared" si="47"/>
        <v>65165589.512417071</v>
      </c>
    </row>
    <row r="156" spans="1:13">
      <c r="A156" s="555">
        <f t="shared" si="48"/>
        <v>80</v>
      </c>
      <c r="B156" s="822" t="s">
        <v>2926</v>
      </c>
      <c r="C156" s="534">
        <f t="shared" si="37"/>
        <v>-1848080.4249778364</v>
      </c>
      <c r="D156" s="534">
        <f t="shared" si="38"/>
        <v>186.25010954890973</v>
      </c>
      <c r="E156" s="534">
        <f t="shared" si="39"/>
        <v>1784361.3500556801</v>
      </c>
      <c r="F156" s="534">
        <f t="shared" si="40"/>
        <v>1723892.7000770981</v>
      </c>
      <c r="G156" s="534">
        <f t="shared" si="41"/>
        <v>-177003.96624299034</v>
      </c>
      <c r="H156" s="534">
        <f t="shared" si="42"/>
        <v>932873.68343106995</v>
      </c>
      <c r="I156" s="534">
        <f t="shared" si="43"/>
        <v>125258.54547365587</v>
      </c>
      <c r="J156" s="534">
        <f t="shared" si="44"/>
        <v>-155.65082861929889</v>
      </c>
      <c r="K156" s="534">
        <f t="shared" si="45"/>
        <v>18552.896471779943</v>
      </c>
      <c r="L156" s="534">
        <f t="shared" si="46"/>
        <v>-389.31207940314374</v>
      </c>
      <c r="M156" s="243">
        <f t="shared" si="47"/>
        <v>2559496.0714899832</v>
      </c>
    </row>
    <row r="157" spans="1:13">
      <c r="A157" s="555">
        <f t="shared" si="48"/>
        <v>81</v>
      </c>
      <c r="B157" s="821" t="s">
        <v>2927</v>
      </c>
      <c r="C157" s="118">
        <f t="shared" si="37"/>
        <v>736532.10620359867</v>
      </c>
      <c r="D157" s="118">
        <f t="shared" si="38"/>
        <v>-104474.796664462</v>
      </c>
      <c r="E157" s="118">
        <f t="shared" si="39"/>
        <v>14003255.718033554</v>
      </c>
      <c r="F157" s="118">
        <f t="shared" si="40"/>
        <v>19292956.505867686</v>
      </c>
      <c r="G157" s="118">
        <f t="shared" si="41"/>
        <v>1109370.0639244921</v>
      </c>
      <c r="H157" s="118">
        <f t="shared" si="42"/>
        <v>2813422.0485725966</v>
      </c>
      <c r="I157" s="118">
        <f t="shared" si="43"/>
        <v>2688676.5794530874</v>
      </c>
      <c r="J157" s="118">
        <f t="shared" si="44"/>
        <v>59.000872631236305</v>
      </c>
      <c r="K157" s="118">
        <f t="shared" si="45"/>
        <v>1362.5820747501434</v>
      </c>
      <c r="L157" s="118">
        <f t="shared" si="46"/>
        <v>110973.46571833608</v>
      </c>
      <c r="M157" s="378">
        <f t="shared" si="47"/>
        <v>40652133.274056278</v>
      </c>
    </row>
    <row r="158" spans="1:13">
      <c r="A158" s="555">
        <f t="shared" si="48"/>
        <v>82</v>
      </c>
      <c r="B158" s="559" t="s">
        <v>4</v>
      </c>
      <c r="C158" s="243">
        <f>SUM(C146:C157)</f>
        <v>1033479.2808648478</v>
      </c>
      <c r="D158" s="243">
        <f t="shared" ref="D158:L158" si="49">SUM(D146:D157)</f>
        <v>5727173.1341190198</v>
      </c>
      <c r="E158" s="243">
        <f t="shared" si="49"/>
        <v>36881852.144457549</v>
      </c>
      <c r="F158" s="243">
        <f t="shared" si="49"/>
        <v>110465554.04250409</v>
      </c>
      <c r="G158" s="243">
        <f t="shared" si="49"/>
        <v>14535503.125742197</v>
      </c>
      <c r="H158" s="243">
        <f t="shared" si="49"/>
        <v>11189421.392482817</v>
      </c>
      <c r="I158" s="243">
        <f t="shared" si="49"/>
        <v>23507957.623096947</v>
      </c>
      <c r="J158" s="243">
        <f t="shared" si="49"/>
        <v>4215.5060913148054</v>
      </c>
      <c r="K158" s="243">
        <f t="shared" si="49"/>
        <v>17614.669060958549</v>
      </c>
      <c r="L158" s="243">
        <f t="shared" si="49"/>
        <v>3797889.2829853888</v>
      </c>
      <c r="M158" s="243">
        <f>SUM(M146:M157)</f>
        <v>207160660.20140514</v>
      </c>
    </row>
    <row r="160" spans="1:13">
      <c r="B160" s="434" t="s">
        <v>256</v>
      </c>
    </row>
    <row r="161" spans="2:44">
      <c r="B161" s="524" t="s">
        <v>2240</v>
      </c>
      <c r="C161" s="14"/>
      <c r="D161" s="14"/>
      <c r="E161" s="14"/>
      <c r="F161" s="14"/>
      <c r="G161" s="14"/>
      <c r="H161" s="14"/>
      <c r="I161" s="14"/>
      <c r="J161" s="14"/>
      <c r="K161" s="14"/>
      <c r="L161" s="14"/>
    </row>
    <row r="162" spans="2:44">
      <c r="B162" s="1040" t="s">
        <v>2285</v>
      </c>
      <c r="C162" s="524"/>
      <c r="D162" s="524"/>
      <c r="E162" s="524"/>
      <c r="F162" s="524"/>
      <c r="G162" s="524"/>
      <c r="H162" s="524"/>
      <c r="I162" s="14"/>
      <c r="J162" s="524"/>
      <c r="K162" s="524"/>
      <c r="L162" s="524"/>
      <c r="M162" s="524"/>
      <c r="N162" s="522"/>
      <c r="O162" s="522"/>
      <c r="P162" s="522"/>
      <c r="Q162" s="522"/>
      <c r="R162" s="522"/>
      <c r="S162" s="522"/>
      <c r="T162" s="522"/>
      <c r="U162" s="522"/>
      <c r="V162" s="522"/>
      <c r="W162" s="522"/>
      <c r="X162" s="522"/>
      <c r="Y162" s="522"/>
      <c r="Z162" s="522"/>
      <c r="AA162" s="522"/>
      <c r="AB162" s="522"/>
      <c r="AC162" s="522"/>
      <c r="AD162" s="522"/>
      <c r="AE162" s="522"/>
      <c r="AF162" s="522"/>
      <c r="AG162" s="522"/>
      <c r="AH162" s="522"/>
      <c r="AI162" s="522"/>
      <c r="AJ162" s="522"/>
      <c r="AK162" s="522"/>
      <c r="AL162" s="522"/>
      <c r="AM162" s="522"/>
      <c r="AN162" s="522"/>
      <c r="AO162" s="522"/>
      <c r="AP162" s="522"/>
      <c r="AQ162" s="522"/>
      <c r="AR162" s="522"/>
    </row>
    <row r="163" spans="2:44">
      <c r="B163" s="14" t="s">
        <v>2241</v>
      </c>
      <c r="C163" s="14"/>
      <c r="D163" s="14"/>
      <c r="E163" s="14"/>
      <c r="F163" s="14"/>
      <c r="G163" s="14"/>
      <c r="H163" s="14"/>
      <c r="I163" s="14"/>
      <c r="J163" s="14"/>
      <c r="K163" s="14"/>
      <c r="L163" s="14"/>
      <c r="M163" s="14"/>
    </row>
    <row r="164" spans="2:44">
      <c r="B164" s="521" t="s">
        <v>2242</v>
      </c>
      <c r="C164" s="14"/>
      <c r="D164" s="14"/>
      <c r="E164" s="14"/>
      <c r="F164" s="14"/>
      <c r="G164" s="14"/>
      <c r="H164" s="14"/>
      <c r="I164" s="14"/>
      <c r="J164" s="14"/>
      <c r="K164" s="14"/>
      <c r="L164" s="14"/>
      <c r="M164" s="14"/>
    </row>
    <row r="165" spans="2:44">
      <c r="B165" s="521" t="s">
        <v>2244</v>
      </c>
      <c r="C165" s="14"/>
      <c r="D165" s="14"/>
      <c r="E165" s="14"/>
      <c r="F165" s="14"/>
      <c r="G165" s="14"/>
      <c r="H165" s="14"/>
      <c r="I165" s="14"/>
      <c r="J165" s="14"/>
      <c r="K165" s="14"/>
      <c r="L165" s="14"/>
      <c r="M165" s="14"/>
    </row>
    <row r="166" spans="2:44">
      <c r="B166" s="120" t="s">
        <v>2243</v>
      </c>
      <c r="C166" s="14"/>
      <c r="D166" s="14"/>
      <c r="E166" s="14"/>
      <c r="F166" s="14"/>
      <c r="G166" s="14"/>
      <c r="H166" s="14"/>
      <c r="I166" s="14"/>
      <c r="J166" s="14"/>
      <c r="K166" s="14"/>
      <c r="L166" s="14"/>
      <c r="M166" s="14"/>
    </row>
    <row r="167" spans="2:44">
      <c r="B167" s="524" t="s">
        <v>2245</v>
      </c>
      <c r="C167" s="14"/>
      <c r="D167" s="14"/>
      <c r="E167" s="14"/>
      <c r="F167" s="14"/>
      <c r="G167" s="14"/>
      <c r="H167" s="14"/>
      <c r="I167" s="14"/>
      <c r="J167" s="14"/>
      <c r="K167" s="14"/>
      <c r="L167" s="14"/>
      <c r="M167" s="14"/>
    </row>
    <row r="168" spans="2:44">
      <c r="B168" s="521" t="s">
        <v>2246</v>
      </c>
      <c r="C168" s="14"/>
      <c r="D168" s="14"/>
      <c r="E168" s="14"/>
      <c r="F168" s="14"/>
      <c r="G168" s="14"/>
      <c r="H168" s="14"/>
      <c r="I168" s="14"/>
      <c r="J168" s="14"/>
      <c r="K168" s="14"/>
      <c r="L168" s="14"/>
      <c r="M168" s="14"/>
    </row>
    <row r="169" spans="2:44">
      <c r="B169" s="521" t="s">
        <v>2247</v>
      </c>
      <c r="C169" s="14"/>
      <c r="D169" s="14"/>
      <c r="E169" s="14"/>
      <c r="F169" s="14"/>
      <c r="G169" s="14"/>
      <c r="H169" s="14"/>
      <c r="I169" s="14"/>
      <c r="J169" s="14"/>
      <c r="K169" s="14"/>
      <c r="L169" s="14"/>
      <c r="M169" s="14"/>
    </row>
    <row r="170" spans="2:44">
      <c r="B170" s="521" t="s">
        <v>2248</v>
      </c>
      <c r="C170" s="14"/>
      <c r="D170" s="14"/>
      <c r="E170" s="14"/>
      <c r="F170" s="14"/>
      <c r="G170" s="14"/>
      <c r="H170" s="14"/>
      <c r="I170" s="14"/>
      <c r="J170" s="14"/>
      <c r="K170" s="14"/>
      <c r="L170" s="14"/>
      <c r="M170" s="14"/>
    </row>
    <row r="171" spans="2:44">
      <c r="B171" s="524" t="str">
        <f>"2) Amounts on Line "&amp;A34&amp;" must match 6-Plant Study amounts for Distribution Plant - ISO for previous year."</f>
        <v>2) Amounts on Line 15 must match 6-Plant Study amounts for Distribution Plant - ISO for previous year.</v>
      </c>
      <c r="C171" s="14"/>
      <c r="D171" s="14"/>
      <c r="E171" s="14"/>
      <c r="F171" s="14"/>
      <c r="G171" s="14"/>
      <c r="H171" s="14"/>
      <c r="I171" s="14"/>
      <c r="J171" s="14"/>
      <c r="K171" s="14"/>
      <c r="L171" s="14"/>
    </row>
    <row r="172" spans="2:44">
      <c r="B172" s="521" t="str">
        <f>"Amounts on Line "&amp;A35&amp;" must match amounts on 6-PlantStudy for Distribution Plant - ISO."</f>
        <v>Amounts on Line 16 must match amounts on 6-PlantStudy for Distribution Plant - ISO.</v>
      </c>
      <c r="C172" s="14"/>
      <c r="D172" s="14"/>
      <c r="E172" s="14"/>
      <c r="F172" s="14"/>
      <c r="G172" s="14"/>
      <c r="H172" s="14"/>
      <c r="I172" s="14"/>
      <c r="J172" s="14"/>
      <c r="K172" s="14"/>
      <c r="L172" s="14"/>
    </row>
    <row r="173" spans="2:44">
      <c r="B173" s="524" t="s">
        <v>2539</v>
      </c>
      <c r="C173" s="14"/>
      <c r="D173" s="14"/>
      <c r="E173" s="14"/>
      <c r="F173" s="14"/>
      <c r="G173" s="14"/>
      <c r="H173" s="14"/>
      <c r="I173" s="14"/>
      <c r="J173" s="14"/>
      <c r="K173" s="14"/>
      <c r="L173" s="14"/>
    </row>
    <row r="174" spans="2:44">
      <c r="B174" s="14" t="str">
        <f>"4) Column 12 matches 'Activity for Incentive Projects' on 14-IncentivePlant, Lines "&amp;'14-IncentivePlant'!A94&amp;" to "&amp;'14-IncentivePlant'!A107&amp;".  Other columns from SCE internal accounting records."</f>
        <v>4) Column 12 matches 'Activity for Incentive Projects' on 14-IncentivePlant, Lines 39 to 52.  Other columns from SCE internal accounting records.</v>
      </c>
      <c r="C174" s="14"/>
      <c r="D174" s="14"/>
      <c r="E174" s="14"/>
      <c r="F174" s="14"/>
      <c r="G174" s="14"/>
      <c r="H174" s="14"/>
      <c r="I174" s="14"/>
      <c r="J174" s="14"/>
      <c r="K174" s="14"/>
      <c r="L174" s="14"/>
    </row>
    <row r="175" spans="2:44">
      <c r="B175" s="524" t="str">
        <f>"5) Amount in matrix on lines "&amp;A74&amp;" to "&amp;A85&amp;" minus amount in matrix on lines "&amp;A94&amp;" to "&amp;A105&amp;""</f>
        <v>5) Amount in matrix on lines 28 to 39 minus amount in matrix on lines 41 to 52</v>
      </c>
      <c r="C175" s="14"/>
      <c r="D175" s="14"/>
      <c r="E175" s="14"/>
      <c r="F175" s="14"/>
      <c r="G175" s="14"/>
      <c r="H175" s="14"/>
      <c r="I175" s="14"/>
      <c r="J175" s="14"/>
      <c r="K175" s="14"/>
      <c r="L175" s="14"/>
    </row>
    <row r="176" spans="2:44">
      <c r="B176" s="14" t="str">
        <f>"6) Amount on Line "&amp;A23&amp;" less amount on Line "&amp;A11&amp;" for each account."</f>
        <v>6) Amount on Line 13 less amount on Line 1 for each account.</v>
      </c>
      <c r="C176" s="14"/>
      <c r="D176" s="14"/>
      <c r="E176" s="14"/>
      <c r="F176" s="14"/>
      <c r="G176" s="14"/>
      <c r="H176" s="14"/>
      <c r="I176" s="14"/>
      <c r="J176" s="14"/>
      <c r="K176" s="14"/>
      <c r="L176" s="14"/>
    </row>
    <row r="177" spans="2:12">
      <c r="B177" s="14" t="str">
        <f>"7) Line "&amp;A106&amp;""</f>
        <v>7) Line 53</v>
      </c>
      <c r="C177" s="14"/>
      <c r="D177" s="14"/>
      <c r="E177" s="14"/>
      <c r="F177" s="14"/>
      <c r="G177" s="14"/>
      <c r="H177" s="14"/>
      <c r="I177" s="14"/>
      <c r="J177" s="14"/>
      <c r="K177" s="14"/>
      <c r="L177" s="14"/>
    </row>
    <row r="178" spans="2:12">
      <c r="B178" s="14" t="str">
        <f>"8) Amount on Line "&amp;A131&amp;" less amount on Line "&amp;A135&amp;" for each account."</f>
        <v>8) Amount on Line 67 less amount on Line 68 for each account.</v>
      </c>
      <c r="C178" s="14"/>
      <c r="D178" s="14"/>
      <c r="E178" s="14"/>
      <c r="F178" s="14"/>
      <c r="G178" s="14"/>
      <c r="H178" s="14"/>
      <c r="I178" s="14"/>
      <c r="J178" s="14"/>
      <c r="K178" s="14"/>
      <c r="L178" s="14"/>
    </row>
    <row r="179" spans="2:12">
      <c r="B179" s="524" t="str">
        <f>"9) For each column (FERC Account) divide Line "&amp;A139&amp;" by Line "&amp;A126&amp;" to arrive at a ratio for each column."</f>
        <v>9) For each column (FERC Account) divide Line 69 by Line 66 to arrive at a ratio for each column.</v>
      </c>
      <c r="C179" s="14"/>
      <c r="D179" s="14"/>
      <c r="E179" s="14"/>
      <c r="F179" s="14"/>
      <c r="G179" s="14"/>
      <c r="H179" s="14"/>
      <c r="I179" s="14"/>
      <c r="J179" s="14"/>
      <c r="K179" s="14"/>
      <c r="L179" s="14"/>
    </row>
    <row r="180" spans="2:12">
      <c r="B180" s="524" t="str">
        <f>"Apply the ratio of each column to each monthly value from Lines "&amp;A114&amp;"-"&amp;A125&amp;" to calculate the values for"</f>
        <v>Apply the ratio of each column to each monthly value from Lines 54-65 to calculate the values for</v>
      </c>
      <c r="C180" s="14"/>
      <c r="D180" s="14"/>
      <c r="E180" s="14"/>
      <c r="F180" s="14"/>
      <c r="G180" s="14"/>
      <c r="H180" s="14"/>
      <c r="I180" s="14"/>
      <c r="J180" s="14"/>
      <c r="K180" s="14"/>
      <c r="L180" s="14"/>
    </row>
    <row r="181" spans="2:12">
      <c r="B181" s="524" t="str">
        <f>"the corresponsing months listed in Lines "&amp;A146&amp;"-"&amp;A157&amp;"."</f>
        <v>the corresponsing months listed in Lines 70-81.</v>
      </c>
      <c r="C181" s="14"/>
      <c r="D181" s="14"/>
      <c r="E181" s="14"/>
      <c r="F181" s="14"/>
      <c r="G181" s="14"/>
      <c r="H181" s="14"/>
      <c r="I181" s="14"/>
      <c r="J181" s="14"/>
      <c r="K181" s="14"/>
      <c r="L181" s="14"/>
    </row>
    <row r="182" spans="2:12">
      <c r="B182" s="14"/>
      <c r="C182" s="14"/>
      <c r="D182" s="14"/>
      <c r="E182" s="14"/>
      <c r="F182" s="14"/>
      <c r="G182" s="14"/>
      <c r="H182" s="14"/>
      <c r="I182" s="14"/>
      <c r="J182" s="14"/>
      <c r="K182" s="14"/>
      <c r="L182" s="14"/>
    </row>
  </sheetData>
  <phoneticPr fontId="25" type="noConversion"/>
  <pageMargins left="0.75" right="0.75" top="1" bottom="1" header="0.5" footer="0.5"/>
  <pageSetup scale="70" orientation="landscape" cellComments="asDisplayed" r:id="rId1"/>
  <headerFooter alignWithMargins="0">
    <oddHeader>&amp;CSchedule 6
Plant In Service
&amp;RTO11 Draft Annual Update
Attachment 1</oddHeader>
    <oddFooter>&amp;R&amp;A</oddFooter>
  </headerFooter>
  <rowBreaks count="3" manualBreakCount="3">
    <brk id="37" max="16383" man="1"/>
    <brk id="87" max="16383" man="1"/>
    <brk id="12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sheetViews>
  <sheetFormatPr defaultRowHeight="12.75"/>
  <cols>
    <col min="1" max="1" width="4.7109375" customWidth="1"/>
    <col min="2" max="2" width="25.7109375" style="133" customWidth="1"/>
    <col min="3" max="5" width="15.7109375" style="133" customWidth="1"/>
    <col min="6" max="6" width="12.28515625" style="133" customWidth="1"/>
    <col min="8" max="8" width="15.5703125" customWidth="1"/>
  </cols>
  <sheetData>
    <row r="1" spans="1:8">
      <c r="A1" s="1" t="s">
        <v>477</v>
      </c>
      <c r="B1" s="179"/>
      <c r="C1" s="179"/>
      <c r="D1" s="179"/>
      <c r="E1" s="180" t="s">
        <v>497</v>
      </c>
      <c r="F1" s="195"/>
      <c r="G1" s="12"/>
    </row>
    <row r="2" spans="1:8">
      <c r="B2" s="179"/>
      <c r="C2" s="179"/>
      <c r="G2" s="12"/>
    </row>
    <row r="3" spans="1:8">
      <c r="A3" s="1041" t="s">
        <v>1991</v>
      </c>
      <c r="B3" s="1042"/>
      <c r="C3" s="1042"/>
      <c r="D3" s="1042"/>
      <c r="E3" s="1043" t="s">
        <v>1986</v>
      </c>
      <c r="F3" s="180">
        <v>2015</v>
      </c>
      <c r="G3" s="12"/>
    </row>
    <row r="4" spans="1:8">
      <c r="A4" s="177"/>
      <c r="B4" s="179"/>
      <c r="C4" s="179"/>
      <c r="D4" s="179"/>
      <c r="E4" s="179"/>
      <c r="F4" s="179"/>
      <c r="G4" s="12"/>
    </row>
    <row r="5" spans="1:8">
      <c r="B5" s="177"/>
      <c r="C5" s="91" t="s">
        <v>394</v>
      </c>
      <c r="E5" s="91" t="s">
        <v>378</v>
      </c>
      <c r="F5" s="91" t="s">
        <v>379</v>
      </c>
      <c r="G5" s="12"/>
    </row>
    <row r="6" spans="1:8">
      <c r="B6" s="177"/>
      <c r="C6" s="91"/>
      <c r="E6" s="91"/>
      <c r="F6" s="91"/>
      <c r="G6" s="12"/>
    </row>
    <row r="7" spans="1:8">
      <c r="A7" s="52" t="s">
        <v>360</v>
      </c>
      <c r="B7" s="177"/>
      <c r="C7" s="178" t="s">
        <v>215</v>
      </c>
      <c r="D7" s="178"/>
      <c r="E7" s="178" t="s">
        <v>1256</v>
      </c>
      <c r="F7" s="178" t="s">
        <v>479</v>
      </c>
      <c r="G7" s="12"/>
    </row>
    <row r="8" spans="1:8">
      <c r="A8" s="2">
        <v>1</v>
      </c>
      <c r="B8" s="170" t="s">
        <v>110</v>
      </c>
      <c r="C8" s="170" t="s">
        <v>414</v>
      </c>
      <c r="D8" s="170" t="s">
        <v>483</v>
      </c>
      <c r="E8" s="170" t="s">
        <v>1257</v>
      </c>
      <c r="F8" s="170" t="s">
        <v>480</v>
      </c>
      <c r="G8" s="181" t="s">
        <v>187</v>
      </c>
    </row>
    <row r="9" spans="1:8" ht="12.75" customHeight="1">
      <c r="A9" s="2">
        <f>A8+1</f>
        <v>2</v>
      </c>
      <c r="B9" s="171" t="s">
        <v>473</v>
      </c>
      <c r="C9" s="182"/>
      <c r="D9" s="182"/>
      <c r="E9" s="182"/>
      <c r="F9" s="183"/>
      <c r="G9" s="12"/>
    </row>
    <row r="10" spans="1:8">
      <c r="A10" s="2">
        <f t="shared" ref="A10:A28" si="0">A9+1</f>
        <v>3</v>
      </c>
      <c r="B10" s="172">
        <v>352</v>
      </c>
      <c r="C10" s="184">
        <v>686827403</v>
      </c>
      <c r="D10" s="1385" t="s">
        <v>484</v>
      </c>
      <c r="E10" s="1157">
        <v>470458375.7060675</v>
      </c>
      <c r="F10" s="166">
        <f>E10/C10</f>
        <v>0.68497321692633095</v>
      </c>
      <c r="G10" s="12"/>
      <c r="H10" s="1156"/>
    </row>
    <row r="11" spans="1:8">
      <c r="A11" s="2">
        <f t="shared" si="0"/>
        <v>4</v>
      </c>
      <c r="B11" s="172">
        <v>353</v>
      </c>
      <c r="C11" s="123">
        <v>5247711806</v>
      </c>
      <c r="D11" s="1385" t="s">
        <v>485</v>
      </c>
      <c r="E11" s="123">
        <v>3030177246.8090091</v>
      </c>
      <c r="F11" s="167">
        <f>E11/C11</f>
        <v>0.57742828852461736</v>
      </c>
      <c r="G11" s="12"/>
      <c r="H11" s="522"/>
    </row>
    <row r="12" spans="1:8">
      <c r="A12" s="2">
        <f t="shared" si="0"/>
        <v>5</v>
      </c>
      <c r="B12" s="174" t="s">
        <v>468</v>
      </c>
      <c r="C12" s="163">
        <f>SUM(C10:C11)</f>
        <v>5934539209</v>
      </c>
      <c r="D12" s="13" t="str">
        <f>"L "&amp;A10&amp;" + L "&amp;A11&amp;""</f>
        <v>L 3 + L 4</v>
      </c>
      <c r="E12" s="163">
        <f>SUM(E10:E11)</f>
        <v>3500635622.5150766</v>
      </c>
      <c r="F12" s="166">
        <f>E12/C12</f>
        <v>0.589874883159623</v>
      </c>
      <c r="G12" s="12"/>
    </row>
    <row r="13" spans="1:8">
      <c r="A13" s="2">
        <f t="shared" si="0"/>
        <v>6</v>
      </c>
      <c r="B13" s="185"/>
      <c r="C13" s="186"/>
      <c r="D13" s="186"/>
      <c r="E13" s="186"/>
      <c r="F13" s="166"/>
      <c r="G13" s="12"/>
    </row>
    <row r="14" spans="1:8">
      <c r="A14" s="2">
        <f t="shared" si="0"/>
        <v>7</v>
      </c>
      <c r="B14" s="173" t="s">
        <v>469</v>
      </c>
      <c r="C14" s="187"/>
      <c r="D14" s="187"/>
      <c r="E14" s="187"/>
      <c r="F14" s="188"/>
      <c r="G14" s="12"/>
    </row>
    <row r="15" spans="1:8">
      <c r="A15" s="2">
        <f t="shared" si="0"/>
        <v>8</v>
      </c>
      <c r="B15" s="172">
        <v>350</v>
      </c>
      <c r="C15" s="162">
        <v>328430727</v>
      </c>
      <c r="D15" s="1385" t="s">
        <v>486</v>
      </c>
      <c r="E15" s="817">
        <v>241049134.60847738</v>
      </c>
      <c r="F15" s="166">
        <f>E15/C15</f>
        <v>0.73394209126016818</v>
      </c>
      <c r="G15" s="12"/>
      <c r="H15" s="522"/>
    </row>
    <row r="16" spans="1:8">
      <c r="A16" s="2">
        <f t="shared" si="0"/>
        <v>9</v>
      </c>
      <c r="B16" s="172"/>
      <c r="C16" s="163"/>
      <c r="D16" s="163"/>
      <c r="E16" s="163"/>
      <c r="F16" s="166"/>
      <c r="G16" s="12"/>
    </row>
    <row r="17" spans="1:8">
      <c r="A17" s="2">
        <f t="shared" si="0"/>
        <v>10</v>
      </c>
      <c r="B17" s="173" t="s">
        <v>470</v>
      </c>
      <c r="C17" s="163">
        <f>C12+C15</f>
        <v>6262969936</v>
      </c>
      <c r="D17" s="13" t="str">
        <f>"L "&amp;A12&amp;" + L "&amp;A15&amp;""</f>
        <v>L 5 + L 8</v>
      </c>
      <c r="E17" s="163">
        <f>E12+E15</f>
        <v>3741684757.1235542</v>
      </c>
      <c r="F17" s="166">
        <f>E17/C17</f>
        <v>0.59742978097596833</v>
      </c>
      <c r="G17" s="12"/>
    </row>
    <row r="18" spans="1:8">
      <c r="A18" s="2">
        <f t="shared" si="0"/>
        <v>11</v>
      </c>
      <c r="B18" s="185"/>
      <c r="C18" s="186"/>
      <c r="D18" s="186"/>
      <c r="E18" s="186"/>
      <c r="F18" s="166"/>
      <c r="G18" s="12"/>
    </row>
    <row r="19" spans="1:8">
      <c r="A19" s="2">
        <f t="shared" si="0"/>
        <v>12</v>
      </c>
      <c r="B19" s="173" t="s">
        <v>471</v>
      </c>
      <c r="C19" s="186"/>
      <c r="D19" s="186"/>
      <c r="E19" s="186"/>
      <c r="F19" s="166"/>
      <c r="G19" s="12"/>
    </row>
    <row r="20" spans="1:8">
      <c r="A20" s="2">
        <f t="shared" si="0"/>
        <v>13</v>
      </c>
      <c r="B20" s="1384">
        <v>354</v>
      </c>
      <c r="C20" s="189">
        <v>2259972825</v>
      </c>
      <c r="D20" s="1385" t="s">
        <v>487</v>
      </c>
      <c r="E20" s="826">
        <v>2164622762.8245416</v>
      </c>
      <c r="F20" s="190">
        <f>E20/C20</f>
        <v>0.95780919968563849</v>
      </c>
      <c r="G20" s="12"/>
      <c r="H20" s="522"/>
    </row>
    <row r="21" spans="1:8">
      <c r="A21" s="2">
        <f t="shared" si="0"/>
        <v>14</v>
      </c>
      <c r="B21" s="1384">
        <v>355</v>
      </c>
      <c r="C21" s="189">
        <v>1008567359</v>
      </c>
      <c r="D21" s="1385" t="s">
        <v>488</v>
      </c>
      <c r="E21" s="826">
        <v>310678566.28323245</v>
      </c>
      <c r="F21" s="190">
        <f t="shared" ref="F21:F26" si="1">E21/C21</f>
        <v>0.30803948145939597</v>
      </c>
      <c r="G21" s="12"/>
      <c r="H21" s="522"/>
    </row>
    <row r="22" spans="1:8">
      <c r="A22" s="2">
        <f t="shared" si="0"/>
        <v>15</v>
      </c>
      <c r="B22" s="1384">
        <v>356</v>
      </c>
      <c r="C22" s="189">
        <v>1482107625</v>
      </c>
      <c r="D22" s="1385" t="s">
        <v>489</v>
      </c>
      <c r="E22" s="826">
        <v>1239646180.7050807</v>
      </c>
      <c r="F22" s="190">
        <f t="shared" si="1"/>
        <v>0.83640766688929269</v>
      </c>
      <c r="G22" s="12"/>
      <c r="H22" s="522"/>
    </row>
    <row r="23" spans="1:8">
      <c r="A23" s="2">
        <f t="shared" si="0"/>
        <v>16</v>
      </c>
      <c r="B23" s="1384">
        <v>357</v>
      </c>
      <c r="C23" s="189">
        <v>61087062</v>
      </c>
      <c r="D23" s="1385" t="s">
        <v>490</v>
      </c>
      <c r="E23" s="826">
        <v>221416.38459709552</v>
      </c>
      <c r="F23" s="190">
        <f t="shared" si="1"/>
        <v>3.624603596046173E-3</v>
      </c>
      <c r="G23" s="12"/>
      <c r="H23" s="522"/>
    </row>
    <row r="24" spans="1:8">
      <c r="A24" s="2">
        <f t="shared" si="0"/>
        <v>17</v>
      </c>
      <c r="B24" s="1384">
        <v>358</v>
      </c>
      <c r="C24" s="189">
        <v>268612323</v>
      </c>
      <c r="D24" s="1385" t="s">
        <v>491</v>
      </c>
      <c r="E24" s="826">
        <v>13011928.174370928</v>
      </c>
      <c r="F24" s="190">
        <f t="shared" si="1"/>
        <v>4.8441292748772839E-2</v>
      </c>
      <c r="G24" s="12"/>
      <c r="H24" s="522"/>
    </row>
    <row r="25" spans="1:8">
      <c r="A25" s="2">
        <f t="shared" si="0"/>
        <v>18</v>
      </c>
      <c r="B25" s="1384">
        <v>359</v>
      </c>
      <c r="C25" s="191">
        <v>194018041</v>
      </c>
      <c r="D25" s="1385" t="s">
        <v>492</v>
      </c>
      <c r="E25" s="191">
        <v>187087540.77399367</v>
      </c>
      <c r="F25" s="192">
        <f t="shared" si="1"/>
        <v>0.96427909389103494</v>
      </c>
      <c r="G25" s="12"/>
      <c r="H25" s="522"/>
    </row>
    <row r="26" spans="1:8">
      <c r="A26" s="2">
        <f t="shared" si="0"/>
        <v>19</v>
      </c>
      <c r="B26" s="174" t="s">
        <v>472</v>
      </c>
      <c r="C26" s="163">
        <f>SUM(C20:C25)</f>
        <v>5274365235</v>
      </c>
      <c r="D26" s="165" t="str">
        <f>"Sum L"&amp;A20&amp;" to L"&amp;A25&amp;""</f>
        <v>Sum L13 to L18</v>
      </c>
      <c r="E26" s="163">
        <f>SUM(E20:E25)</f>
        <v>3915268395.1458163</v>
      </c>
      <c r="F26" s="166">
        <f t="shared" si="1"/>
        <v>0.74232030219761913</v>
      </c>
      <c r="G26" s="12"/>
    </row>
    <row r="27" spans="1:8">
      <c r="A27" s="2">
        <f t="shared" si="0"/>
        <v>20</v>
      </c>
      <c r="B27" s="193"/>
      <c r="C27" s="163"/>
      <c r="D27" s="163"/>
      <c r="E27" s="163"/>
      <c r="F27" s="166"/>
      <c r="G27" s="12"/>
    </row>
    <row r="28" spans="1:8">
      <c r="A28" s="2">
        <f t="shared" si="0"/>
        <v>21</v>
      </c>
      <c r="B28" s="194" t="s">
        <v>482</v>
      </c>
      <c r="C28" s="168">
        <f>C17+C26</f>
        <v>11537335171</v>
      </c>
      <c r="D28" s="13" t="str">
        <f>"L "&amp;A17&amp;" + L "&amp;A26&amp;""</f>
        <v>L 10 + L 19</v>
      </c>
      <c r="E28" s="168">
        <f>E17+E26</f>
        <v>7656953152.269371</v>
      </c>
      <c r="F28" s="169">
        <f>E28/C28</f>
        <v>0.66366739275424058</v>
      </c>
      <c r="G28" s="12" t="s">
        <v>395</v>
      </c>
    </row>
    <row r="29" spans="1:8">
      <c r="A29" s="2"/>
      <c r="B29" s="138"/>
      <c r="C29" s="134"/>
      <c r="D29" s="134"/>
      <c r="E29" s="134"/>
      <c r="F29" s="137"/>
    </row>
    <row r="30" spans="1:8">
      <c r="A30" s="2"/>
      <c r="B30" s="135"/>
      <c r="C30" s="136"/>
      <c r="D30" s="136"/>
      <c r="E30" s="663"/>
      <c r="F30" s="136"/>
    </row>
    <row r="31" spans="1:8">
      <c r="A31" s="177" t="s">
        <v>481</v>
      </c>
      <c r="C31" s="136"/>
      <c r="D31" s="136"/>
      <c r="E31" s="136"/>
      <c r="F31" s="136"/>
    </row>
    <row r="32" spans="1:8">
      <c r="A32" s="2"/>
      <c r="B32" s="141"/>
      <c r="C32" s="136"/>
      <c r="D32" s="136"/>
      <c r="E32" s="136"/>
      <c r="F32" s="136"/>
    </row>
    <row r="33" spans="1:9">
      <c r="A33" s="52" t="s">
        <v>360</v>
      </c>
      <c r="B33" s="177"/>
      <c r="C33" s="178" t="s">
        <v>215</v>
      </c>
      <c r="D33" s="178"/>
      <c r="E33" s="178" t="s">
        <v>336</v>
      </c>
      <c r="F33" s="178" t="s">
        <v>479</v>
      </c>
    </row>
    <row r="34" spans="1:9">
      <c r="A34" s="2">
        <f>A28+1</f>
        <v>22</v>
      </c>
      <c r="B34" s="170" t="s">
        <v>110</v>
      </c>
      <c r="C34" s="170" t="s">
        <v>414</v>
      </c>
      <c r="D34" s="170" t="s">
        <v>483</v>
      </c>
      <c r="E34" s="170" t="s">
        <v>1257</v>
      </c>
      <c r="F34" s="170" t="s">
        <v>480</v>
      </c>
    </row>
    <row r="35" spans="1:9">
      <c r="A35" s="2">
        <f t="shared" ref="A35:A42" si="2">A34+1</f>
        <v>23</v>
      </c>
      <c r="B35" s="171" t="s">
        <v>474</v>
      </c>
      <c r="C35" s="134"/>
      <c r="D35" s="134"/>
      <c r="E35" s="134"/>
      <c r="F35" s="137"/>
    </row>
    <row r="36" spans="1:9">
      <c r="A36" s="2">
        <f t="shared" si="2"/>
        <v>24</v>
      </c>
      <c r="B36" s="1384">
        <v>360</v>
      </c>
      <c r="C36" s="162">
        <v>115272068</v>
      </c>
      <c r="D36" s="1385" t="s">
        <v>493</v>
      </c>
      <c r="E36" s="1158">
        <v>0</v>
      </c>
      <c r="F36" s="166">
        <f>E36/C36</f>
        <v>0</v>
      </c>
      <c r="H36" s="522"/>
    </row>
    <row r="37" spans="1:9">
      <c r="A37" s="2">
        <f t="shared" si="2"/>
        <v>25</v>
      </c>
      <c r="B37" s="173" t="s">
        <v>475</v>
      </c>
      <c r="C37" s="163"/>
      <c r="D37" s="163"/>
      <c r="E37" s="163"/>
      <c r="F37" s="166"/>
    </row>
    <row r="38" spans="1:9">
      <c r="A38" s="2">
        <f t="shared" si="2"/>
        <v>26</v>
      </c>
      <c r="B38" s="1384">
        <v>361</v>
      </c>
      <c r="C38" s="162">
        <v>576705979</v>
      </c>
      <c r="D38" s="589" t="s">
        <v>494</v>
      </c>
      <c r="E38" s="817">
        <v>0</v>
      </c>
      <c r="F38" s="166">
        <f>E38/C38</f>
        <v>0</v>
      </c>
      <c r="H38" s="522"/>
    </row>
    <row r="39" spans="1:9">
      <c r="A39" s="2">
        <f t="shared" si="2"/>
        <v>27</v>
      </c>
      <c r="B39" s="1384">
        <v>362</v>
      </c>
      <c r="C39" s="164">
        <v>2244270529</v>
      </c>
      <c r="D39" s="589" t="s">
        <v>495</v>
      </c>
      <c r="E39" s="164">
        <v>0</v>
      </c>
      <c r="F39" s="167">
        <f>E39/C39</f>
        <v>0</v>
      </c>
      <c r="H39" s="522"/>
    </row>
    <row r="40" spans="1:9">
      <c r="A40" s="2">
        <f t="shared" si="2"/>
        <v>28</v>
      </c>
      <c r="B40" s="174" t="s">
        <v>476</v>
      </c>
      <c r="C40" s="163">
        <f>SUM(C38:C39)</f>
        <v>2820976508</v>
      </c>
      <c r="D40" s="13" t="str">
        <f>"L "&amp;A38&amp;" + L "&amp;A39&amp;""</f>
        <v>L 26 + L 27</v>
      </c>
      <c r="E40" s="163">
        <f>SUM(E38:E39)</f>
        <v>0</v>
      </c>
      <c r="F40" s="166">
        <f>E40/C40</f>
        <v>0</v>
      </c>
    </row>
    <row r="41" spans="1:9">
      <c r="A41" s="2">
        <f t="shared" si="2"/>
        <v>29</v>
      </c>
      <c r="B41" s="175"/>
      <c r="C41" s="145"/>
      <c r="D41" s="163"/>
      <c r="E41" s="163"/>
      <c r="F41" s="166"/>
    </row>
    <row r="42" spans="1:9">
      <c r="A42" s="2">
        <f t="shared" si="2"/>
        <v>30</v>
      </c>
      <c r="B42" s="176" t="s">
        <v>1367</v>
      </c>
      <c r="C42" s="168">
        <f>C36+C40</f>
        <v>2936248576</v>
      </c>
      <c r="D42" s="13" t="str">
        <f>"L "&amp;A36&amp;" + L "&amp;A40&amp;""</f>
        <v>L 24 + L 28</v>
      </c>
      <c r="E42" s="168">
        <f>E36+E40</f>
        <v>0</v>
      </c>
      <c r="F42" s="169">
        <f>E42/C42</f>
        <v>0</v>
      </c>
      <c r="G42" s="12" t="s">
        <v>396</v>
      </c>
      <c r="H42" s="12"/>
    </row>
    <row r="43" spans="1:9">
      <c r="A43" s="2"/>
      <c r="B43" s="142"/>
      <c r="C43" s="143"/>
      <c r="D43" s="143"/>
      <c r="E43" s="143"/>
      <c r="F43" s="144"/>
      <c r="H43" s="146"/>
      <c r="I43" s="12"/>
    </row>
    <row r="44" spans="1:9">
      <c r="A44" s="62"/>
      <c r="E44" s="139"/>
    </row>
    <row r="45" spans="1:9">
      <c r="A45" s="90" t="s">
        <v>256</v>
      </c>
    </row>
    <row r="46" spans="1:9">
      <c r="A46" s="13" t="s">
        <v>496</v>
      </c>
      <c r="E46" s="139"/>
    </row>
    <row r="47" spans="1:9">
      <c r="A47" s="13" t="s">
        <v>501</v>
      </c>
    </row>
    <row r="48" spans="1:9">
      <c r="A48" s="13" t="s">
        <v>498</v>
      </c>
      <c r="C48" s="139"/>
      <c r="D48" s="139"/>
    </row>
    <row r="49" spans="1:4">
      <c r="A49" s="13" t="s">
        <v>500</v>
      </c>
      <c r="C49" s="140"/>
      <c r="D49" s="140"/>
    </row>
    <row r="50" spans="1:4">
      <c r="A50" s="62"/>
      <c r="C50" s="139"/>
      <c r="D50" s="139"/>
    </row>
    <row r="51" spans="1:4">
      <c r="A51" s="90" t="s">
        <v>420</v>
      </c>
    </row>
    <row r="52" spans="1:4">
      <c r="A52" s="13" t="s">
        <v>499</v>
      </c>
    </row>
    <row r="53" spans="1:4">
      <c r="A53" s="13" t="s">
        <v>1615</v>
      </c>
    </row>
    <row r="54" spans="1:4">
      <c r="A54" s="526" t="s">
        <v>2505</v>
      </c>
    </row>
  </sheetData>
  <pageMargins left="0.7" right="0.7" top="0.75" bottom="0.75" header="0.3" footer="0.3"/>
  <pageSetup scale="90" orientation="portrait" cellComments="asDisplayed" r:id="rId1"/>
  <headerFooter>
    <oddHeader>&amp;CSchedule 7
Transmission Plant Study Summary
&amp;RTO11 Draft Annual Update
Attachment 1</oddHeader>
    <oddFooter>&amp;R7-PlantStudy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9"/>
  <sheetViews>
    <sheetView zoomScaleNormal="100" workbookViewId="0"/>
  </sheetViews>
  <sheetFormatPr defaultRowHeight="12.75"/>
  <cols>
    <col min="1" max="1" width="4.7109375" customWidth="1"/>
    <col min="2" max="2" width="7.7109375" customWidth="1"/>
    <col min="3" max="3" width="10.7109375" customWidth="1"/>
    <col min="4" max="4" width="13.7109375" customWidth="1"/>
    <col min="5" max="6" width="14.7109375" customWidth="1"/>
    <col min="7" max="10" width="13.7109375" customWidth="1"/>
    <col min="11" max="12" width="11.7109375" customWidth="1"/>
    <col min="13" max="13" width="13.7109375" customWidth="1"/>
    <col min="14" max="14" width="14.7109375" customWidth="1"/>
    <col min="15" max="15" width="13.7109375" style="14" customWidth="1"/>
    <col min="16" max="23" width="9.140625" style="14"/>
  </cols>
  <sheetData>
    <row r="1" spans="1:18">
      <c r="A1" s="1" t="s">
        <v>181</v>
      </c>
      <c r="B1" s="1"/>
      <c r="C1" s="241"/>
      <c r="D1" s="241"/>
      <c r="E1" s="241"/>
      <c r="F1" s="241"/>
      <c r="G1" s="241"/>
      <c r="H1" s="241"/>
      <c r="I1" s="241"/>
      <c r="J1" s="574" t="s">
        <v>497</v>
      </c>
      <c r="K1" s="195"/>
      <c r="L1" s="241"/>
      <c r="M1" s="241"/>
      <c r="N1" s="241"/>
      <c r="O1" s="251"/>
      <c r="P1" s="251"/>
      <c r="Q1" s="251"/>
      <c r="R1" s="251"/>
    </row>
    <row r="2" spans="1:18">
      <c r="A2" s="241"/>
      <c r="B2" s="241"/>
      <c r="C2" s="241"/>
      <c r="D2" s="241"/>
      <c r="E2" s="241"/>
      <c r="F2" s="241"/>
      <c r="G2" s="241"/>
      <c r="H2" s="241"/>
      <c r="I2" s="241"/>
      <c r="L2" s="241"/>
      <c r="M2" s="241"/>
      <c r="N2" s="241"/>
      <c r="O2" s="251"/>
      <c r="P2" s="251"/>
      <c r="Q2" s="251"/>
      <c r="R2" s="251"/>
    </row>
    <row r="3" spans="1:18">
      <c r="A3" s="241"/>
      <c r="B3" s="1" t="s">
        <v>358</v>
      </c>
      <c r="C3" s="241"/>
      <c r="D3" s="241"/>
      <c r="E3" s="241"/>
      <c r="F3" s="241"/>
      <c r="G3" s="1039" t="s">
        <v>1986</v>
      </c>
      <c r="H3" s="429">
        <v>2015</v>
      </c>
      <c r="I3" s="241"/>
      <c r="J3" s="241"/>
      <c r="K3" s="241"/>
      <c r="L3" s="241"/>
      <c r="M3" s="241"/>
      <c r="N3" s="241"/>
      <c r="O3" s="251"/>
      <c r="P3" s="251"/>
      <c r="Q3" s="251"/>
      <c r="R3" s="251"/>
    </row>
    <row r="4" spans="1:18">
      <c r="A4" s="241"/>
      <c r="B4" s="241"/>
      <c r="C4" s="241"/>
      <c r="D4" s="241"/>
      <c r="E4" s="241"/>
      <c r="F4" s="241"/>
      <c r="G4" s="241"/>
      <c r="H4" s="241"/>
      <c r="I4" s="241"/>
      <c r="J4" s="241"/>
      <c r="K4" s="241"/>
      <c r="L4" s="241"/>
      <c r="M4" s="241"/>
      <c r="N4" s="241"/>
      <c r="O4" s="251"/>
      <c r="P4" s="251"/>
      <c r="Q4" s="251"/>
      <c r="R4" s="251"/>
    </row>
    <row r="5" spans="1:18">
      <c r="A5" s="241"/>
      <c r="B5" s="241"/>
      <c r="C5" s="522" t="s">
        <v>1744</v>
      </c>
      <c r="D5" s="241"/>
      <c r="E5" s="241"/>
      <c r="F5" s="241"/>
      <c r="G5" s="241"/>
      <c r="H5" s="241"/>
      <c r="I5" s="241"/>
      <c r="J5" s="522"/>
      <c r="K5" s="241"/>
      <c r="L5" s="241"/>
      <c r="M5" s="241"/>
      <c r="N5" s="241"/>
      <c r="O5" s="251"/>
      <c r="P5" s="251"/>
      <c r="Q5" s="251"/>
      <c r="R5" s="251"/>
    </row>
    <row r="6" spans="1:18">
      <c r="A6" s="241"/>
      <c r="B6" s="241"/>
      <c r="C6" s="241"/>
      <c r="D6" s="241"/>
      <c r="E6" s="241"/>
      <c r="F6" s="241"/>
      <c r="G6" s="241"/>
      <c r="H6" s="241"/>
      <c r="I6" s="241"/>
      <c r="J6" s="241"/>
      <c r="K6" s="241"/>
      <c r="L6" s="241"/>
      <c r="M6" s="241"/>
      <c r="N6" s="241"/>
      <c r="O6" s="251"/>
      <c r="P6" s="251"/>
      <c r="Q6" s="251"/>
      <c r="R6" s="251"/>
    </row>
    <row r="7" spans="1:18">
      <c r="A7" s="241"/>
      <c r="B7" s="241"/>
      <c r="C7" s="91" t="s">
        <v>394</v>
      </c>
      <c r="D7" s="91" t="s">
        <v>378</v>
      </c>
      <c r="E7" s="91" t="s">
        <v>379</v>
      </c>
      <c r="F7" s="91" t="s">
        <v>380</v>
      </c>
      <c r="G7" s="91" t="s">
        <v>381</v>
      </c>
      <c r="H7" s="91" t="s">
        <v>382</v>
      </c>
      <c r="I7" s="91" t="s">
        <v>383</v>
      </c>
      <c r="J7" s="91" t="s">
        <v>596</v>
      </c>
      <c r="K7" s="91" t="s">
        <v>1045</v>
      </c>
      <c r="L7" s="91" t="s">
        <v>1061</v>
      </c>
      <c r="M7" s="91" t="s">
        <v>1064</v>
      </c>
      <c r="N7" s="91" t="s">
        <v>1082</v>
      </c>
      <c r="O7" s="251"/>
      <c r="P7" s="251"/>
      <c r="Q7" s="251"/>
      <c r="R7" s="251"/>
    </row>
    <row r="8" spans="1:18">
      <c r="A8" s="241"/>
      <c r="B8" s="241"/>
      <c r="C8" s="262"/>
      <c r="D8" s="241"/>
      <c r="E8" s="241"/>
      <c r="F8" s="241"/>
      <c r="G8" s="241"/>
      <c r="H8" s="241"/>
      <c r="I8" s="241"/>
      <c r="J8" s="241"/>
      <c r="K8" s="241"/>
      <c r="L8" s="241"/>
      <c r="M8" s="241"/>
      <c r="N8" s="499" t="s">
        <v>1890</v>
      </c>
      <c r="O8" s="251"/>
      <c r="P8" s="251"/>
      <c r="Q8" s="251"/>
      <c r="R8" s="251"/>
    </row>
    <row r="9" spans="1:18">
      <c r="A9" s="241"/>
      <c r="B9" s="241"/>
      <c r="C9" s="491"/>
      <c r="D9" s="575" t="s">
        <v>12</v>
      </c>
      <c r="E9" s="241"/>
      <c r="F9" s="241"/>
      <c r="G9" s="241"/>
      <c r="H9" s="241"/>
      <c r="I9" s="241"/>
      <c r="J9" s="241"/>
      <c r="K9" s="241"/>
      <c r="L9" s="241"/>
      <c r="M9" s="241"/>
      <c r="N9" s="241"/>
      <c r="O9" s="251"/>
      <c r="P9" s="251"/>
      <c r="Q9" s="251"/>
      <c r="R9" s="251"/>
    </row>
    <row r="10" spans="1:18">
      <c r="A10" s="241"/>
      <c r="B10" s="241"/>
      <c r="C10" s="117"/>
      <c r="D10" s="575" t="s">
        <v>1062</v>
      </c>
      <c r="E10" s="241"/>
      <c r="F10" s="241"/>
      <c r="G10" s="241"/>
      <c r="H10" s="241"/>
      <c r="I10" s="241"/>
      <c r="J10" s="241"/>
      <c r="K10" s="241"/>
      <c r="L10" s="241"/>
      <c r="M10" s="241"/>
      <c r="N10" s="241"/>
      <c r="O10" s="251"/>
      <c r="P10" s="251"/>
      <c r="Q10" s="251"/>
      <c r="R10" s="251"/>
    </row>
    <row r="11" spans="1:18" ht="12.75" customHeight="1">
      <c r="A11" s="52" t="s">
        <v>360</v>
      </c>
      <c r="B11" s="52"/>
      <c r="C11" s="131" t="s">
        <v>2034</v>
      </c>
      <c r="D11" s="91">
        <v>350.1</v>
      </c>
      <c r="E11" s="91">
        <v>350.2</v>
      </c>
      <c r="F11" s="91">
        <v>352</v>
      </c>
      <c r="G11" s="91">
        <v>353</v>
      </c>
      <c r="H11" s="91">
        <v>354</v>
      </c>
      <c r="I11" s="91">
        <v>355</v>
      </c>
      <c r="J11" s="91">
        <v>356</v>
      </c>
      <c r="K11" s="91">
        <v>357</v>
      </c>
      <c r="L11" s="91">
        <v>358</v>
      </c>
      <c r="M11" s="91">
        <v>359</v>
      </c>
      <c r="N11" s="3" t="s">
        <v>215</v>
      </c>
      <c r="O11" s="251"/>
      <c r="P11" s="251"/>
      <c r="Q11" s="251"/>
      <c r="R11" s="251"/>
    </row>
    <row r="12" spans="1:18" ht="12.75" customHeight="1">
      <c r="A12" s="555">
        <v>1</v>
      </c>
      <c r="B12" s="555"/>
      <c r="C12" s="666" t="s">
        <v>2822</v>
      </c>
      <c r="D12" s="557">
        <v>0</v>
      </c>
      <c r="E12" s="557">
        <v>12547940.443765754</v>
      </c>
      <c r="F12" s="557">
        <v>55295970.824735604</v>
      </c>
      <c r="G12" s="557">
        <v>363178565.57023436</v>
      </c>
      <c r="H12" s="557">
        <v>350017330.05771935</v>
      </c>
      <c r="I12" s="557">
        <v>38130422.145566955</v>
      </c>
      <c r="J12" s="557">
        <v>353805006.00699574</v>
      </c>
      <c r="K12" s="557">
        <v>130565.66322043103</v>
      </c>
      <c r="L12" s="557">
        <v>1208818.3606113279</v>
      </c>
      <c r="M12" s="557">
        <v>7412761.9158815509</v>
      </c>
      <c r="N12" s="243">
        <f>SUM(D12:M12)</f>
        <v>1181727380.9887311</v>
      </c>
      <c r="O12" s="251"/>
      <c r="P12" s="251"/>
      <c r="Q12" s="251"/>
      <c r="R12" s="251"/>
    </row>
    <row r="13" spans="1:18" ht="12.75" customHeight="1">
      <c r="A13" s="555">
        <f>A12+1</f>
        <v>2</v>
      </c>
      <c r="B13" s="555"/>
      <c r="C13" s="667" t="s">
        <v>2916</v>
      </c>
      <c r="D13" s="245">
        <v>0</v>
      </c>
      <c r="E13" s="245">
        <f t="shared" ref="E13:E23" si="0">E144+E91+E12</f>
        <v>12778787.348290153</v>
      </c>
      <c r="F13" s="245">
        <f t="shared" ref="F13:F23" si="1">F144+F91+F12</f>
        <v>52486311.803327188</v>
      </c>
      <c r="G13" s="245">
        <f t="shared" ref="G13:G23" si="2">G144+G91+G12</f>
        <v>306238663.05230224</v>
      </c>
      <c r="H13" s="245">
        <f t="shared" ref="H13:H23" si="3">H144+H91+H12</f>
        <v>380293021.07151347</v>
      </c>
      <c r="I13" s="245">
        <f t="shared" ref="I13:I23" si="4">I144+I91+I12</f>
        <v>36040058.005163886</v>
      </c>
      <c r="J13" s="245">
        <f t="shared" ref="J13:J23" si="5">J144+J91+J12</f>
        <v>380500437.56126833</v>
      </c>
      <c r="K13" s="245">
        <f t="shared" ref="K13:K23" si="6">K144+K91+K12</f>
        <v>130154.19235430341</v>
      </c>
      <c r="L13" s="245">
        <f t="shared" ref="L13:L23" si="7">L144+L91+L12</f>
        <v>1215918.7322821682</v>
      </c>
      <c r="M13" s="245">
        <f t="shared" ref="M13:M23" si="8">M144+M91+M12</f>
        <v>12105533.562641669</v>
      </c>
      <c r="N13" s="243">
        <f t="shared" ref="N13:N24" si="9">SUM(D13:M13)</f>
        <v>1181788885.3291433</v>
      </c>
      <c r="O13" s="251"/>
      <c r="P13" s="251"/>
      <c r="Q13" s="251"/>
      <c r="R13" s="251"/>
    </row>
    <row r="14" spans="1:18" ht="12.75" customHeight="1">
      <c r="A14" s="555">
        <f t="shared" ref="A14:A25" si="10">A13+1</f>
        <v>3</v>
      </c>
      <c r="B14" s="555"/>
      <c r="C14" s="666" t="s">
        <v>2917</v>
      </c>
      <c r="D14" s="245">
        <v>0</v>
      </c>
      <c r="E14" s="245">
        <f t="shared" si="0"/>
        <v>13010029.430435803</v>
      </c>
      <c r="F14" s="245">
        <f t="shared" si="1"/>
        <v>53370280.246016197</v>
      </c>
      <c r="G14" s="245">
        <f t="shared" si="2"/>
        <v>309807730.63451773</v>
      </c>
      <c r="H14" s="245">
        <f t="shared" si="3"/>
        <v>383040683.35865378</v>
      </c>
      <c r="I14" s="245">
        <f t="shared" si="4"/>
        <v>36961080.546581976</v>
      </c>
      <c r="J14" s="245">
        <f t="shared" si="5"/>
        <v>381042153.831128</v>
      </c>
      <c r="K14" s="245">
        <f t="shared" si="6"/>
        <v>130347.28891449849</v>
      </c>
      <c r="L14" s="245">
        <f t="shared" si="7"/>
        <v>1254554.8267738766</v>
      </c>
      <c r="M14" s="245">
        <f t="shared" si="8"/>
        <v>12159127.168900261</v>
      </c>
      <c r="N14" s="243">
        <f t="shared" si="9"/>
        <v>1190775987.3319221</v>
      </c>
      <c r="O14" s="251"/>
      <c r="P14" s="251"/>
      <c r="Q14" s="251"/>
      <c r="R14" s="251"/>
    </row>
    <row r="15" spans="1:18" ht="12.75" customHeight="1">
      <c r="A15" s="555">
        <f t="shared" si="10"/>
        <v>4</v>
      </c>
      <c r="B15" s="555"/>
      <c r="C15" s="666" t="s">
        <v>2918</v>
      </c>
      <c r="D15" s="245">
        <v>0</v>
      </c>
      <c r="E15" s="245">
        <f t="shared" si="0"/>
        <v>13239519.184397368</v>
      </c>
      <c r="F15" s="245">
        <f t="shared" si="1"/>
        <v>54213078.514253817</v>
      </c>
      <c r="G15" s="245">
        <f t="shared" si="2"/>
        <v>327875400.74790537</v>
      </c>
      <c r="H15" s="245">
        <f t="shared" si="3"/>
        <v>385387221.69466448</v>
      </c>
      <c r="I15" s="245">
        <f t="shared" si="4"/>
        <v>37829093.545581445</v>
      </c>
      <c r="J15" s="245">
        <f t="shared" si="5"/>
        <v>378967067.74921024</v>
      </c>
      <c r="K15" s="245">
        <f t="shared" si="6"/>
        <v>130523.04778213882</v>
      </c>
      <c r="L15" s="245">
        <f t="shared" si="7"/>
        <v>1290504.4921056193</v>
      </c>
      <c r="M15" s="245">
        <f t="shared" si="8"/>
        <v>11983398.400127659</v>
      </c>
      <c r="N15" s="243">
        <f t="shared" si="9"/>
        <v>1210915807.3760283</v>
      </c>
      <c r="O15" s="251"/>
      <c r="P15" s="251"/>
      <c r="Q15" s="251"/>
      <c r="R15" s="251"/>
    </row>
    <row r="16" spans="1:18" ht="12.75" customHeight="1">
      <c r="A16" s="555">
        <f t="shared" si="10"/>
        <v>5</v>
      </c>
      <c r="B16" s="555"/>
      <c r="C16" s="667" t="s">
        <v>2919</v>
      </c>
      <c r="D16" s="245">
        <v>0</v>
      </c>
      <c r="E16" s="245">
        <f t="shared" si="0"/>
        <v>13487865.066821884</v>
      </c>
      <c r="F16" s="245">
        <f t="shared" si="1"/>
        <v>55386503.16444502</v>
      </c>
      <c r="G16" s="245">
        <f t="shared" si="2"/>
        <v>334222613.16513449</v>
      </c>
      <c r="H16" s="245">
        <f t="shared" si="3"/>
        <v>389805256.79237211</v>
      </c>
      <c r="I16" s="245">
        <f t="shared" si="4"/>
        <v>38787814.394981563</v>
      </c>
      <c r="J16" s="245">
        <f t="shared" si="5"/>
        <v>377781204.43077517</v>
      </c>
      <c r="K16" s="245">
        <f t="shared" si="6"/>
        <v>130670.51044396365</v>
      </c>
      <c r="L16" s="245">
        <f t="shared" si="7"/>
        <v>1325525.073998824</v>
      </c>
      <c r="M16" s="245">
        <f t="shared" si="8"/>
        <v>12178821.941873048</v>
      </c>
      <c r="N16" s="243">
        <f t="shared" si="9"/>
        <v>1223106274.5408461</v>
      </c>
      <c r="O16" s="251"/>
      <c r="P16" s="251"/>
      <c r="Q16" s="251"/>
      <c r="R16" s="251"/>
    </row>
    <row r="17" spans="1:18" ht="12.75" customHeight="1">
      <c r="A17" s="555">
        <f t="shared" si="10"/>
        <v>6</v>
      </c>
      <c r="B17" s="555"/>
      <c r="C17" s="666" t="s">
        <v>2920</v>
      </c>
      <c r="D17" s="245">
        <v>0</v>
      </c>
      <c r="E17" s="245">
        <f t="shared" si="0"/>
        <v>13767798.683880778</v>
      </c>
      <c r="F17" s="245">
        <f t="shared" si="1"/>
        <v>55987658.444342129</v>
      </c>
      <c r="G17" s="245">
        <f t="shared" si="2"/>
        <v>341081552.20487124</v>
      </c>
      <c r="H17" s="245">
        <f t="shared" si="3"/>
        <v>392703999.53469467</v>
      </c>
      <c r="I17" s="245">
        <f t="shared" si="4"/>
        <v>39680835.488352172</v>
      </c>
      <c r="J17" s="245">
        <f t="shared" si="5"/>
        <v>378243477.75515133</v>
      </c>
      <c r="K17" s="245">
        <f t="shared" si="6"/>
        <v>130847.38316527769</v>
      </c>
      <c r="L17" s="245">
        <f t="shared" si="7"/>
        <v>1367350.7840221403</v>
      </c>
      <c r="M17" s="245">
        <f t="shared" si="8"/>
        <v>12361766.507917536</v>
      </c>
      <c r="N17" s="243">
        <f t="shared" si="9"/>
        <v>1235325286.7863975</v>
      </c>
      <c r="O17" s="251"/>
      <c r="P17" s="251"/>
      <c r="Q17" s="251"/>
      <c r="R17" s="251"/>
    </row>
    <row r="18" spans="1:18" ht="12.75" customHeight="1">
      <c r="A18" s="555">
        <f t="shared" si="10"/>
        <v>7</v>
      </c>
      <c r="B18" s="555"/>
      <c r="C18" s="666" t="s">
        <v>2921</v>
      </c>
      <c r="D18" s="245">
        <v>0</v>
      </c>
      <c r="E18" s="245">
        <f t="shared" si="0"/>
        <v>14003421.301336829</v>
      </c>
      <c r="F18" s="245">
        <f t="shared" si="1"/>
        <v>56697714.450118005</v>
      </c>
      <c r="G18" s="245">
        <f t="shared" si="2"/>
        <v>347771989.33580446</v>
      </c>
      <c r="H18" s="245">
        <f t="shared" si="3"/>
        <v>396680272.31372219</v>
      </c>
      <c r="I18" s="245">
        <f t="shared" si="4"/>
        <v>40669125.919217698</v>
      </c>
      <c r="J18" s="245">
        <f t="shared" si="5"/>
        <v>380044093.06636745</v>
      </c>
      <c r="K18" s="245">
        <f t="shared" si="6"/>
        <v>131024.24257603087</v>
      </c>
      <c r="L18" s="245">
        <f t="shared" si="7"/>
        <v>1400198.9161738206</v>
      </c>
      <c r="M18" s="245">
        <f t="shared" si="8"/>
        <v>12529879.435276564</v>
      </c>
      <c r="N18" s="243">
        <f t="shared" si="9"/>
        <v>1249927718.9805932</v>
      </c>
      <c r="O18" s="251"/>
      <c r="P18" s="251"/>
      <c r="Q18" s="251"/>
      <c r="R18" s="251"/>
    </row>
    <row r="19" spans="1:18" ht="12.75" customHeight="1">
      <c r="A19" s="555">
        <f t="shared" si="10"/>
        <v>8</v>
      </c>
      <c r="B19" s="555"/>
      <c r="C19" s="667" t="s">
        <v>2922</v>
      </c>
      <c r="D19" s="245">
        <v>0</v>
      </c>
      <c r="E19" s="245">
        <f t="shared" si="0"/>
        <v>14237535.667000348</v>
      </c>
      <c r="F19" s="245">
        <f t="shared" si="1"/>
        <v>58327288.540339492</v>
      </c>
      <c r="G19" s="245">
        <f t="shared" si="2"/>
        <v>365173474.47366631</v>
      </c>
      <c r="H19" s="245">
        <f t="shared" si="3"/>
        <v>387434464.24025553</v>
      </c>
      <c r="I19" s="245">
        <f t="shared" si="4"/>
        <v>41533880.733856961</v>
      </c>
      <c r="J19" s="245">
        <f t="shared" si="5"/>
        <v>377548484.02026838</v>
      </c>
      <c r="K19" s="245">
        <f t="shared" si="6"/>
        <v>131194.84092236919</v>
      </c>
      <c r="L19" s="245">
        <f t="shared" si="7"/>
        <v>1439665.7369172713</v>
      </c>
      <c r="M19" s="245">
        <f t="shared" si="8"/>
        <v>12809320.225766195</v>
      </c>
      <c r="N19" s="243">
        <f t="shared" si="9"/>
        <v>1258635308.4789927</v>
      </c>
      <c r="O19" s="251"/>
      <c r="P19" s="251"/>
      <c r="Q19" s="251"/>
      <c r="R19" s="251"/>
    </row>
    <row r="20" spans="1:18" ht="12.75" customHeight="1">
      <c r="A20" s="555">
        <f t="shared" si="10"/>
        <v>9</v>
      </c>
      <c r="B20" s="555"/>
      <c r="C20" s="666" t="s">
        <v>2923</v>
      </c>
      <c r="D20" s="245">
        <v>0</v>
      </c>
      <c r="E20" s="245">
        <f t="shared" si="0"/>
        <v>14479720.25457155</v>
      </c>
      <c r="F20" s="245">
        <f t="shared" si="1"/>
        <v>59220523.925555937</v>
      </c>
      <c r="G20" s="245">
        <f t="shared" si="2"/>
        <v>371274435.92430323</v>
      </c>
      <c r="H20" s="245">
        <f t="shared" si="3"/>
        <v>391913045.32488787</v>
      </c>
      <c r="I20" s="245">
        <f t="shared" si="4"/>
        <v>42571427.554412395</v>
      </c>
      <c r="J20" s="245">
        <f t="shared" si="5"/>
        <v>381977369.66981918</v>
      </c>
      <c r="K20" s="245">
        <f t="shared" si="6"/>
        <v>131368.39806401092</v>
      </c>
      <c r="L20" s="245">
        <f t="shared" si="7"/>
        <v>1478301.7118714161</v>
      </c>
      <c r="M20" s="245">
        <f t="shared" si="8"/>
        <v>13051094.038053097</v>
      </c>
      <c r="N20" s="243">
        <f t="shared" si="9"/>
        <v>1276097286.8015385</v>
      </c>
      <c r="O20" s="251"/>
      <c r="P20" s="251"/>
      <c r="Q20" s="251"/>
      <c r="R20" s="251"/>
    </row>
    <row r="21" spans="1:18" ht="12.75" customHeight="1">
      <c r="A21" s="555">
        <f t="shared" si="10"/>
        <v>10</v>
      </c>
      <c r="B21" s="555"/>
      <c r="C21" s="666" t="s">
        <v>2924</v>
      </c>
      <c r="D21" s="245">
        <v>0</v>
      </c>
      <c r="E21" s="245">
        <f t="shared" si="0"/>
        <v>14721742.539701505</v>
      </c>
      <c r="F21" s="245">
        <f t="shared" si="1"/>
        <v>60170391.690800466</v>
      </c>
      <c r="G21" s="245">
        <f t="shared" si="2"/>
        <v>364452250.77117759</v>
      </c>
      <c r="H21" s="245">
        <f t="shared" si="3"/>
        <v>396684807.01045305</v>
      </c>
      <c r="I21" s="245">
        <f t="shared" si="4"/>
        <v>43490467.504998244</v>
      </c>
      <c r="J21" s="245">
        <f t="shared" si="5"/>
        <v>389310192.35906672</v>
      </c>
      <c r="K21" s="245">
        <f t="shared" si="6"/>
        <v>131543.60595852954</v>
      </c>
      <c r="L21" s="245">
        <f t="shared" si="7"/>
        <v>1514859.6963808548</v>
      </c>
      <c r="M21" s="245">
        <f t="shared" si="8"/>
        <v>13300362.32083028</v>
      </c>
      <c r="N21" s="243">
        <f t="shared" si="9"/>
        <v>1283776617.4993672</v>
      </c>
      <c r="O21" s="251"/>
      <c r="P21" s="251"/>
      <c r="Q21" s="251"/>
      <c r="R21" s="251"/>
    </row>
    <row r="22" spans="1:18" ht="12.75" customHeight="1">
      <c r="A22" s="555">
        <f t="shared" si="10"/>
        <v>11</v>
      </c>
      <c r="B22" s="555"/>
      <c r="C22" s="667" t="s">
        <v>2925</v>
      </c>
      <c r="D22" s="245">
        <v>0</v>
      </c>
      <c r="E22" s="245">
        <f t="shared" si="0"/>
        <v>14965912.764471132</v>
      </c>
      <c r="F22" s="245">
        <f t="shared" si="1"/>
        <v>61070081.240150571</v>
      </c>
      <c r="G22" s="245">
        <f t="shared" si="2"/>
        <v>370620708.50444329</v>
      </c>
      <c r="H22" s="245">
        <f t="shared" si="3"/>
        <v>400596611.99259037</v>
      </c>
      <c r="I22" s="245">
        <f t="shared" si="4"/>
        <v>44425399.957255341</v>
      </c>
      <c r="J22" s="245">
        <f t="shared" si="5"/>
        <v>393310910.22538167</v>
      </c>
      <c r="K22" s="245">
        <f t="shared" si="6"/>
        <v>131719.09917579824</v>
      </c>
      <c r="L22" s="245">
        <f t="shared" si="7"/>
        <v>1548468.0362353197</v>
      </c>
      <c r="M22" s="245">
        <f t="shared" si="8"/>
        <v>13504934.735252025</v>
      </c>
      <c r="N22" s="243">
        <f t="shared" si="9"/>
        <v>1300174746.5549555</v>
      </c>
      <c r="O22" s="251"/>
      <c r="P22" s="251"/>
      <c r="Q22" s="251"/>
      <c r="R22" s="251"/>
    </row>
    <row r="23" spans="1:18" ht="12.75" customHeight="1">
      <c r="A23" s="555">
        <f t="shared" si="10"/>
        <v>12</v>
      </c>
      <c r="B23" s="555"/>
      <c r="C23" s="667" t="s">
        <v>2926</v>
      </c>
      <c r="D23" s="245">
        <v>0</v>
      </c>
      <c r="E23" s="245">
        <f t="shared" si="0"/>
        <v>15206614.683118401</v>
      </c>
      <c r="F23" s="245">
        <f t="shared" si="1"/>
        <v>62100494.552958682</v>
      </c>
      <c r="G23" s="245">
        <f t="shared" si="2"/>
        <v>371748826.68596768</v>
      </c>
      <c r="H23" s="245">
        <f t="shared" si="3"/>
        <v>404775920.04087138</v>
      </c>
      <c r="I23" s="245">
        <f t="shared" si="4"/>
        <v>45554721.466810264</v>
      </c>
      <c r="J23" s="245">
        <f t="shared" si="5"/>
        <v>386442550.49394405</v>
      </c>
      <c r="K23" s="245">
        <f t="shared" si="6"/>
        <v>131895.07061876581</v>
      </c>
      <c r="L23" s="245">
        <f t="shared" si="7"/>
        <v>1594797.5717730653</v>
      </c>
      <c r="M23" s="245">
        <f t="shared" si="8"/>
        <v>13702482.573880048</v>
      </c>
      <c r="N23" s="243">
        <f t="shared" si="9"/>
        <v>1301258303.1399422</v>
      </c>
      <c r="O23" s="251"/>
      <c r="P23" s="251"/>
      <c r="Q23" s="251"/>
      <c r="R23" s="251"/>
    </row>
    <row r="24" spans="1:18">
      <c r="A24" s="555">
        <f t="shared" si="10"/>
        <v>13</v>
      </c>
      <c r="B24" s="555"/>
      <c r="C24" s="666" t="s">
        <v>2927</v>
      </c>
      <c r="D24" s="123">
        <v>0</v>
      </c>
      <c r="E24" s="123">
        <v>15448962.530060295</v>
      </c>
      <c r="F24" s="123">
        <v>62832871.219635673</v>
      </c>
      <c r="G24" s="123">
        <v>372504539.64354354</v>
      </c>
      <c r="H24" s="123">
        <v>406863963.81291598</v>
      </c>
      <c r="I24" s="123">
        <v>46334041.093138769</v>
      </c>
      <c r="J24" s="123">
        <v>386000140.09468102</v>
      </c>
      <c r="K24" s="123">
        <v>132074.21772594441</v>
      </c>
      <c r="L24" s="123">
        <v>1627344.7828261126</v>
      </c>
      <c r="M24" s="123">
        <v>13852616.302390257</v>
      </c>
      <c r="N24" s="378">
        <f t="shared" si="9"/>
        <v>1305596553.6969178</v>
      </c>
      <c r="O24" s="251"/>
      <c r="P24" s="251"/>
      <c r="Q24" s="251"/>
      <c r="R24" s="251"/>
    </row>
    <row r="25" spans="1:18">
      <c r="A25" s="555">
        <f t="shared" si="10"/>
        <v>14</v>
      </c>
      <c r="B25" s="241"/>
      <c r="C25" s="559" t="s">
        <v>1325</v>
      </c>
      <c r="D25" s="243">
        <f t="shared" ref="D25:M25" si="11">AVERAGE(D12:D24)</f>
        <v>0</v>
      </c>
      <c r="E25" s="243">
        <f>AVERAGE(E12:E24)</f>
        <v>13991988.453680906</v>
      </c>
      <c r="F25" s="243">
        <f t="shared" si="11"/>
        <v>57473782.201282986</v>
      </c>
      <c r="G25" s="243">
        <f t="shared" si="11"/>
        <v>349688519.28568238</v>
      </c>
      <c r="H25" s="243">
        <f t="shared" si="11"/>
        <v>389707430.5573318</v>
      </c>
      <c r="I25" s="243">
        <f t="shared" si="11"/>
        <v>40923720.642762907</v>
      </c>
      <c r="J25" s="243">
        <f t="shared" si="11"/>
        <v>380382545.17415833</v>
      </c>
      <c r="K25" s="243">
        <f t="shared" si="11"/>
        <v>131071.35084015863</v>
      </c>
      <c r="L25" s="243">
        <f t="shared" si="11"/>
        <v>1405100.6709209089</v>
      </c>
      <c r="M25" s="243">
        <f t="shared" si="11"/>
        <v>12380930.70221463</v>
      </c>
      <c r="N25" s="243">
        <f>AVERAGE(N12:N24)</f>
        <v>1246085089.0388751</v>
      </c>
      <c r="O25" s="251"/>
      <c r="P25" s="251"/>
      <c r="Q25" s="251"/>
      <c r="R25" s="251"/>
    </row>
    <row r="26" spans="1:18">
      <c r="A26" s="241"/>
      <c r="B26" s="241"/>
      <c r="C26" s="241"/>
      <c r="D26" s="241"/>
      <c r="E26" s="241"/>
      <c r="F26" s="241"/>
      <c r="G26" s="241"/>
      <c r="H26" s="241"/>
      <c r="I26" s="241"/>
      <c r="J26" s="241"/>
      <c r="K26" s="241"/>
      <c r="L26" s="241"/>
      <c r="M26" s="241"/>
      <c r="N26" s="241"/>
      <c r="O26" s="251"/>
      <c r="P26" s="251"/>
      <c r="Q26" s="251"/>
      <c r="R26" s="251"/>
    </row>
    <row r="27" spans="1:18">
      <c r="A27" s="241"/>
      <c r="B27" s="428" t="s">
        <v>1745</v>
      </c>
      <c r="C27" s="241"/>
      <c r="D27" s="241"/>
      <c r="E27" s="241"/>
      <c r="F27" s="241"/>
      <c r="G27" s="241"/>
      <c r="H27" s="241"/>
      <c r="I27" s="241"/>
      <c r="J27" s="241"/>
      <c r="K27" s="241"/>
      <c r="L27" s="241"/>
      <c r="M27" s="241"/>
      <c r="N27" s="241"/>
      <c r="O27" s="251"/>
      <c r="P27" s="251"/>
      <c r="Q27" s="251"/>
      <c r="R27" s="251"/>
    </row>
    <row r="28" spans="1:18">
      <c r="A28" s="241"/>
      <c r="B28" s="428"/>
      <c r="C28" s="241"/>
      <c r="D28" s="241"/>
      <c r="E28" s="241"/>
      <c r="F28" s="241"/>
      <c r="G28" s="241"/>
      <c r="H28" s="241"/>
      <c r="I28" s="241"/>
      <c r="J28" s="241"/>
      <c r="K28" s="241"/>
      <c r="L28" s="241"/>
      <c r="M28" s="241"/>
      <c r="N28" s="241"/>
      <c r="O28" s="251"/>
      <c r="P28" s="251"/>
      <c r="Q28" s="251"/>
      <c r="R28" s="251"/>
    </row>
    <row r="29" spans="1:18">
      <c r="A29" s="241"/>
      <c r="B29" s="241"/>
      <c r="C29" s="91" t="s">
        <v>394</v>
      </c>
      <c r="D29" s="91" t="s">
        <v>378</v>
      </c>
      <c r="E29" s="91" t="s">
        <v>379</v>
      </c>
      <c r="F29" s="91" t="s">
        <v>380</v>
      </c>
      <c r="G29" s="91" t="s">
        <v>381</v>
      </c>
      <c r="H29" s="241"/>
      <c r="I29" s="241"/>
      <c r="J29" s="241"/>
      <c r="K29" s="241"/>
      <c r="L29" s="241"/>
      <c r="M29" s="241"/>
      <c r="N29" s="241"/>
      <c r="O29" s="251"/>
      <c r="P29" s="251"/>
      <c r="Q29" s="251"/>
      <c r="R29" s="251"/>
    </row>
    <row r="30" spans="1:18">
      <c r="A30" s="241"/>
      <c r="B30" s="241"/>
      <c r="C30" s="241"/>
      <c r="D30" s="575" t="s">
        <v>12</v>
      </c>
      <c r="E30" s="241"/>
      <c r="F30" s="241"/>
      <c r="G30" s="499" t="s">
        <v>1889</v>
      </c>
      <c r="H30" s="241"/>
      <c r="I30" s="241"/>
      <c r="J30" s="241"/>
      <c r="K30" s="241"/>
      <c r="L30" s="241"/>
      <c r="M30" s="241"/>
      <c r="N30" s="241"/>
      <c r="O30" s="577"/>
      <c r="P30" s="251"/>
      <c r="Q30" s="251"/>
      <c r="R30" s="251"/>
    </row>
    <row r="31" spans="1:18">
      <c r="A31" s="241"/>
      <c r="B31" s="241"/>
      <c r="C31" s="241"/>
      <c r="D31" s="575" t="s">
        <v>1062</v>
      </c>
      <c r="E31" s="241"/>
      <c r="F31" s="241"/>
      <c r="G31" s="241"/>
      <c r="H31" s="241"/>
      <c r="I31" s="241"/>
      <c r="J31" s="241"/>
      <c r="K31" s="241"/>
      <c r="L31" s="241"/>
      <c r="M31" s="241"/>
      <c r="N31" s="241"/>
      <c r="O31" s="503"/>
      <c r="P31" s="251"/>
      <c r="Q31" s="251"/>
      <c r="R31" s="251"/>
    </row>
    <row r="32" spans="1:18">
      <c r="A32" s="241"/>
      <c r="B32" s="241"/>
      <c r="C32" s="131" t="s">
        <v>2034</v>
      </c>
      <c r="D32" s="91">
        <v>360</v>
      </c>
      <c r="E32" s="91">
        <v>361</v>
      </c>
      <c r="F32" s="91">
        <v>362</v>
      </c>
      <c r="G32" s="3" t="s">
        <v>215</v>
      </c>
      <c r="H32" s="1044" t="s">
        <v>187</v>
      </c>
      <c r="I32" s="251"/>
      <c r="J32" s="251"/>
      <c r="K32" s="241"/>
      <c r="L32" s="241"/>
      <c r="M32" s="241"/>
      <c r="N32" s="241"/>
      <c r="O32" s="503"/>
      <c r="P32" s="251"/>
      <c r="Q32" s="251"/>
      <c r="R32" s="251"/>
    </row>
    <row r="33" spans="1:18">
      <c r="A33" s="555">
        <f>A25+1</f>
        <v>15</v>
      </c>
      <c r="C33" s="821" t="s">
        <v>2822</v>
      </c>
      <c r="D33" s="246">
        <v>0</v>
      </c>
      <c r="E33" s="246">
        <v>0</v>
      </c>
      <c r="F33" s="246">
        <v>0</v>
      </c>
      <c r="G33" s="243">
        <f>SUM(D33:F33)</f>
        <v>0</v>
      </c>
      <c r="H33" s="521" t="s">
        <v>2035</v>
      </c>
      <c r="I33" s="251"/>
      <c r="J33" s="251"/>
      <c r="K33" s="241"/>
      <c r="L33" s="241"/>
      <c r="M33" s="241"/>
      <c r="N33" s="241"/>
      <c r="O33" s="503"/>
      <c r="P33" s="251"/>
      <c r="Q33" s="251"/>
      <c r="R33" s="251"/>
    </row>
    <row r="34" spans="1:18">
      <c r="A34" s="555">
        <v>16</v>
      </c>
      <c r="C34" s="821" t="s">
        <v>2927</v>
      </c>
      <c r="D34" s="433">
        <v>0</v>
      </c>
      <c r="E34" s="433">
        <v>0</v>
      </c>
      <c r="F34" s="433">
        <v>0</v>
      </c>
      <c r="G34" s="378">
        <f>SUM(D34:F34)</f>
        <v>0</v>
      </c>
      <c r="H34" s="521" t="s">
        <v>100</v>
      </c>
      <c r="I34" s="251"/>
      <c r="J34" s="251"/>
      <c r="K34" s="241"/>
      <c r="L34" s="241"/>
      <c r="O34" s="503"/>
      <c r="P34" s="251"/>
      <c r="Q34" s="251"/>
      <c r="R34" s="251"/>
    </row>
    <row r="35" spans="1:18">
      <c r="A35" s="555">
        <f>A34+1</f>
        <v>17</v>
      </c>
      <c r="C35" s="242" t="s">
        <v>1502</v>
      </c>
      <c r="D35" s="243">
        <f>AVERAGE(D33:D34)</f>
        <v>0</v>
      </c>
      <c r="E35" s="243">
        <f>AVERAGE(E33:E34)</f>
        <v>0</v>
      </c>
      <c r="F35" s="243">
        <f>AVERAGE(F33:F34)</f>
        <v>0</v>
      </c>
      <c r="G35" s="243">
        <f>AVERAGE(G33:G34)</f>
        <v>0</v>
      </c>
      <c r="H35" s="260" t="str">
        <f>"Average of Line "&amp;A33&amp;" and Line "&amp;A34&amp;""</f>
        <v>Average of Line 15 and Line 16</v>
      </c>
      <c r="I35" s="241"/>
      <c r="J35" s="241"/>
      <c r="K35" s="241"/>
      <c r="M35" s="556"/>
      <c r="N35" s="532"/>
      <c r="O35" s="503"/>
      <c r="P35" s="251"/>
      <c r="Q35" s="251"/>
      <c r="R35" s="251"/>
    </row>
    <row r="36" spans="1:18">
      <c r="C36" s="242"/>
      <c r="I36" s="241"/>
      <c r="J36" s="241"/>
      <c r="K36" s="241"/>
      <c r="M36" s="567"/>
      <c r="N36" s="569"/>
      <c r="O36" s="503"/>
      <c r="P36" s="251"/>
      <c r="Q36" s="251"/>
      <c r="R36" s="251"/>
    </row>
    <row r="37" spans="1:18">
      <c r="B37" s="428" t="s">
        <v>1741</v>
      </c>
      <c r="I37" s="241"/>
      <c r="J37" s="241"/>
      <c r="K37" s="241"/>
      <c r="L37" s="241"/>
      <c r="M37" s="556"/>
      <c r="N37" s="569"/>
      <c r="O37" s="503"/>
      <c r="P37" s="251"/>
      <c r="Q37" s="251"/>
      <c r="R37" s="251"/>
    </row>
    <row r="38" spans="1:18" ht="15">
      <c r="B38" s="381"/>
      <c r="C38" s="369" t="s">
        <v>394</v>
      </c>
      <c r="D38" s="369" t="s">
        <v>378</v>
      </c>
      <c r="E38" s="369" t="s">
        <v>379</v>
      </c>
      <c r="F38" s="369" t="s">
        <v>380</v>
      </c>
      <c r="G38" s="369" t="s">
        <v>381</v>
      </c>
      <c r="J38" s="241"/>
      <c r="K38" s="244"/>
      <c r="L38" s="241"/>
      <c r="O38" s="251"/>
      <c r="P38" s="251"/>
      <c r="Q38" s="251"/>
      <c r="R38" s="251"/>
    </row>
    <row r="39" spans="1:18" ht="15">
      <c r="B39" s="381"/>
      <c r="C39" s="369"/>
      <c r="D39" s="369"/>
      <c r="E39" s="599" t="s">
        <v>2077</v>
      </c>
      <c r="F39" s="369"/>
      <c r="G39" s="369"/>
      <c r="J39" s="241"/>
      <c r="K39" s="244"/>
      <c r="L39" s="241"/>
      <c r="O39" s="251"/>
      <c r="P39" s="251"/>
      <c r="Q39" s="251"/>
      <c r="R39" s="251"/>
    </row>
    <row r="40" spans="1:18">
      <c r="C40" s="14"/>
      <c r="D40" s="14"/>
      <c r="E40" s="491" t="s">
        <v>215</v>
      </c>
      <c r="F40" s="14"/>
      <c r="G40" s="14"/>
      <c r="J40" s="241"/>
      <c r="K40" s="244"/>
      <c r="L40" s="241"/>
      <c r="O40" s="251"/>
      <c r="P40" s="251"/>
      <c r="Q40" s="251"/>
      <c r="R40" s="251"/>
    </row>
    <row r="41" spans="1:18">
      <c r="B41" s="241"/>
      <c r="C41" s="14"/>
      <c r="D41" s="251"/>
      <c r="E41" s="491" t="s">
        <v>2076</v>
      </c>
      <c r="F41" s="117" t="s">
        <v>1349</v>
      </c>
      <c r="G41" s="117" t="s">
        <v>1350</v>
      </c>
      <c r="J41" s="241"/>
      <c r="K41" s="244"/>
      <c r="L41" s="241"/>
      <c r="O41" s="251"/>
      <c r="P41" s="251"/>
      <c r="Q41" s="251"/>
      <c r="R41" s="251"/>
    </row>
    <row r="42" spans="1:18">
      <c r="B42" s="241"/>
      <c r="C42" s="14"/>
      <c r="D42" s="251"/>
      <c r="E42" s="491" t="s">
        <v>1503</v>
      </c>
      <c r="F42" s="491" t="s">
        <v>1503</v>
      </c>
      <c r="G42" s="491" t="s">
        <v>1503</v>
      </c>
      <c r="J42" s="241"/>
      <c r="K42" s="244"/>
      <c r="L42" s="241"/>
      <c r="Q42" s="251"/>
      <c r="R42" s="251"/>
    </row>
    <row r="43" spans="1:18">
      <c r="B43" s="241"/>
      <c r="C43" s="131" t="s">
        <v>2034</v>
      </c>
      <c r="D43" s="251"/>
      <c r="E43" s="492" t="s">
        <v>1504</v>
      </c>
      <c r="F43" s="492" t="s">
        <v>1504</v>
      </c>
      <c r="G43" s="492" t="s">
        <v>1504</v>
      </c>
      <c r="H43" s="434" t="s">
        <v>198</v>
      </c>
      <c r="J43" s="241"/>
      <c r="K43" s="379"/>
      <c r="L43" s="241"/>
      <c r="O43" s="251"/>
      <c r="P43" s="251"/>
      <c r="Q43" s="251"/>
      <c r="R43" s="251"/>
    </row>
    <row r="44" spans="1:18">
      <c r="A44" s="555">
        <f>A35+1</f>
        <v>18</v>
      </c>
      <c r="B44" s="241"/>
      <c r="C44" s="821" t="s">
        <v>2822</v>
      </c>
      <c r="D44" s="560" t="s">
        <v>1500</v>
      </c>
      <c r="E44" s="245">
        <f>SUM(F44:G44)</f>
        <v>1950354116</v>
      </c>
      <c r="F44" s="246">
        <v>897908161</v>
      </c>
      <c r="G44" s="671">
        <v>1052445955</v>
      </c>
      <c r="H44" s="503" t="s">
        <v>2078</v>
      </c>
      <c r="I44" s="14"/>
      <c r="J44" s="251"/>
      <c r="K44" s="106"/>
      <c r="L44" s="1281"/>
      <c r="O44" s="251"/>
      <c r="P44" s="251"/>
      <c r="Q44" s="251"/>
      <c r="R44" s="251"/>
    </row>
    <row r="45" spans="1:18">
      <c r="A45" s="555">
        <f>A44+1</f>
        <v>19</v>
      </c>
      <c r="B45" s="241"/>
      <c r="C45" s="821" t="s">
        <v>2927</v>
      </c>
      <c r="D45" s="242" t="s">
        <v>1501</v>
      </c>
      <c r="E45" s="498">
        <f>SUM(F45:G45)</f>
        <v>1958254795</v>
      </c>
      <c r="F45" s="1198">
        <v>1011263915</v>
      </c>
      <c r="G45" s="671">
        <v>946990880</v>
      </c>
      <c r="H45" s="503" t="s">
        <v>2079</v>
      </c>
      <c r="I45" s="14"/>
      <c r="J45" s="1282"/>
      <c r="K45" s="576"/>
      <c r="L45" s="241"/>
      <c r="O45" s="251"/>
      <c r="P45" s="251"/>
      <c r="Q45" s="251"/>
      <c r="R45" s="251"/>
    </row>
    <row r="46" spans="1:18">
      <c r="A46" s="555">
        <f>A45+1</f>
        <v>20</v>
      </c>
      <c r="B46" s="241"/>
      <c r="D46" s="242" t="s">
        <v>1502</v>
      </c>
      <c r="E46" s="243">
        <f>AVERAGE(E44:E45)</f>
        <v>1954304455.5</v>
      </c>
      <c r="H46" s="260" t="str">
        <f>"Average of Line "&amp;A44&amp;" and Line "&amp;A45&amp;""</f>
        <v>Average of Line 18 and Line 19</v>
      </c>
      <c r="J46" s="241"/>
      <c r="K46" s="576"/>
      <c r="L46" s="241"/>
      <c r="O46" s="251"/>
      <c r="P46" s="251"/>
      <c r="Q46" s="251"/>
      <c r="R46" s="251"/>
    </row>
    <row r="47" spans="1:18">
      <c r="I47" s="241"/>
      <c r="J47" s="241"/>
      <c r="K47" s="241"/>
      <c r="L47" s="241"/>
      <c r="O47" s="251"/>
      <c r="P47" s="251"/>
      <c r="Q47" s="251"/>
      <c r="R47" s="251"/>
    </row>
    <row r="48" spans="1:18">
      <c r="B48" s="1" t="s">
        <v>1505</v>
      </c>
      <c r="C48" s="22"/>
      <c r="D48" s="564"/>
      <c r="E48" s="241"/>
      <c r="F48" s="241"/>
      <c r="G48" s="241"/>
      <c r="H48" s="241"/>
      <c r="I48" s="241"/>
      <c r="J48" s="241"/>
      <c r="K48" s="241"/>
      <c r="L48" s="241"/>
      <c r="M48" s="241"/>
      <c r="N48" s="241"/>
      <c r="O48" s="251"/>
      <c r="P48" s="251"/>
      <c r="Q48" s="251"/>
      <c r="R48" s="251"/>
    </row>
    <row r="49" spans="1:18">
      <c r="B49" s="1"/>
      <c r="C49" s="22"/>
      <c r="D49" s="564"/>
      <c r="E49" s="241"/>
      <c r="F49" s="241"/>
      <c r="G49" s="241"/>
      <c r="H49" s="241"/>
      <c r="I49" s="241"/>
      <c r="J49" s="241"/>
      <c r="K49" s="241"/>
      <c r="L49" s="241"/>
      <c r="M49" s="241"/>
      <c r="N49" s="241"/>
      <c r="O49" s="251"/>
      <c r="P49" s="251"/>
      <c r="Q49" s="251"/>
      <c r="R49" s="251"/>
    </row>
    <row r="50" spans="1:18">
      <c r="B50" s="241"/>
      <c r="C50" s="1"/>
      <c r="D50" s="22"/>
      <c r="E50" s="564"/>
      <c r="F50" s="379" t="s">
        <v>194</v>
      </c>
      <c r="G50" s="434" t="s">
        <v>198</v>
      </c>
      <c r="H50" s="241"/>
      <c r="I50" s="241"/>
      <c r="J50" s="241"/>
      <c r="K50" s="241"/>
      <c r="L50" s="241"/>
      <c r="M50" s="241"/>
      <c r="N50" s="241"/>
      <c r="O50" s="251"/>
      <c r="P50" s="251"/>
      <c r="Q50" s="251"/>
      <c r="R50" s="251"/>
    </row>
    <row r="51" spans="1:18">
      <c r="A51" s="555">
        <f>A46+1</f>
        <v>21</v>
      </c>
      <c r="B51" s="241"/>
      <c r="C51" s="22"/>
      <c r="D51" s="22"/>
      <c r="E51" s="560" t="s">
        <v>1506</v>
      </c>
      <c r="F51" s="561">
        <f>E46</f>
        <v>1954304455.5</v>
      </c>
      <c r="G51" s="260" t="str">
        <f>"Line "&amp;A46&amp;""</f>
        <v>Line 20</v>
      </c>
      <c r="H51" s="241"/>
      <c r="I51" s="241"/>
      <c r="J51" s="241"/>
      <c r="K51" s="241"/>
      <c r="L51" s="241"/>
      <c r="M51" s="241"/>
      <c r="N51" s="241"/>
      <c r="O51" s="251"/>
      <c r="P51" s="251"/>
      <c r="Q51" s="251"/>
      <c r="R51" s="251"/>
    </row>
    <row r="52" spans="1:18">
      <c r="A52" s="555">
        <f>A51+1</f>
        <v>22</v>
      </c>
      <c r="B52" s="241"/>
      <c r="C52" s="22"/>
      <c r="D52" s="22"/>
      <c r="E52" s="572" t="s">
        <v>265</v>
      </c>
      <c r="F52" s="576">
        <f>'27-Allocators'!G15</f>
        <v>6.0220089469584258E-2</v>
      </c>
      <c r="G52" s="503" t="str">
        <f>"27-Allocators, Line "&amp;'27-Allocators'!A15&amp;""</f>
        <v>27-Allocators, Line 9</v>
      </c>
      <c r="H52" s="241"/>
      <c r="I52" s="241"/>
      <c r="J52" s="241"/>
      <c r="K52" s="241"/>
      <c r="L52" s="241"/>
      <c r="M52" s="241"/>
      <c r="N52" s="241"/>
      <c r="O52" s="251"/>
      <c r="P52" s="251"/>
      <c r="Q52" s="251"/>
      <c r="R52" s="251"/>
    </row>
    <row r="53" spans="1:18">
      <c r="A53" s="555">
        <f>A52+1</f>
        <v>23</v>
      </c>
      <c r="B53" s="241"/>
      <c r="C53" s="22"/>
      <c r="D53" s="22"/>
      <c r="E53" s="572" t="s">
        <v>1507</v>
      </c>
      <c r="F53" s="561">
        <f>F51*F52</f>
        <v>117688389.16101715</v>
      </c>
      <c r="G53" s="503" t="str">
        <f>"Line "&amp;A51&amp;" * Line "&amp;A52&amp;""</f>
        <v>Line 21 * Line 22</v>
      </c>
      <c r="H53" s="241"/>
      <c r="I53" s="241"/>
      <c r="J53" s="241"/>
      <c r="K53" s="241"/>
      <c r="L53" s="241"/>
      <c r="M53" s="241"/>
      <c r="O53" s="251"/>
      <c r="P53" s="251"/>
      <c r="Q53" s="251"/>
      <c r="R53" s="251"/>
    </row>
    <row r="54" spans="1:18">
      <c r="B54" s="22"/>
      <c r="C54" s="22"/>
      <c r="D54" s="572"/>
      <c r="E54" s="561"/>
      <c r="F54" s="241"/>
      <c r="G54" s="251"/>
      <c r="H54" s="241"/>
      <c r="I54" s="241"/>
      <c r="J54" s="241"/>
      <c r="K54" s="241"/>
      <c r="L54" s="241"/>
      <c r="M54" s="241"/>
      <c r="O54" s="251"/>
      <c r="P54" s="251"/>
      <c r="Q54" s="251"/>
      <c r="R54" s="251"/>
    </row>
    <row r="55" spans="1:18">
      <c r="B55" s="1" t="s">
        <v>2708</v>
      </c>
      <c r="C55" s="22"/>
      <c r="D55" s="564"/>
      <c r="E55" s="241"/>
      <c r="F55" s="241"/>
      <c r="G55" s="251"/>
      <c r="H55" s="241"/>
      <c r="I55" s="241"/>
      <c r="J55" s="241"/>
      <c r="K55" s="241"/>
      <c r="L55" s="241"/>
      <c r="M55" s="241"/>
      <c r="O55" s="251"/>
      <c r="P55" s="251"/>
      <c r="Q55" s="251"/>
      <c r="R55" s="251"/>
    </row>
    <row r="56" spans="1:18">
      <c r="B56" s="241"/>
      <c r="C56" s="241"/>
      <c r="D56" s="241"/>
      <c r="E56" s="241"/>
      <c r="F56" s="241"/>
      <c r="G56" s="251"/>
      <c r="H56" s="241"/>
      <c r="I56" s="241"/>
      <c r="J56" s="241"/>
      <c r="K56" s="241"/>
      <c r="L56" s="241"/>
      <c r="M56" s="241"/>
      <c r="O56" s="578"/>
      <c r="P56" s="80"/>
      <c r="Q56" s="251"/>
      <c r="R56" s="251"/>
    </row>
    <row r="57" spans="1:18">
      <c r="B57" s="241"/>
      <c r="C57" s="241"/>
      <c r="D57" s="241"/>
      <c r="E57" s="241"/>
      <c r="F57" s="379" t="s">
        <v>194</v>
      </c>
      <c r="G57" s="577" t="s">
        <v>198</v>
      </c>
      <c r="H57" s="241"/>
      <c r="I57" s="241"/>
      <c r="J57" s="241"/>
      <c r="K57" s="241"/>
      <c r="L57" s="241"/>
      <c r="M57" s="241"/>
      <c r="O57" s="461"/>
      <c r="P57" s="461"/>
      <c r="Q57" s="251"/>
      <c r="R57" s="251"/>
    </row>
    <row r="58" spans="1:18">
      <c r="A58" s="555">
        <f>A53+1</f>
        <v>24</v>
      </c>
      <c r="B58" s="22"/>
      <c r="C58" s="22"/>
      <c r="E58" s="560" t="s">
        <v>1508</v>
      </c>
      <c r="F58" s="561">
        <f>E45</f>
        <v>1958254795</v>
      </c>
      <c r="G58" s="503" t="str">
        <f>"Line "&amp;A45&amp;""</f>
        <v>Line 19</v>
      </c>
      <c r="H58" s="241"/>
      <c r="I58" s="241"/>
      <c r="J58" s="241"/>
      <c r="K58" s="241"/>
      <c r="L58" s="241"/>
      <c r="M58" s="241"/>
      <c r="O58" s="41"/>
      <c r="P58" s="510"/>
      <c r="Q58" s="251"/>
      <c r="R58" s="251"/>
    </row>
    <row r="59" spans="1:18">
      <c r="A59" s="555">
        <f>A58+1</f>
        <v>25</v>
      </c>
      <c r="B59" s="22"/>
      <c r="C59" s="22"/>
      <c r="E59" s="572" t="s">
        <v>265</v>
      </c>
      <c r="F59" s="576">
        <f>'27-Allocators'!G15</f>
        <v>6.0220089469584258E-2</v>
      </c>
      <c r="G59" s="503" t="str">
        <f>"27-Allocators, Line "&amp;'27-Allocators'!A15&amp;""</f>
        <v>27-Allocators, Line 9</v>
      </c>
      <c r="H59" s="241"/>
      <c r="I59" s="241"/>
      <c r="J59" s="241"/>
      <c r="K59" s="241"/>
      <c r="L59" s="241"/>
      <c r="M59" s="241"/>
      <c r="O59" s="41"/>
      <c r="P59" s="510"/>
      <c r="Q59" s="251"/>
      <c r="R59" s="251"/>
    </row>
    <row r="60" spans="1:18">
      <c r="A60" s="555">
        <f>A59+1</f>
        <v>26</v>
      </c>
      <c r="B60" s="22"/>
      <c r="C60" s="22"/>
      <c r="E60" s="572" t="s">
        <v>1509</v>
      </c>
      <c r="F60" s="561">
        <f>F58*F59</f>
        <v>117926278.95914239</v>
      </c>
      <c r="G60" s="260" t="str">
        <f>"Line "&amp;A58&amp;" * Line "&amp;A59&amp;""</f>
        <v>Line 24 * Line 25</v>
      </c>
      <c r="H60" s="241"/>
      <c r="I60" s="241"/>
      <c r="J60" s="241"/>
      <c r="K60" s="241"/>
      <c r="L60" s="241"/>
      <c r="M60" s="241"/>
      <c r="Q60" s="251"/>
      <c r="R60" s="251"/>
    </row>
    <row r="61" spans="1:18">
      <c r="B61" s="241"/>
      <c r="C61" s="241"/>
      <c r="D61" s="241"/>
      <c r="E61" s="241"/>
      <c r="F61" s="241"/>
      <c r="G61" s="241"/>
      <c r="H61" s="241"/>
      <c r="I61" s="241"/>
      <c r="J61" s="241"/>
      <c r="K61" s="241"/>
      <c r="L61" s="241"/>
      <c r="M61" s="241"/>
      <c r="Q61" s="251"/>
      <c r="R61" s="251"/>
    </row>
    <row r="62" spans="1:18">
      <c r="Q62" s="251"/>
      <c r="R62" s="251"/>
    </row>
    <row r="63" spans="1:18">
      <c r="B63" s="1" t="s">
        <v>1742</v>
      </c>
      <c r="Q63" s="251"/>
      <c r="R63" s="251"/>
    </row>
    <row r="64" spans="1:18">
      <c r="Q64" s="251"/>
      <c r="R64" s="251"/>
    </row>
    <row r="65" spans="1:18">
      <c r="C65" s="1" t="s">
        <v>1736</v>
      </c>
      <c r="D65" s="522"/>
      <c r="E65" s="522"/>
      <c r="F65" s="522"/>
      <c r="G65" s="522"/>
      <c r="H65" s="522"/>
      <c r="I65" s="522"/>
      <c r="J65" s="522"/>
      <c r="K65" s="522"/>
      <c r="L65" s="522"/>
      <c r="M65" s="522"/>
      <c r="Q65" s="251"/>
      <c r="R65" s="251"/>
    </row>
    <row r="66" spans="1:18">
      <c r="A66" s="522"/>
      <c r="D66" s="522"/>
      <c r="E66" s="522"/>
      <c r="F66" s="522"/>
      <c r="G66" s="522"/>
      <c r="H66" s="522"/>
      <c r="I66" s="522"/>
      <c r="J66" s="522"/>
      <c r="K66" s="522"/>
      <c r="L66" s="522"/>
      <c r="M66" s="522"/>
      <c r="Q66" s="251"/>
      <c r="R66" s="251"/>
    </row>
    <row r="67" spans="1:18">
      <c r="A67" s="428"/>
      <c r="C67" s="91" t="s">
        <v>394</v>
      </c>
      <c r="D67" s="91" t="s">
        <v>378</v>
      </c>
      <c r="E67" s="91" t="s">
        <v>379</v>
      </c>
      <c r="F67" s="91" t="s">
        <v>380</v>
      </c>
      <c r="G67" s="91" t="s">
        <v>381</v>
      </c>
      <c r="H67" s="91" t="s">
        <v>382</v>
      </c>
      <c r="I67" s="91" t="s">
        <v>383</v>
      </c>
      <c r="J67" s="91" t="s">
        <v>596</v>
      </c>
      <c r="K67" s="91" t="s">
        <v>1045</v>
      </c>
      <c r="L67" s="91" t="s">
        <v>1061</v>
      </c>
      <c r="M67" s="91" t="s">
        <v>1064</v>
      </c>
      <c r="N67" s="91" t="s">
        <v>1082</v>
      </c>
      <c r="Q67" s="251"/>
      <c r="R67" s="251"/>
    </row>
    <row r="68" spans="1:18">
      <c r="A68" s="241"/>
      <c r="C68" s="262"/>
      <c r="D68" s="241"/>
      <c r="E68" s="241"/>
      <c r="F68" s="241"/>
      <c r="G68" s="241"/>
      <c r="H68" s="241"/>
      <c r="I68" s="241"/>
      <c r="J68" s="241"/>
      <c r="K68" s="241"/>
      <c r="L68" s="241"/>
      <c r="N68" s="262" t="s">
        <v>1366</v>
      </c>
      <c r="O68" s="251"/>
      <c r="P68" s="251"/>
      <c r="Q68" s="251"/>
      <c r="R68" s="251"/>
    </row>
    <row r="69" spans="1:18">
      <c r="A69" s="241"/>
      <c r="C69" s="117"/>
      <c r="D69" s="91"/>
      <c r="E69" s="91"/>
      <c r="F69" s="241"/>
      <c r="G69" s="241"/>
      <c r="H69" s="241"/>
      <c r="I69" s="241"/>
      <c r="J69" s="241"/>
      <c r="K69" s="241"/>
      <c r="L69" s="241"/>
      <c r="M69" s="241"/>
      <c r="O69" s="251"/>
      <c r="P69" s="251"/>
      <c r="Q69" s="251"/>
      <c r="R69" s="251"/>
    </row>
    <row r="70" spans="1:18">
      <c r="A70" s="52"/>
      <c r="C70" s="131" t="s">
        <v>2034</v>
      </c>
      <c r="D70" s="91">
        <v>350.1</v>
      </c>
      <c r="E70" s="91">
        <v>350.2</v>
      </c>
      <c r="F70" s="91">
        <v>352</v>
      </c>
      <c r="G70" s="91">
        <v>353</v>
      </c>
      <c r="H70" s="91">
        <v>354</v>
      </c>
      <c r="I70" s="91">
        <v>355</v>
      </c>
      <c r="J70" s="91">
        <v>356</v>
      </c>
      <c r="K70" s="91">
        <v>357</v>
      </c>
      <c r="L70" s="91">
        <v>358</v>
      </c>
      <c r="M70" s="91">
        <v>359</v>
      </c>
      <c r="N70" s="3" t="s">
        <v>215</v>
      </c>
      <c r="O70" s="251"/>
      <c r="P70" s="251"/>
      <c r="Q70" s="251"/>
      <c r="R70" s="251"/>
    </row>
    <row r="71" spans="1:18">
      <c r="A71" s="555">
        <f>A60+1</f>
        <v>27</v>
      </c>
      <c r="C71" s="667" t="s">
        <v>2916</v>
      </c>
      <c r="D71" s="557">
        <v>0</v>
      </c>
      <c r="E71" s="1387">
        <v>262312.3900000006</v>
      </c>
      <c r="F71" s="1387">
        <v>-8128595.9729368538</v>
      </c>
      <c r="G71" s="1387">
        <v>-73905796.351136327</v>
      </c>
      <c r="H71" s="1387">
        <v>31523959.561906517</v>
      </c>
      <c r="I71" s="1387">
        <v>25378001.038199067</v>
      </c>
      <c r="J71" s="1387">
        <v>7335827.6682314873</v>
      </c>
      <c r="K71" s="1387">
        <v>485239.06895371713</v>
      </c>
      <c r="L71" s="1387">
        <v>2187822.0286676139</v>
      </c>
      <c r="M71" s="1387">
        <v>5522829.2182342904</v>
      </c>
      <c r="N71" s="243">
        <f t="shared" ref="N71:N82" si="12">SUM(D71:M71)</f>
        <v>-9338401.3498804905</v>
      </c>
      <c r="O71" s="251"/>
      <c r="P71" s="251"/>
      <c r="Q71" s="251"/>
      <c r="R71" s="251"/>
    </row>
    <row r="72" spans="1:18">
      <c r="A72" s="555">
        <f t="shared" ref="A72:A83" si="13">A71+1</f>
        <v>28</v>
      </c>
      <c r="C72" s="666" t="s">
        <v>2917</v>
      </c>
      <c r="D72" s="557">
        <v>0</v>
      </c>
      <c r="E72" s="1387">
        <v>263774.93999999762</v>
      </c>
      <c r="F72" s="1387">
        <v>828627.39999997616</v>
      </c>
      <c r="G72" s="1387">
        <v>2909038.2599999905</v>
      </c>
      <c r="H72" s="1387">
        <v>2703901.8399999738</v>
      </c>
      <c r="I72" s="1387">
        <v>-1118325.8199999928</v>
      </c>
      <c r="J72" s="1387">
        <v>2298136.9700000286</v>
      </c>
      <c r="K72" s="1387">
        <v>77498</v>
      </c>
      <c r="L72" s="1387">
        <v>243597.73000000417</v>
      </c>
      <c r="M72" s="1387">
        <v>44262.929999999702</v>
      </c>
      <c r="N72" s="243">
        <f t="shared" si="12"/>
        <v>8250512.2499999776</v>
      </c>
      <c r="P72" s="251"/>
      <c r="Q72" s="251"/>
      <c r="R72" s="251"/>
    </row>
    <row r="73" spans="1:18">
      <c r="A73" s="555">
        <f t="shared" si="13"/>
        <v>29</v>
      </c>
      <c r="C73" s="666" t="s">
        <v>2918</v>
      </c>
      <c r="D73" s="557">
        <v>0</v>
      </c>
      <c r="E73" s="1387">
        <v>256816.24999999627</v>
      </c>
      <c r="F73" s="1387">
        <v>722210.19000002742</v>
      </c>
      <c r="G73" s="1387">
        <v>21312353.830000162</v>
      </c>
      <c r="H73" s="1387">
        <v>2284501.6899999976</v>
      </c>
      <c r="I73" s="1387">
        <v>-642674.87999999523</v>
      </c>
      <c r="J73" s="1387">
        <v>1789377.5</v>
      </c>
      <c r="K73" s="1387">
        <v>89736.070000000298</v>
      </c>
      <c r="L73" s="1387">
        <v>409230.18000000715</v>
      </c>
      <c r="M73" s="1387">
        <v>-226722.33000000007</v>
      </c>
      <c r="N73" s="243">
        <f t="shared" si="12"/>
        <v>25994828.500000194</v>
      </c>
      <c r="P73" s="251"/>
      <c r="Q73" s="251"/>
      <c r="R73" s="251"/>
    </row>
    <row r="74" spans="1:18">
      <c r="A74" s="555">
        <f t="shared" si="13"/>
        <v>30</v>
      </c>
      <c r="C74" s="667" t="s">
        <v>2919</v>
      </c>
      <c r="D74" s="557">
        <v>0</v>
      </c>
      <c r="E74" s="1387">
        <v>326199.30000000447</v>
      </c>
      <c r="F74" s="1387">
        <v>1515721.7199999392</v>
      </c>
      <c r="G74" s="1387">
        <v>6429862.3099999428</v>
      </c>
      <c r="H74" s="1387">
        <v>4432204.1999999881</v>
      </c>
      <c r="I74" s="1387">
        <v>373915.59000000358</v>
      </c>
      <c r="J74" s="1387">
        <v>2177298.5399999619</v>
      </c>
      <c r="K74" s="1387">
        <v>109060.76999999955</v>
      </c>
      <c r="L74" s="1387">
        <v>466506.34999999404</v>
      </c>
      <c r="M74" s="1387">
        <v>205973.9299999997</v>
      </c>
      <c r="N74" s="243">
        <f t="shared" si="12"/>
        <v>16036742.709999833</v>
      </c>
      <c r="P74" s="251"/>
      <c r="Q74" s="251"/>
      <c r="R74" s="251"/>
    </row>
    <row r="75" spans="1:18">
      <c r="A75" s="555">
        <f t="shared" si="13"/>
        <v>31</v>
      </c>
      <c r="C75" s="666" t="s">
        <v>2920</v>
      </c>
      <c r="D75" s="557">
        <v>0</v>
      </c>
      <c r="E75" s="1387">
        <v>442491.95999999717</v>
      </c>
      <c r="F75" s="1387">
        <v>134001.35000000894</v>
      </c>
      <c r="G75" s="1387">
        <v>7078254.2299998999</v>
      </c>
      <c r="H75" s="1387">
        <v>2831029.8799999952</v>
      </c>
      <c r="I75" s="1387">
        <v>1155237.0900000036</v>
      </c>
      <c r="J75" s="1387">
        <v>2574335.2200000286</v>
      </c>
      <c r="K75" s="1387">
        <v>88976.699999999255</v>
      </c>
      <c r="L75" s="1387">
        <v>46948.239999994636</v>
      </c>
      <c r="M75" s="1387">
        <v>173603.19999999925</v>
      </c>
      <c r="N75" s="243">
        <f t="shared" si="12"/>
        <v>14524877.869999927</v>
      </c>
    </row>
    <row r="76" spans="1:18">
      <c r="A76" s="555">
        <f t="shared" si="13"/>
        <v>32</v>
      </c>
      <c r="C76" s="666" t="s">
        <v>2921</v>
      </c>
      <c r="D76" s="557">
        <v>0</v>
      </c>
      <c r="E76" s="1387">
        <v>279291.05000000447</v>
      </c>
      <c r="F76" s="1387">
        <v>397050.95000001788</v>
      </c>
      <c r="G76" s="1387">
        <v>6860668.0700002909</v>
      </c>
      <c r="H76" s="1387">
        <v>3958518.1399999857</v>
      </c>
      <c r="I76" s="1387">
        <v>347115.46999999881</v>
      </c>
      <c r="J76" s="1387">
        <v>2837721.5299999714</v>
      </c>
      <c r="K76" s="1387">
        <v>88986.679999999702</v>
      </c>
      <c r="L76" s="1387">
        <v>600423.34999999404</v>
      </c>
      <c r="M76" s="1387">
        <v>155833.8900000006</v>
      </c>
      <c r="N76" s="243">
        <f t="shared" si="12"/>
        <v>15525609.130000263</v>
      </c>
    </row>
    <row r="77" spans="1:18">
      <c r="A77" s="555">
        <f t="shared" si="13"/>
        <v>33</v>
      </c>
      <c r="C77" s="667" t="s">
        <v>2922</v>
      </c>
      <c r="D77" s="557">
        <v>0</v>
      </c>
      <c r="E77" s="1387">
        <v>277836.55999999493</v>
      </c>
      <c r="F77" s="1387">
        <v>2635039.8799999952</v>
      </c>
      <c r="G77" s="1387">
        <v>20449219.339999914</v>
      </c>
      <c r="H77" s="1387">
        <v>-9883031.9599999785</v>
      </c>
      <c r="I77" s="1387">
        <v>1452839.0600000024</v>
      </c>
      <c r="J77" s="1387">
        <v>2000345.5900000334</v>
      </c>
      <c r="K77" s="1387">
        <v>93250.359999999404</v>
      </c>
      <c r="L77" s="1387">
        <v>192358.56999999285</v>
      </c>
      <c r="M77" s="1387">
        <v>287219.8200000003</v>
      </c>
      <c r="N77" s="243">
        <f t="shared" si="12"/>
        <v>17505077.219999954</v>
      </c>
    </row>
    <row r="78" spans="1:18">
      <c r="A78" s="555">
        <f t="shared" si="13"/>
        <v>34</v>
      </c>
      <c r="C78" s="666" t="s">
        <v>2923</v>
      </c>
      <c r="D78" s="557">
        <v>0</v>
      </c>
      <c r="E78" s="1387">
        <v>285895.11000000313</v>
      </c>
      <c r="F78" s="1387">
        <v>841723.17999999225</v>
      </c>
      <c r="G78" s="1387">
        <v>6099209.1300002337</v>
      </c>
      <c r="H78" s="1387">
        <v>4484208.8799999952</v>
      </c>
      <c r="I78" s="1387">
        <v>-38528.669999986887</v>
      </c>
      <c r="J78" s="1387">
        <v>3350765.3300000429</v>
      </c>
      <c r="K78" s="1387">
        <v>92341.5</v>
      </c>
      <c r="L78" s="1387">
        <v>243792.51000000536</v>
      </c>
      <c r="M78" s="1387">
        <v>242649.90000000037</v>
      </c>
      <c r="N78" s="243">
        <f t="shared" si="12"/>
        <v>15602056.870000286</v>
      </c>
    </row>
    <row r="79" spans="1:18">
      <c r="A79" s="555">
        <f t="shared" si="13"/>
        <v>35</v>
      </c>
      <c r="C79" s="666" t="s">
        <v>2924</v>
      </c>
      <c r="D79" s="557">
        <v>0</v>
      </c>
      <c r="E79" s="1387">
        <v>285130.48999999836</v>
      </c>
      <c r="F79" s="1387">
        <v>975679.6099999994</v>
      </c>
      <c r="G79" s="1387">
        <v>-10308320.610000372</v>
      </c>
      <c r="H79" s="1387">
        <v>4790177.4100000262</v>
      </c>
      <c r="I79" s="1387">
        <v>1045349.3700000048</v>
      </c>
      <c r="J79" s="1387">
        <v>3947131.5800000429</v>
      </c>
      <c r="K79" s="1387">
        <v>91215.10000000149</v>
      </c>
      <c r="L79" s="1387">
        <v>371866.1400000006</v>
      </c>
      <c r="M79" s="1387">
        <v>250812.55000000075</v>
      </c>
      <c r="N79" s="243">
        <f t="shared" si="12"/>
        <v>1449041.6399997026</v>
      </c>
    </row>
    <row r="80" spans="1:18">
      <c r="A80" s="555">
        <f t="shared" si="13"/>
        <v>36</v>
      </c>
      <c r="C80" s="667" t="s">
        <v>2925</v>
      </c>
      <c r="D80" s="557">
        <v>0</v>
      </c>
      <c r="E80" s="1387">
        <v>292943.07999999821</v>
      </c>
      <c r="F80" s="1387">
        <v>851344.46999999881</v>
      </c>
      <c r="G80" s="1387">
        <v>6185718.8900002241</v>
      </c>
      <c r="H80" s="1387">
        <v>3889778.3700000048</v>
      </c>
      <c r="I80" s="1387">
        <v>924015.50999999046</v>
      </c>
      <c r="J80" s="1387">
        <v>3300257.1900000572</v>
      </c>
      <c r="K80" s="1387">
        <v>91286.25</v>
      </c>
      <c r="L80" s="1387">
        <v>553789.34999999404</v>
      </c>
      <c r="M80" s="1387">
        <v>197928.53999999911</v>
      </c>
      <c r="N80" s="243">
        <f t="shared" si="12"/>
        <v>16287061.650000267</v>
      </c>
    </row>
    <row r="81" spans="1:15">
      <c r="A81" s="555">
        <f t="shared" si="13"/>
        <v>37</v>
      </c>
      <c r="C81" s="667" t="s">
        <v>2926</v>
      </c>
      <c r="D81" s="557">
        <v>0</v>
      </c>
      <c r="E81" s="1387">
        <v>281301.89999999851</v>
      </c>
      <c r="F81" s="1387">
        <v>1112923.530000031</v>
      </c>
      <c r="G81" s="1387">
        <v>-236997.14999985695</v>
      </c>
      <c r="H81" s="1387">
        <v>4169748.7099999785</v>
      </c>
      <c r="I81" s="1387">
        <v>-766766.84000000358</v>
      </c>
      <c r="J81" s="1387">
        <v>1184741.6799999475</v>
      </c>
      <c r="K81" s="1387">
        <v>88131.300000000745</v>
      </c>
      <c r="L81" s="1387">
        <v>-231242.12000000477</v>
      </c>
      <c r="M81" s="1387">
        <v>189610.08999999985</v>
      </c>
      <c r="N81" s="243">
        <f t="shared" si="12"/>
        <v>5791451.1000000909</v>
      </c>
    </row>
    <row r="82" spans="1:15">
      <c r="A82" s="555">
        <f t="shared" si="13"/>
        <v>38</v>
      </c>
      <c r="C82" s="666" t="s">
        <v>2927</v>
      </c>
      <c r="D82" s="123">
        <v>0</v>
      </c>
      <c r="E82" s="1388">
        <v>286920.38000000641</v>
      </c>
      <c r="F82" s="1388">
        <v>384050.81999997795</v>
      </c>
      <c r="G82" s="1388">
        <v>-710734.9500002861</v>
      </c>
      <c r="H82" s="1388">
        <v>1980408.0199999809</v>
      </c>
      <c r="I82" s="1388">
        <v>2347052.9199999869</v>
      </c>
      <c r="J82" s="1388">
        <v>2435599.0399999619</v>
      </c>
      <c r="K82" s="1388">
        <v>85816.280000001192</v>
      </c>
      <c r="L82" s="1388">
        <v>622229.53000000119</v>
      </c>
      <c r="M82" s="1388">
        <v>133566.45000000112</v>
      </c>
      <c r="N82" s="378">
        <f t="shared" si="12"/>
        <v>7564908.4899996314</v>
      </c>
      <c r="O82" s="251"/>
    </row>
    <row r="83" spans="1:15">
      <c r="A83" s="555">
        <f t="shared" si="13"/>
        <v>39</v>
      </c>
      <c r="C83" s="559" t="s">
        <v>4</v>
      </c>
      <c r="D83" s="243">
        <f>SUM(D71:D82)</f>
        <v>0</v>
      </c>
      <c r="E83" s="243">
        <f t="shared" ref="E83:M83" si="14">SUM(E71:E82)</f>
        <v>3540913.41</v>
      </c>
      <c r="F83" s="243">
        <f t="shared" si="14"/>
        <v>2269777.1270631105</v>
      </c>
      <c r="G83" s="243">
        <f t="shared" si="14"/>
        <v>-7837525.0011361837</v>
      </c>
      <c r="H83" s="243">
        <f t="shared" si="14"/>
        <v>57165404.741906464</v>
      </c>
      <c r="I83" s="243">
        <f t="shared" si="14"/>
        <v>30457229.838199079</v>
      </c>
      <c r="J83" s="243">
        <f t="shared" si="14"/>
        <v>35231537.838231564</v>
      </c>
      <c r="K83" s="243">
        <f t="shared" si="14"/>
        <v>1481538.0789537188</v>
      </c>
      <c r="L83" s="243">
        <f t="shared" si="14"/>
        <v>5707321.8586675972</v>
      </c>
      <c r="M83" s="243">
        <f t="shared" si="14"/>
        <v>7177568.188234291</v>
      </c>
      <c r="N83" s="243">
        <f>SUM(N71:N82)</f>
        <v>135193766.08011961</v>
      </c>
      <c r="O83" s="251"/>
    </row>
    <row r="85" spans="1:15">
      <c r="C85" s="1" t="s">
        <v>1747</v>
      </c>
      <c r="D85" s="522"/>
      <c r="E85" s="522"/>
      <c r="F85" s="522"/>
      <c r="G85" s="522"/>
      <c r="H85" s="522"/>
      <c r="I85" s="522"/>
      <c r="J85" s="522"/>
      <c r="K85" s="522"/>
      <c r="L85" s="522"/>
    </row>
    <row r="86" spans="1:15">
      <c r="A86" s="522"/>
      <c r="C86" s="522"/>
      <c r="D86" s="522"/>
      <c r="E86" s="522"/>
      <c r="F86" s="522"/>
      <c r="G86" s="522"/>
      <c r="H86" s="522"/>
      <c r="I86" s="522"/>
      <c r="J86" s="522"/>
      <c r="K86" s="522"/>
      <c r="L86" s="522"/>
    </row>
    <row r="87" spans="1:15">
      <c r="A87" s="428"/>
      <c r="C87" s="91" t="s">
        <v>394</v>
      </c>
      <c r="D87" s="91" t="s">
        <v>378</v>
      </c>
      <c r="E87" s="91" t="s">
        <v>379</v>
      </c>
      <c r="F87" s="91" t="s">
        <v>380</v>
      </c>
      <c r="G87" s="91" t="s">
        <v>381</v>
      </c>
      <c r="H87" s="91" t="s">
        <v>382</v>
      </c>
      <c r="I87" s="91" t="s">
        <v>383</v>
      </c>
      <c r="J87" s="91" t="s">
        <v>596</v>
      </c>
      <c r="K87" s="91" t="s">
        <v>1045</v>
      </c>
      <c r="L87" s="91" t="s">
        <v>1061</v>
      </c>
      <c r="M87" s="91" t="s">
        <v>1064</v>
      </c>
      <c r="N87" s="91" t="s">
        <v>1082</v>
      </c>
    </row>
    <row r="88" spans="1:15">
      <c r="A88" s="241"/>
      <c r="C88" s="262"/>
      <c r="D88" s="241"/>
      <c r="E88" s="241"/>
      <c r="F88" s="241"/>
      <c r="G88" s="241"/>
      <c r="H88" s="241"/>
      <c r="I88" s="241"/>
      <c r="J88" s="241"/>
      <c r="K88" s="241"/>
      <c r="L88" s="241"/>
      <c r="N88" s="262" t="s">
        <v>1366</v>
      </c>
    </row>
    <row r="89" spans="1:15">
      <c r="A89" s="241"/>
      <c r="C89" s="117"/>
      <c r="D89" s="91"/>
      <c r="E89" s="91"/>
      <c r="F89" s="241"/>
      <c r="G89" s="241"/>
      <c r="H89" s="241"/>
      <c r="I89" s="241"/>
      <c r="J89" s="241"/>
      <c r="K89" s="241"/>
      <c r="L89" s="241"/>
      <c r="M89" s="241"/>
    </row>
    <row r="90" spans="1:15">
      <c r="A90" s="52"/>
      <c r="C90" s="131" t="s">
        <v>2034</v>
      </c>
      <c r="D90" s="91">
        <v>350.1</v>
      </c>
      <c r="E90" s="91">
        <v>350.2</v>
      </c>
      <c r="F90" s="91">
        <v>352</v>
      </c>
      <c r="G90" s="91">
        <v>353</v>
      </c>
      <c r="H90" s="91">
        <v>354</v>
      </c>
      <c r="I90" s="91">
        <v>355</v>
      </c>
      <c r="J90" s="91">
        <v>356</v>
      </c>
      <c r="K90" s="91">
        <v>357</v>
      </c>
      <c r="L90" s="91">
        <v>358</v>
      </c>
      <c r="M90" s="91">
        <v>359</v>
      </c>
      <c r="N90" s="3" t="s">
        <v>215</v>
      </c>
    </row>
    <row r="91" spans="1:15">
      <c r="A91" s="555">
        <f>A83+1</f>
        <v>40</v>
      </c>
      <c r="C91" s="667" t="s">
        <v>2916</v>
      </c>
      <c r="D91" s="534">
        <f>'17-Depreciation'!C49</f>
        <v>0</v>
      </c>
      <c r="E91" s="534">
        <f>'17-Depreciation'!D49</f>
        <v>219114.3931865429</v>
      </c>
      <c r="F91" s="534">
        <f>'17-Depreciation'!E49</f>
        <v>917331.73366378155</v>
      </c>
      <c r="G91" s="534">
        <f>'17-Depreciation'!F49</f>
        <v>6010562.7352965558</v>
      </c>
      <c r="H91" s="534">
        <f>'17-Depreciation'!G49</f>
        <v>3631389.9406512249</v>
      </c>
      <c r="I91" s="534">
        <f>'17-Depreciation'!H49</f>
        <v>705032.38569812605</v>
      </c>
      <c r="J91" s="534">
        <f>'17-Depreciation'!I49</f>
        <v>2654482.4063521251</v>
      </c>
      <c r="K91" s="534">
        <f>'17-Depreciation'!J49</f>
        <v>298.6512079454485</v>
      </c>
      <c r="L91" s="534">
        <f>'17-Depreciation'!K49</f>
        <v>41906.661054624645</v>
      </c>
      <c r="M91" s="534">
        <f>'17-Depreciation'!L49</f>
        <v>103610.33011031075</v>
      </c>
      <c r="N91" s="243">
        <f t="shared" ref="N91:N102" si="15">SUM(D91:M91)</f>
        <v>14283729.237221239</v>
      </c>
    </row>
    <row r="92" spans="1:15">
      <c r="A92" s="555">
        <f t="shared" ref="A92:A103" si="16">A91+1</f>
        <v>41</v>
      </c>
      <c r="C92" s="666" t="s">
        <v>2917</v>
      </c>
      <c r="D92" s="534">
        <f>'17-Depreciation'!C50</f>
        <v>0</v>
      </c>
      <c r="E92" s="534">
        <f>'17-Depreciation'!D50</f>
        <v>219111.58049090928</v>
      </c>
      <c r="F92" s="534">
        <f>'17-Depreciation'!E50</f>
        <v>922746.03233853506</v>
      </c>
      <c r="G92" s="534">
        <f>'17-Depreciation'!F50</f>
        <v>6018048.6569951801</v>
      </c>
      <c r="H92" s="534">
        <f>'17-Depreciation'!G50</f>
        <v>3681729.3438366144</v>
      </c>
      <c r="I92" s="534">
        <f>'17-Depreciation'!H50</f>
        <v>713482.43890557683</v>
      </c>
      <c r="J92" s="534">
        <f>'17-Depreciation'!I50</f>
        <v>2722857.0092564938</v>
      </c>
      <c r="K92" s="534">
        <f>'17-Depreciation'!J50</f>
        <v>306.13240359609267</v>
      </c>
      <c r="L92" s="534">
        <f>'17-Depreciation'!K50</f>
        <v>41907.467514114185</v>
      </c>
      <c r="M92" s="534">
        <f>'17-Depreciation'!L50</f>
        <v>105180.36363021145</v>
      </c>
      <c r="N92" s="243">
        <f t="shared" si="15"/>
        <v>14425369.025371229</v>
      </c>
    </row>
    <row r="93" spans="1:15">
      <c r="A93" s="555">
        <f t="shared" si="16"/>
        <v>42</v>
      </c>
      <c r="C93" s="666" t="s">
        <v>2918</v>
      </c>
      <c r="D93" s="534">
        <f>'17-Depreciation'!C51</f>
        <v>0</v>
      </c>
      <c r="E93" s="534">
        <f>'17-Depreciation'!D51</f>
        <v>219300.54442772907</v>
      </c>
      <c r="F93" s="534">
        <f>'17-Depreciation'!E51</f>
        <v>927294.59839890839</v>
      </c>
      <c r="G93" s="534">
        <f>'17-Depreciation'!F51</f>
        <v>6028554.9586893776</v>
      </c>
      <c r="H93" s="534">
        <f>'17-Depreciation'!G51</f>
        <v>3670710.9881024119</v>
      </c>
      <c r="I93" s="534">
        <f>'17-Depreciation'!H51</f>
        <v>714273.53829549009</v>
      </c>
      <c r="J93" s="534">
        <f>'17-Depreciation'!I51</f>
        <v>2723843.3281960073</v>
      </c>
      <c r="K93" s="534">
        <f>'17-Depreciation'!J51</f>
        <v>306.71466544409435</v>
      </c>
      <c r="L93" s="534">
        <f>'17-Depreciation'!K51</f>
        <v>41907.55985403798</v>
      </c>
      <c r="M93" s="534">
        <f>'17-Depreciation'!L51</f>
        <v>106200.68603301549</v>
      </c>
      <c r="N93" s="243">
        <f t="shared" si="15"/>
        <v>14432392.916662423</v>
      </c>
    </row>
    <row r="94" spans="1:15">
      <c r="A94" s="555">
        <f t="shared" si="16"/>
        <v>43</v>
      </c>
      <c r="C94" s="667" t="s">
        <v>2919</v>
      </c>
      <c r="D94" s="534">
        <f>'17-Depreciation'!C52</f>
        <v>0</v>
      </c>
      <c r="E94" s="534">
        <f>'17-Depreciation'!D52</f>
        <v>219316.7385677167</v>
      </c>
      <c r="F94" s="534">
        <f>'17-Depreciation'!E52</f>
        <v>933576.34473256022</v>
      </c>
      <c r="G94" s="534">
        <f>'17-Depreciation'!F52</f>
        <v>6040547.2185545303</v>
      </c>
      <c r="H94" s="534">
        <f>'17-Depreciation'!G52</f>
        <v>4115595.5080973394</v>
      </c>
      <c r="I94" s="534">
        <f>'17-Depreciation'!H52</f>
        <v>899206.47422913683</v>
      </c>
      <c r="J94" s="534">
        <f>'17-Depreciation'!I52</f>
        <v>2990544.6127809398</v>
      </c>
      <c r="K94" s="534">
        <f>'17-Depreciation'!J52</f>
        <v>306.71656429105406</v>
      </c>
      <c r="L94" s="534">
        <f>'17-Depreciation'!K52</f>
        <v>41907.484887689774</v>
      </c>
      <c r="M94" s="534">
        <f>'17-Depreciation'!L52</f>
        <v>137093.33030270116</v>
      </c>
      <c r="N94" s="243">
        <f t="shared" si="15"/>
        <v>15378094.428716904</v>
      </c>
    </row>
    <row r="95" spans="1:15">
      <c r="A95" s="555">
        <f t="shared" si="16"/>
        <v>44</v>
      </c>
      <c r="C95" s="666" t="s">
        <v>2920</v>
      </c>
      <c r="D95" s="534">
        <f>'17-Depreciation'!C53</f>
        <v>0</v>
      </c>
      <c r="E95" s="534">
        <f>'17-Depreciation'!D53</f>
        <v>219320.61291190397</v>
      </c>
      <c r="F95" s="534">
        <f>'17-Depreciation'!E53</f>
        <v>928491.06029620848</v>
      </c>
      <c r="G95" s="534">
        <f>'17-Depreciation'!F53</f>
        <v>6045189.2072850121</v>
      </c>
      <c r="H95" s="534">
        <f>'17-Depreciation'!G53</f>
        <v>4344074.2721249042</v>
      </c>
      <c r="I95" s="534">
        <f>'17-Depreciation'!H53</f>
        <v>919706.25214507198</v>
      </c>
      <c r="J95" s="534">
        <f>'17-Depreciation'!I53</f>
        <v>3085052.8465628144</v>
      </c>
      <c r="K95" s="534">
        <f>'17-Depreciation'!J53</f>
        <v>306.71653359079204</v>
      </c>
      <c r="L95" s="534">
        <f>'17-Depreciation'!K53</f>
        <v>41907.470233370368</v>
      </c>
      <c r="M95" s="534">
        <f>'17-Depreciation'!L53</f>
        <v>234590.42431899393</v>
      </c>
      <c r="N95" s="243">
        <f t="shared" si="15"/>
        <v>15818638.862411868</v>
      </c>
    </row>
    <row r="96" spans="1:15">
      <c r="A96" s="555">
        <f t="shared" si="16"/>
        <v>45</v>
      </c>
      <c r="C96" s="666" t="s">
        <v>2921</v>
      </c>
      <c r="D96" s="534">
        <f>'17-Depreciation'!C54</f>
        <v>0</v>
      </c>
      <c r="E96" s="534">
        <f>'17-Depreciation'!D54</f>
        <v>219340.00264225263</v>
      </c>
      <c r="F96" s="534">
        <f>'17-Depreciation'!E54</f>
        <v>929379.33293662441</v>
      </c>
      <c r="G96" s="534">
        <f>'17-Depreciation'!F54</f>
        <v>6058810.1197000341</v>
      </c>
      <c r="H96" s="534">
        <f>'17-Depreciation'!G54</f>
        <v>4355245.6758529032</v>
      </c>
      <c r="I96" s="534">
        <f>'17-Depreciation'!H54</f>
        <v>923039.43225048191</v>
      </c>
      <c r="J96" s="534">
        <f>'17-Depreciation'!I54</f>
        <v>3088504.155096455</v>
      </c>
      <c r="K96" s="534">
        <f>'17-Depreciation'!J54</f>
        <v>306.71783532795769</v>
      </c>
      <c r="L96" s="534">
        <f>'17-Depreciation'!K54</f>
        <v>41907.145811726601</v>
      </c>
      <c r="M96" s="534">
        <f>'17-Depreciation'!L54</f>
        <v>236000.36696597599</v>
      </c>
      <c r="N96" s="243">
        <f t="shared" si="15"/>
        <v>15852532.949091779</v>
      </c>
    </row>
    <row r="97" spans="1:14">
      <c r="A97" s="555">
        <f t="shared" si="16"/>
        <v>46</v>
      </c>
      <c r="C97" s="667" t="s">
        <v>2922</v>
      </c>
      <c r="D97" s="534">
        <f>'17-Depreciation'!C55</f>
        <v>0</v>
      </c>
      <c r="E97" s="534">
        <f>'17-Depreciation'!D55</f>
        <v>217811.7047315446</v>
      </c>
      <c r="F97" s="534">
        <f>'17-Depreciation'!E55</f>
        <v>925042.01225259528</v>
      </c>
      <c r="G97" s="534">
        <f>'17-Depreciation'!F55</f>
        <v>6093133.9316741712</v>
      </c>
      <c r="H97" s="534">
        <f>'17-Depreciation'!G55</f>
        <v>4355740.3348999741</v>
      </c>
      <c r="I97" s="534">
        <f>'17-Depreciation'!H55</f>
        <v>924602.88516866311</v>
      </c>
      <c r="J97" s="534">
        <f>'17-Depreciation'!I55</f>
        <v>3087512.2519430812</v>
      </c>
      <c r="K97" s="534">
        <f>'17-Depreciation'!J55</f>
        <v>306.70031262922049</v>
      </c>
      <c r="L97" s="534">
        <f>'17-Depreciation'!K55</f>
        <v>41907.111301368459</v>
      </c>
      <c r="M97" s="534">
        <f>'17-Depreciation'!L55</f>
        <v>236432.66365975226</v>
      </c>
      <c r="N97" s="243">
        <f t="shared" si="15"/>
        <v>15882489.595943779</v>
      </c>
    </row>
    <row r="98" spans="1:14">
      <c r="A98" s="555">
        <f t="shared" si="16"/>
        <v>47</v>
      </c>
      <c r="C98" s="666" t="s">
        <v>2923</v>
      </c>
      <c r="D98" s="534">
        <f>'17-Depreciation'!C56</f>
        <v>0</v>
      </c>
      <c r="E98" s="534">
        <f>'17-Depreciation'!D56</f>
        <v>225886.27873445407</v>
      </c>
      <c r="F98" s="534">
        <f>'17-Depreciation'!E56</f>
        <v>929330.10007481684</v>
      </c>
      <c r="G98" s="534">
        <f>'17-Depreciation'!F56</f>
        <v>6107463.2831035703</v>
      </c>
      <c r="H98" s="534">
        <f>'17-Depreciation'!G56</f>
        <v>4358455.7523231506</v>
      </c>
      <c r="I98" s="534">
        <f>'17-Depreciation'!H56</f>
        <v>928036.92913806671</v>
      </c>
      <c r="J98" s="534">
        <f>'17-Depreciation'!I56</f>
        <v>3090065.086370382</v>
      </c>
      <c r="K98" s="534">
        <f>'17-Depreciation'!J56</f>
        <v>308.32583925279749</v>
      </c>
      <c r="L98" s="534">
        <f>'17-Depreciation'!K56</f>
        <v>41910.458749392004</v>
      </c>
      <c r="M98" s="534">
        <f>'17-Depreciation'!L56</f>
        <v>236930.16290508254</v>
      </c>
      <c r="N98" s="243">
        <f t="shared" si="15"/>
        <v>15918386.377238167</v>
      </c>
    </row>
    <row r="99" spans="1:14">
      <c r="A99" s="555">
        <f t="shared" si="16"/>
        <v>48</v>
      </c>
      <c r="C99" s="666" t="s">
        <v>2924</v>
      </c>
      <c r="D99" s="534">
        <f>'17-Depreciation'!C57</f>
        <v>0</v>
      </c>
      <c r="E99" s="534">
        <f>'17-Depreciation'!D57</f>
        <v>225948.56197749916</v>
      </c>
      <c r="F99" s="534">
        <f>'17-Depreciation'!E57</f>
        <v>931781.34917085525</v>
      </c>
      <c r="G99" s="534">
        <f>'17-Depreciation'!F57</f>
        <v>6112815.5667623142</v>
      </c>
      <c r="H99" s="534">
        <f>'17-Depreciation'!G57</f>
        <v>4378677.9159997497</v>
      </c>
      <c r="I99" s="534">
        <f>'17-Depreciation'!H57</f>
        <v>931894.18890503701</v>
      </c>
      <c r="J99" s="534">
        <f>'17-Depreciation'!I57</f>
        <v>3128437.7097245734</v>
      </c>
      <c r="K99" s="534">
        <f>'17-Depreciation'!J57</f>
        <v>308.32714736514583</v>
      </c>
      <c r="L99" s="534">
        <f>'17-Depreciation'!K57</f>
        <v>41909.805845876544</v>
      </c>
      <c r="M99" s="534">
        <f>'17-Depreciation'!L57</f>
        <v>240730.45161332272</v>
      </c>
      <c r="N99" s="243">
        <f t="shared" si="15"/>
        <v>15992503.877146594</v>
      </c>
    </row>
    <row r="100" spans="1:14">
      <c r="A100" s="555">
        <f t="shared" si="16"/>
        <v>49</v>
      </c>
      <c r="C100" s="667" t="s">
        <v>2925</v>
      </c>
      <c r="D100" s="534">
        <f>'17-Depreciation'!C58</f>
        <v>0</v>
      </c>
      <c r="E100" s="534">
        <f>'17-Depreciation'!D58</f>
        <v>225984.32779964013</v>
      </c>
      <c r="F100" s="534">
        <f>'17-Depreciation'!E58</f>
        <v>933565.05218706327</v>
      </c>
      <c r="G100" s="534">
        <f>'17-Depreciation'!F58</f>
        <v>6104411.7208404904</v>
      </c>
      <c r="H100" s="534">
        <f>'17-Depreciation'!G58</f>
        <v>4381963.1754974592</v>
      </c>
      <c r="I100" s="534">
        <f>'17-Depreciation'!H58</f>
        <v>933821.45849162352</v>
      </c>
      <c r="J100" s="534">
        <f>'17-Depreciation'!I58</f>
        <v>3130878.813897857</v>
      </c>
      <c r="K100" s="534">
        <f>'17-Depreciation'!J58</f>
        <v>308.71608900878635</v>
      </c>
      <c r="L100" s="534">
        <f>'17-Depreciation'!K58</f>
        <v>41910.899107262325</v>
      </c>
      <c r="M100" s="534">
        <f>'17-Depreciation'!L58</f>
        <v>241304.57919774423</v>
      </c>
      <c r="N100" s="243">
        <f t="shared" si="15"/>
        <v>15994148.743108148</v>
      </c>
    </row>
    <row r="101" spans="1:14">
      <c r="A101" s="555">
        <f t="shared" si="16"/>
        <v>50</v>
      </c>
      <c r="C101" s="667" t="s">
        <v>2926</v>
      </c>
      <c r="D101" s="534">
        <f>'17-Depreciation'!C59</f>
        <v>0</v>
      </c>
      <c r="E101" s="534">
        <f>'17-Depreciation'!D59</f>
        <v>225563.43486614173</v>
      </c>
      <c r="F101" s="534">
        <f>'17-Depreciation'!E59</f>
        <v>972598.22316225374</v>
      </c>
      <c r="G101" s="534">
        <f>'17-Depreciation'!F59</f>
        <v>6193259.2279445594</v>
      </c>
      <c r="H101" s="534">
        <f>'17-Depreciation'!G59</f>
        <v>4383352.1921519497</v>
      </c>
      <c r="I101" s="534">
        <f>'17-Depreciation'!H59</f>
        <v>936360.67074767465</v>
      </c>
      <c r="J101" s="534">
        <f>'17-Depreciation'!I59</f>
        <v>3132061.9019312258</v>
      </c>
      <c r="K101" s="534">
        <f>'17-Depreciation'!J59</f>
        <v>304.58042251048988</v>
      </c>
      <c r="L101" s="534">
        <f>'17-Depreciation'!K59</f>
        <v>41899.240944033671</v>
      </c>
      <c r="M101" s="534">
        <f>'17-Depreciation'!L59</f>
        <v>241433.48005446114</v>
      </c>
      <c r="N101" s="243">
        <f t="shared" si="15"/>
        <v>16126832.95222481</v>
      </c>
    </row>
    <row r="102" spans="1:14">
      <c r="A102" s="555">
        <f t="shared" si="16"/>
        <v>51</v>
      </c>
      <c r="C102" s="666" t="s">
        <v>2927</v>
      </c>
      <c r="D102" s="118">
        <f>'17-Depreciation'!C60</f>
        <v>0</v>
      </c>
      <c r="E102" s="118">
        <f>'17-Depreciation'!D60</f>
        <v>225728.12086562661</v>
      </c>
      <c r="F102" s="118">
        <f>'17-Depreciation'!E60</f>
        <v>976449.3492728729</v>
      </c>
      <c r="G102" s="118">
        <f>'17-Depreciation'!F60</f>
        <v>6196839.6650213832</v>
      </c>
      <c r="H102" s="118">
        <f>'17-Depreciation'!G60</f>
        <v>4385529.6680455888</v>
      </c>
      <c r="I102" s="118">
        <f>'17-Depreciation'!H60</f>
        <v>938864.47635825153</v>
      </c>
      <c r="J102" s="118">
        <f>'17-Depreciation'!I60</f>
        <v>3131530.4201793042</v>
      </c>
      <c r="K102" s="118">
        <f>'17-Depreciation'!J60</f>
        <v>304.36640262113832</v>
      </c>
      <c r="L102" s="118">
        <f>'17-Depreciation'!K60</f>
        <v>41959.074035155165</v>
      </c>
      <c r="M102" s="118">
        <f>'17-Depreciation'!L60</f>
        <v>241729.68073575789</v>
      </c>
      <c r="N102" s="378">
        <f t="shared" si="15"/>
        <v>16138934.82091656</v>
      </c>
    </row>
    <row r="103" spans="1:14">
      <c r="A103" s="555">
        <f t="shared" si="16"/>
        <v>52</v>
      </c>
      <c r="C103" s="559" t="s">
        <v>4</v>
      </c>
      <c r="D103" s="243">
        <f>SUM(D91:D102)</f>
        <v>0</v>
      </c>
      <c r="E103" s="243">
        <f t="shared" ref="E103:M103" si="17">SUM(E91:E102)</f>
        <v>2662426.3012019605</v>
      </c>
      <c r="F103" s="243">
        <f t="shared" si="17"/>
        <v>11227585.188487075</v>
      </c>
      <c r="G103" s="243">
        <f t="shared" si="17"/>
        <v>73009636.291867182</v>
      </c>
      <c r="H103" s="243">
        <f t="shared" si="17"/>
        <v>50042464.767583266</v>
      </c>
      <c r="I103" s="243">
        <f t="shared" si="17"/>
        <v>10468321.130333202</v>
      </c>
      <c r="J103" s="243">
        <f t="shared" si="17"/>
        <v>35965770.542291261</v>
      </c>
      <c r="K103" s="243">
        <f t="shared" si="17"/>
        <v>3672.6654235830174</v>
      </c>
      <c r="L103" s="243">
        <f t="shared" si="17"/>
        <v>502940.37933865172</v>
      </c>
      <c r="M103" s="243">
        <f t="shared" si="17"/>
        <v>2361236.5195273296</v>
      </c>
      <c r="N103" s="243">
        <f>SUM(N91:N102)</f>
        <v>186244053.78605351</v>
      </c>
    </row>
    <row r="105" spans="1:14">
      <c r="C105" s="1" t="s">
        <v>1748</v>
      </c>
      <c r="D105" s="522"/>
      <c r="E105" s="522"/>
      <c r="F105" s="522"/>
      <c r="G105" s="522"/>
      <c r="H105" s="522"/>
      <c r="I105" s="522"/>
      <c r="J105" s="522"/>
      <c r="K105" s="522"/>
      <c r="L105" s="522"/>
    </row>
    <row r="106" spans="1:14">
      <c r="C106" s="522"/>
      <c r="D106" s="522"/>
      <c r="E106" s="522"/>
      <c r="F106" s="522"/>
      <c r="G106" s="522"/>
      <c r="H106" s="522"/>
      <c r="I106" s="522"/>
      <c r="J106" s="522"/>
      <c r="K106" s="522"/>
      <c r="L106" s="522"/>
    </row>
    <row r="107" spans="1:14">
      <c r="C107" s="91" t="s">
        <v>394</v>
      </c>
      <c r="D107" s="91" t="s">
        <v>378</v>
      </c>
      <c r="E107" s="91" t="s">
        <v>379</v>
      </c>
      <c r="F107" s="91" t="s">
        <v>380</v>
      </c>
      <c r="G107" s="91" t="s">
        <v>381</v>
      </c>
      <c r="H107" s="91" t="s">
        <v>382</v>
      </c>
      <c r="I107" s="91" t="s">
        <v>383</v>
      </c>
      <c r="J107" s="91" t="s">
        <v>596</v>
      </c>
      <c r="K107" s="91" t="s">
        <v>1045</v>
      </c>
      <c r="L107" s="91" t="s">
        <v>1061</v>
      </c>
      <c r="M107" s="91" t="s">
        <v>1064</v>
      </c>
      <c r="N107" s="91" t="s">
        <v>1082</v>
      </c>
    </row>
    <row r="108" spans="1:14">
      <c r="C108" s="262"/>
      <c r="D108" s="241"/>
      <c r="E108" s="241"/>
      <c r="F108" s="241"/>
      <c r="G108" s="241"/>
      <c r="H108" s="241"/>
      <c r="I108" s="241"/>
      <c r="J108" s="241"/>
      <c r="K108" s="241"/>
      <c r="L108" s="241"/>
      <c r="N108" s="262" t="s">
        <v>1366</v>
      </c>
    </row>
    <row r="109" spans="1:14">
      <c r="C109" s="117"/>
      <c r="D109" s="91"/>
      <c r="E109" s="91"/>
      <c r="F109" s="241"/>
      <c r="G109" s="241"/>
      <c r="H109" s="241"/>
      <c r="I109" s="241"/>
      <c r="J109" s="241"/>
      <c r="K109" s="241"/>
      <c r="L109" s="241"/>
      <c r="M109" s="241"/>
    </row>
    <row r="110" spans="1:14">
      <c r="C110" s="131" t="s">
        <v>2034</v>
      </c>
      <c r="D110" s="91">
        <v>350.1</v>
      </c>
      <c r="E110" s="91">
        <v>350.2</v>
      </c>
      <c r="F110" s="91">
        <v>352</v>
      </c>
      <c r="G110" s="91">
        <v>353</v>
      </c>
      <c r="H110" s="91">
        <v>354</v>
      </c>
      <c r="I110" s="91">
        <v>355</v>
      </c>
      <c r="J110" s="91">
        <v>356</v>
      </c>
      <c r="K110" s="91">
        <v>357</v>
      </c>
      <c r="L110" s="91">
        <v>358</v>
      </c>
      <c r="M110" s="91">
        <v>359</v>
      </c>
      <c r="N110" s="3" t="s">
        <v>215</v>
      </c>
    </row>
    <row r="111" spans="1:14">
      <c r="A111" s="555">
        <f>A103+1</f>
        <v>53</v>
      </c>
      <c r="C111" s="667" t="s">
        <v>2916</v>
      </c>
      <c r="D111" s="534">
        <f t="shared" ref="D111:M111" si="18">D71-D91</f>
        <v>0</v>
      </c>
      <c r="E111" s="534">
        <f t="shared" si="18"/>
        <v>43197.996813457692</v>
      </c>
      <c r="F111" s="534">
        <f t="shared" si="18"/>
        <v>-9045927.7066006362</v>
      </c>
      <c r="G111" s="534">
        <f t="shared" si="18"/>
        <v>-79916359.086432889</v>
      </c>
      <c r="H111" s="534">
        <f t="shared" si="18"/>
        <v>27892569.621255293</v>
      </c>
      <c r="I111" s="534">
        <f t="shared" si="18"/>
        <v>24672968.652500942</v>
      </c>
      <c r="J111" s="534">
        <f t="shared" si="18"/>
        <v>4681345.2618793622</v>
      </c>
      <c r="K111" s="534">
        <f t="shared" si="18"/>
        <v>484940.4177457717</v>
      </c>
      <c r="L111" s="534">
        <f t="shared" si="18"/>
        <v>2145915.3676129892</v>
      </c>
      <c r="M111" s="534">
        <f t="shared" si="18"/>
        <v>5419218.8881239798</v>
      </c>
      <c r="N111" s="243">
        <f t="shared" ref="N111:N122" si="19">SUM(D111:M111)</f>
        <v>-23622130.587101728</v>
      </c>
    </row>
    <row r="112" spans="1:14">
      <c r="A112" s="555">
        <f t="shared" ref="A112:A123" si="20">A111+1</f>
        <v>54</v>
      </c>
      <c r="C112" s="666" t="s">
        <v>2917</v>
      </c>
      <c r="D112" s="534">
        <f t="shared" ref="D112:M112" si="21">D72-D92</f>
        <v>0</v>
      </c>
      <c r="E112" s="534">
        <f t="shared" si="21"/>
        <v>44663.359509088332</v>
      </c>
      <c r="F112" s="534">
        <f t="shared" si="21"/>
        <v>-94118.632338558906</v>
      </c>
      <c r="G112" s="534">
        <f t="shared" si="21"/>
        <v>-3109010.3969951896</v>
      </c>
      <c r="H112" s="534">
        <f t="shared" si="21"/>
        <v>-977827.50383664062</v>
      </c>
      <c r="I112" s="534">
        <f t="shared" si="21"/>
        <v>-1831808.2589055696</v>
      </c>
      <c r="J112" s="534">
        <f t="shared" si="21"/>
        <v>-424720.03925646516</v>
      </c>
      <c r="K112" s="534">
        <f t="shared" si="21"/>
        <v>77191.867596403914</v>
      </c>
      <c r="L112" s="534">
        <f t="shared" si="21"/>
        <v>201690.26248588998</v>
      </c>
      <c r="M112" s="534">
        <f t="shared" si="21"/>
        <v>-60917.433630211744</v>
      </c>
      <c r="N112" s="243">
        <f t="shared" si="19"/>
        <v>-6174856.7753712535</v>
      </c>
    </row>
    <row r="113" spans="1:14">
      <c r="A113" s="555">
        <f t="shared" si="20"/>
        <v>55</v>
      </c>
      <c r="C113" s="666" t="s">
        <v>2918</v>
      </c>
      <c r="D113" s="534">
        <f t="shared" ref="D113:M113" si="22">D73-D93</f>
        <v>0</v>
      </c>
      <c r="E113" s="534">
        <f t="shared" si="22"/>
        <v>37515.705572267208</v>
      </c>
      <c r="F113" s="534">
        <f t="shared" si="22"/>
        <v>-205084.40839888097</v>
      </c>
      <c r="G113" s="534">
        <f t="shared" si="22"/>
        <v>15283798.871310785</v>
      </c>
      <c r="H113" s="534">
        <f t="shared" si="22"/>
        <v>-1386209.2981024142</v>
      </c>
      <c r="I113" s="534">
        <f t="shared" si="22"/>
        <v>-1356948.4182954854</v>
      </c>
      <c r="J113" s="534">
        <f t="shared" si="22"/>
        <v>-934465.82819600729</v>
      </c>
      <c r="K113" s="534">
        <f t="shared" si="22"/>
        <v>89429.35533455621</v>
      </c>
      <c r="L113" s="534">
        <f t="shared" si="22"/>
        <v>367322.62014596915</v>
      </c>
      <c r="M113" s="534">
        <f t="shared" si="22"/>
        <v>-332923.01603301556</v>
      </c>
      <c r="N113" s="243">
        <f t="shared" si="19"/>
        <v>11562435.583337773</v>
      </c>
    </row>
    <row r="114" spans="1:14">
      <c r="A114" s="555">
        <f t="shared" si="20"/>
        <v>56</v>
      </c>
      <c r="C114" s="667" t="s">
        <v>2919</v>
      </c>
      <c r="D114" s="534">
        <f t="shared" ref="D114:M114" si="23">D74-D94</f>
        <v>0</v>
      </c>
      <c r="E114" s="534">
        <f t="shared" si="23"/>
        <v>106882.56143228777</v>
      </c>
      <c r="F114" s="534">
        <f t="shared" si="23"/>
        <v>582145.37526737899</v>
      </c>
      <c r="G114" s="534">
        <f t="shared" si="23"/>
        <v>389315.09144541249</v>
      </c>
      <c r="H114" s="534">
        <f t="shared" si="23"/>
        <v>316608.69190264866</v>
      </c>
      <c r="I114" s="534">
        <f t="shared" si="23"/>
        <v>-525290.88422913325</v>
      </c>
      <c r="J114" s="534">
        <f t="shared" si="23"/>
        <v>-813246.07278097793</v>
      </c>
      <c r="K114" s="534">
        <f t="shared" si="23"/>
        <v>108754.0534357085</v>
      </c>
      <c r="L114" s="534">
        <f t="shared" si="23"/>
        <v>424598.86511230428</v>
      </c>
      <c r="M114" s="534">
        <f t="shared" si="23"/>
        <v>68880.599697298545</v>
      </c>
      <c r="N114" s="243">
        <f t="shared" si="19"/>
        <v>658648.28128292807</v>
      </c>
    </row>
    <row r="115" spans="1:14">
      <c r="A115" s="555">
        <f t="shared" si="20"/>
        <v>57</v>
      </c>
      <c r="C115" s="666" t="s">
        <v>2920</v>
      </c>
      <c r="D115" s="534">
        <f t="shared" ref="D115:M115" si="24">D75-D95</f>
        <v>0</v>
      </c>
      <c r="E115" s="534">
        <f t="shared" si="24"/>
        <v>223171.3470880932</v>
      </c>
      <c r="F115" s="534">
        <f t="shared" si="24"/>
        <v>-794489.71029619954</v>
      </c>
      <c r="G115" s="534">
        <f t="shared" si="24"/>
        <v>1033065.0227148877</v>
      </c>
      <c r="H115" s="534">
        <f t="shared" si="24"/>
        <v>-1513044.392124909</v>
      </c>
      <c r="I115" s="534">
        <f t="shared" si="24"/>
        <v>235530.8378549316</v>
      </c>
      <c r="J115" s="534">
        <f t="shared" si="24"/>
        <v>-510717.62656278582</v>
      </c>
      <c r="K115" s="534">
        <f t="shared" si="24"/>
        <v>88669.983466408463</v>
      </c>
      <c r="L115" s="534">
        <f t="shared" si="24"/>
        <v>5040.7697666242675</v>
      </c>
      <c r="M115" s="534">
        <f t="shared" si="24"/>
        <v>-60987.224318994675</v>
      </c>
      <c r="N115" s="243">
        <f t="shared" si="19"/>
        <v>-1293760.9924119436</v>
      </c>
    </row>
    <row r="116" spans="1:14">
      <c r="A116" s="555">
        <f t="shared" si="20"/>
        <v>58</v>
      </c>
      <c r="C116" s="666" t="s">
        <v>2921</v>
      </c>
      <c r="D116" s="534">
        <f t="shared" ref="D116:M116" si="25">D76-D96</f>
        <v>0</v>
      </c>
      <c r="E116" s="534">
        <f t="shared" si="25"/>
        <v>59951.047357751842</v>
      </c>
      <c r="F116" s="534">
        <f t="shared" si="25"/>
        <v>-532328.38293660653</v>
      </c>
      <c r="G116" s="534">
        <f t="shared" si="25"/>
        <v>801857.95030025672</v>
      </c>
      <c r="H116" s="534">
        <f t="shared" si="25"/>
        <v>-396727.53585291747</v>
      </c>
      <c r="I116" s="534">
        <f t="shared" si="25"/>
        <v>-575923.96225048311</v>
      </c>
      <c r="J116" s="534">
        <f t="shared" si="25"/>
        <v>-250782.62509648362</v>
      </c>
      <c r="K116" s="534">
        <f t="shared" si="25"/>
        <v>88679.962164671742</v>
      </c>
      <c r="L116" s="534">
        <f t="shared" si="25"/>
        <v>558516.20418826747</v>
      </c>
      <c r="M116" s="534">
        <f t="shared" si="25"/>
        <v>-80166.476965975395</v>
      </c>
      <c r="N116" s="243">
        <f t="shared" si="19"/>
        <v>-326923.81909151829</v>
      </c>
    </row>
    <row r="117" spans="1:14">
      <c r="A117" s="555">
        <f t="shared" si="20"/>
        <v>59</v>
      </c>
      <c r="C117" s="667" t="s">
        <v>2922</v>
      </c>
      <c r="D117" s="534">
        <f t="shared" ref="D117:M117" si="26">D77-D97</f>
        <v>0</v>
      </c>
      <c r="E117" s="534">
        <f t="shared" si="26"/>
        <v>60024.855268450337</v>
      </c>
      <c r="F117" s="534">
        <f t="shared" si="26"/>
        <v>1709997.8677474</v>
      </c>
      <c r="G117" s="534">
        <f t="shared" si="26"/>
        <v>14356085.408325743</v>
      </c>
      <c r="H117" s="534">
        <f t="shared" si="26"/>
        <v>-14238772.294899952</v>
      </c>
      <c r="I117" s="534">
        <f t="shared" si="26"/>
        <v>528236.17483133927</v>
      </c>
      <c r="J117" s="534">
        <f t="shared" si="26"/>
        <v>-1087166.6619430478</v>
      </c>
      <c r="K117" s="534">
        <f t="shared" si="26"/>
        <v>92943.659687370178</v>
      </c>
      <c r="L117" s="534">
        <f t="shared" si="26"/>
        <v>150451.4586986244</v>
      </c>
      <c r="M117" s="534">
        <f t="shared" si="26"/>
        <v>50787.156340248039</v>
      </c>
      <c r="N117" s="243">
        <f t="shared" si="19"/>
        <v>1622587.6240561754</v>
      </c>
    </row>
    <row r="118" spans="1:14">
      <c r="A118" s="555">
        <f t="shared" si="20"/>
        <v>60</v>
      </c>
      <c r="C118" s="666" t="s">
        <v>2923</v>
      </c>
      <c r="D118" s="534">
        <f t="shared" ref="D118:M118" si="27">D78-D98</f>
        <v>0</v>
      </c>
      <c r="E118" s="534">
        <f t="shared" si="27"/>
        <v>60008.831265549059</v>
      </c>
      <c r="F118" s="534">
        <f t="shared" si="27"/>
        <v>-87606.920074824593</v>
      </c>
      <c r="G118" s="534">
        <f t="shared" si="27"/>
        <v>-8254.1531033366919</v>
      </c>
      <c r="H118" s="534">
        <f t="shared" si="27"/>
        <v>125753.1276768446</v>
      </c>
      <c r="I118" s="534">
        <f t="shared" si="27"/>
        <v>-966565.5991380536</v>
      </c>
      <c r="J118" s="534">
        <f t="shared" si="27"/>
        <v>260700.24362966092</v>
      </c>
      <c r="K118" s="534">
        <f t="shared" si="27"/>
        <v>92033.174160747207</v>
      </c>
      <c r="L118" s="534">
        <f t="shared" si="27"/>
        <v>201882.05125061335</v>
      </c>
      <c r="M118" s="534">
        <f t="shared" si="27"/>
        <v>5719.7370949178294</v>
      </c>
      <c r="N118" s="243">
        <f t="shared" si="19"/>
        <v>-316329.50723788189</v>
      </c>
    </row>
    <row r="119" spans="1:14">
      <c r="A119" s="555">
        <f t="shared" si="20"/>
        <v>61</v>
      </c>
      <c r="C119" s="666" t="s">
        <v>2924</v>
      </c>
      <c r="D119" s="534">
        <f t="shared" ref="D119:M119" si="28">D79-D99</f>
        <v>0</v>
      </c>
      <c r="E119" s="534">
        <f t="shared" si="28"/>
        <v>59181.928022499196</v>
      </c>
      <c r="F119" s="534">
        <f t="shared" si="28"/>
        <v>43898.260829144157</v>
      </c>
      <c r="G119" s="534">
        <f t="shared" si="28"/>
        <v>-16421136.176762685</v>
      </c>
      <c r="H119" s="534">
        <f t="shared" si="28"/>
        <v>411499.49400027655</v>
      </c>
      <c r="I119" s="534">
        <f t="shared" si="28"/>
        <v>113455.18109496776</v>
      </c>
      <c r="J119" s="534">
        <f t="shared" si="28"/>
        <v>818693.8702754695</v>
      </c>
      <c r="K119" s="534">
        <f t="shared" si="28"/>
        <v>90906.77285263635</v>
      </c>
      <c r="L119" s="534">
        <f t="shared" si="28"/>
        <v>329956.33415412402</v>
      </c>
      <c r="M119" s="534">
        <f t="shared" si="28"/>
        <v>10082.09838667803</v>
      </c>
      <c r="N119" s="243">
        <f t="shared" si="19"/>
        <v>-14543462.237146888</v>
      </c>
    </row>
    <row r="120" spans="1:14">
      <c r="A120" s="555">
        <f t="shared" si="20"/>
        <v>62</v>
      </c>
      <c r="C120" s="667" t="s">
        <v>2925</v>
      </c>
      <c r="D120" s="534">
        <f t="shared" ref="D120:M120" si="29">D80-D100</f>
        <v>0</v>
      </c>
      <c r="E120" s="534">
        <f t="shared" si="29"/>
        <v>66958.752200358082</v>
      </c>
      <c r="F120" s="534">
        <f t="shared" si="29"/>
        <v>-82220.582187064458</v>
      </c>
      <c r="G120" s="534">
        <f t="shared" si="29"/>
        <v>81307.16915973369</v>
      </c>
      <c r="H120" s="534">
        <f t="shared" si="29"/>
        <v>-492184.80549745448</v>
      </c>
      <c r="I120" s="534">
        <f t="shared" si="29"/>
        <v>-9805.9484916330548</v>
      </c>
      <c r="J120" s="534">
        <f t="shared" si="29"/>
        <v>169378.37610220024</v>
      </c>
      <c r="K120" s="534">
        <f t="shared" si="29"/>
        <v>90977.533910991217</v>
      </c>
      <c r="L120" s="534">
        <f t="shared" si="29"/>
        <v>511878.45089273172</v>
      </c>
      <c r="M120" s="534">
        <f t="shared" si="29"/>
        <v>-43376.039197745122</v>
      </c>
      <c r="N120" s="243">
        <f t="shared" si="19"/>
        <v>292912.90689211781</v>
      </c>
    </row>
    <row r="121" spans="1:14">
      <c r="A121" s="555">
        <f t="shared" si="20"/>
        <v>63</v>
      </c>
      <c r="C121" s="667" t="s">
        <v>2926</v>
      </c>
      <c r="D121" s="534">
        <f t="shared" ref="D121:M121" si="30">D81-D101</f>
        <v>0</v>
      </c>
      <c r="E121" s="534">
        <f t="shared" si="30"/>
        <v>55738.465133856778</v>
      </c>
      <c r="F121" s="534">
        <f t="shared" si="30"/>
        <v>140325.30683777726</v>
      </c>
      <c r="G121" s="534">
        <f t="shared" si="30"/>
        <v>-6430256.3779444164</v>
      </c>
      <c r="H121" s="534">
        <f t="shared" si="30"/>
        <v>-213603.4821519712</v>
      </c>
      <c r="I121" s="534">
        <f t="shared" si="30"/>
        <v>-1703127.5107476781</v>
      </c>
      <c r="J121" s="534">
        <f t="shared" si="30"/>
        <v>-1947320.2219312782</v>
      </c>
      <c r="K121" s="534">
        <f t="shared" si="30"/>
        <v>87826.71957749025</v>
      </c>
      <c r="L121" s="534">
        <f t="shared" si="30"/>
        <v>-273141.36094403843</v>
      </c>
      <c r="M121" s="534">
        <f t="shared" si="30"/>
        <v>-51823.390054461284</v>
      </c>
      <c r="N121" s="243">
        <f t="shared" si="19"/>
        <v>-10335381.852224721</v>
      </c>
    </row>
    <row r="122" spans="1:14">
      <c r="A122" s="555">
        <f t="shared" si="20"/>
        <v>64</v>
      </c>
      <c r="C122" s="666" t="s">
        <v>2927</v>
      </c>
      <c r="D122" s="118">
        <f t="shared" ref="D122:M122" si="31">D82-D102</f>
        <v>0</v>
      </c>
      <c r="E122" s="118">
        <f t="shared" si="31"/>
        <v>61192.259134379798</v>
      </c>
      <c r="F122" s="118">
        <f t="shared" si="31"/>
        <v>-592398.52927289496</v>
      </c>
      <c r="G122" s="118">
        <f t="shared" si="31"/>
        <v>-6907574.6150216693</v>
      </c>
      <c r="H122" s="118">
        <f t="shared" si="31"/>
        <v>-2405121.6480456078</v>
      </c>
      <c r="I122" s="118">
        <f t="shared" si="31"/>
        <v>1408188.4436417352</v>
      </c>
      <c r="J122" s="118">
        <f t="shared" si="31"/>
        <v>-695931.38017934235</v>
      </c>
      <c r="K122" s="118">
        <f t="shared" si="31"/>
        <v>85511.913597380058</v>
      </c>
      <c r="L122" s="118">
        <f t="shared" si="31"/>
        <v>580270.45596484607</v>
      </c>
      <c r="M122" s="118">
        <f t="shared" si="31"/>
        <v>-108163.23073575678</v>
      </c>
      <c r="N122" s="378">
        <f t="shared" si="19"/>
        <v>-8574026.3309169281</v>
      </c>
    </row>
    <row r="123" spans="1:14">
      <c r="A123" s="555">
        <f t="shared" si="20"/>
        <v>65</v>
      </c>
      <c r="C123" s="559" t="s">
        <v>4</v>
      </c>
      <c r="D123" s="243">
        <f>SUM(D111:D122)</f>
        <v>0</v>
      </c>
      <c r="E123" s="243">
        <f t="shared" ref="E123:M123" si="32">SUM(E111:E122)</f>
        <v>878487.10879803926</v>
      </c>
      <c r="F123" s="243">
        <f t="shared" si="32"/>
        <v>-8957808.0614239648</v>
      </c>
      <c r="G123" s="243">
        <f t="shared" si="32"/>
        <v>-80847161.29300335</v>
      </c>
      <c r="H123" s="243">
        <f t="shared" si="32"/>
        <v>7122939.9743231973</v>
      </c>
      <c r="I123" s="243">
        <f t="shared" si="32"/>
        <v>19988908.707865879</v>
      </c>
      <c r="J123" s="243">
        <f t="shared" si="32"/>
        <v>-734232.70405969489</v>
      </c>
      <c r="K123" s="243">
        <f t="shared" si="32"/>
        <v>1477865.4135301358</v>
      </c>
      <c r="L123" s="243">
        <f t="shared" si="32"/>
        <v>5204381.4793289453</v>
      </c>
      <c r="M123" s="243">
        <f t="shared" si="32"/>
        <v>4816331.6687069638</v>
      </c>
      <c r="N123" s="243">
        <f>SUM(N111:N122)</f>
        <v>-51050287.705933869</v>
      </c>
    </row>
    <row r="125" spans="1:14">
      <c r="C125" s="1" t="s">
        <v>1743</v>
      </c>
    </row>
    <row r="127" spans="1:14">
      <c r="C127" s="526" t="s">
        <v>1749</v>
      </c>
    </row>
    <row r="128" spans="1:14">
      <c r="C128" s="16"/>
      <c r="D128" s="91">
        <v>350.1</v>
      </c>
      <c r="E128" s="91">
        <v>350.2</v>
      </c>
      <c r="F128" s="91">
        <v>352</v>
      </c>
      <c r="G128" s="91">
        <v>353</v>
      </c>
      <c r="H128" s="91">
        <v>354</v>
      </c>
      <c r="I128" s="91">
        <v>355</v>
      </c>
      <c r="J128" s="91">
        <v>356</v>
      </c>
      <c r="K128" s="91">
        <v>357</v>
      </c>
      <c r="L128" s="91">
        <v>358</v>
      </c>
      <c r="M128" s="91">
        <v>359</v>
      </c>
      <c r="N128" s="3" t="s">
        <v>215</v>
      </c>
    </row>
    <row r="129" spans="1:14">
      <c r="A129" s="555">
        <f>A123+1</f>
        <v>66</v>
      </c>
      <c r="C129" s="16"/>
      <c r="D129" s="7">
        <f t="shared" ref="D129:M129" si="33">D24-D12</f>
        <v>0</v>
      </c>
      <c r="E129" s="7">
        <f t="shared" si="33"/>
        <v>2901022.0862945411</v>
      </c>
      <c r="F129" s="7">
        <f t="shared" si="33"/>
        <v>7536900.3949000686</v>
      </c>
      <c r="G129" s="7">
        <f t="shared" si="33"/>
        <v>9325974.0733091831</v>
      </c>
      <c r="H129" s="7">
        <f t="shared" si="33"/>
        <v>56846633.755196631</v>
      </c>
      <c r="I129" s="7">
        <f t="shared" si="33"/>
        <v>8203618.9475718141</v>
      </c>
      <c r="J129" s="7">
        <f t="shared" si="33"/>
        <v>32195134.087685287</v>
      </c>
      <c r="K129" s="7">
        <f t="shared" si="33"/>
        <v>1508.5545055133844</v>
      </c>
      <c r="L129" s="7">
        <f t="shared" si="33"/>
        <v>418526.42221478466</v>
      </c>
      <c r="M129" s="7">
        <f t="shared" si="33"/>
        <v>6439854.386508706</v>
      </c>
      <c r="N129" s="7">
        <f>SUM(D129:M129)</f>
        <v>123869172.70818654</v>
      </c>
    </row>
    <row r="130" spans="1:14">
      <c r="C130" s="16"/>
    </row>
    <row r="131" spans="1:14">
      <c r="C131" s="526" t="s">
        <v>1750</v>
      </c>
    </row>
    <row r="132" spans="1:14">
      <c r="C132" s="16"/>
      <c r="D132" s="91">
        <v>350.1</v>
      </c>
      <c r="E132" s="91">
        <v>350.2</v>
      </c>
      <c r="F132" s="91">
        <v>352</v>
      </c>
      <c r="G132" s="91">
        <v>353</v>
      </c>
      <c r="H132" s="91">
        <v>354</v>
      </c>
      <c r="I132" s="91">
        <v>355</v>
      </c>
      <c r="J132" s="91">
        <v>356</v>
      </c>
      <c r="K132" s="91">
        <v>357</v>
      </c>
      <c r="L132" s="91">
        <v>358</v>
      </c>
      <c r="M132" s="91">
        <v>359</v>
      </c>
      <c r="N132" s="3" t="s">
        <v>215</v>
      </c>
    </row>
    <row r="133" spans="1:14">
      <c r="A133" s="555">
        <f>A129+1</f>
        <v>67</v>
      </c>
      <c r="C133" s="16"/>
      <c r="D133" s="7">
        <f t="shared" ref="D133:M133" si="34">D103</f>
        <v>0</v>
      </c>
      <c r="E133" s="7">
        <f t="shared" si="34"/>
        <v>2662426.3012019605</v>
      </c>
      <c r="F133" s="7">
        <f t="shared" si="34"/>
        <v>11227585.188487075</v>
      </c>
      <c r="G133" s="7">
        <f t="shared" si="34"/>
        <v>73009636.291867182</v>
      </c>
      <c r="H133" s="7">
        <f t="shared" si="34"/>
        <v>50042464.767583266</v>
      </c>
      <c r="I133" s="7">
        <f t="shared" si="34"/>
        <v>10468321.130333202</v>
      </c>
      <c r="J133" s="7">
        <f t="shared" si="34"/>
        <v>35965770.542291261</v>
      </c>
      <c r="K133" s="7">
        <f t="shared" si="34"/>
        <v>3672.6654235830174</v>
      </c>
      <c r="L133" s="7">
        <f t="shared" si="34"/>
        <v>502940.37933865172</v>
      </c>
      <c r="M133" s="7">
        <f t="shared" si="34"/>
        <v>2361236.5195273296</v>
      </c>
      <c r="N133" s="7">
        <f>SUM(D133:M133)</f>
        <v>186244053.78605351</v>
      </c>
    </row>
    <row r="134" spans="1:14">
      <c r="C134" s="526" t="s">
        <v>1751</v>
      </c>
    </row>
    <row r="135" spans="1:14">
      <c r="D135" s="91">
        <v>350.1</v>
      </c>
      <c r="E135" s="91">
        <v>350.2</v>
      </c>
      <c r="F135" s="91">
        <v>352</v>
      </c>
      <c r="G135" s="91">
        <v>353</v>
      </c>
      <c r="H135" s="91">
        <v>354</v>
      </c>
      <c r="I135" s="91">
        <v>355</v>
      </c>
      <c r="J135" s="91">
        <v>356</v>
      </c>
      <c r="K135" s="91">
        <v>357</v>
      </c>
      <c r="L135" s="91">
        <v>358</v>
      </c>
      <c r="M135" s="91">
        <v>359</v>
      </c>
      <c r="N135" s="3" t="s">
        <v>215</v>
      </c>
    </row>
    <row r="136" spans="1:14">
      <c r="A136" s="555">
        <f>A133+1</f>
        <v>68</v>
      </c>
      <c r="D136" s="7">
        <f t="shared" ref="D136:M136" si="35">D129-D133</f>
        <v>0</v>
      </c>
      <c r="E136" s="7">
        <f t="shared" si="35"/>
        <v>238595.7850925806</v>
      </c>
      <c r="F136" s="7">
        <f t="shared" si="35"/>
        <v>-3690684.7935870066</v>
      </c>
      <c r="G136" s="7">
        <f t="shared" si="35"/>
        <v>-63683662.218557999</v>
      </c>
      <c r="H136" s="7">
        <f t="shared" si="35"/>
        <v>6804168.9876133651</v>
      </c>
      <c r="I136" s="7">
        <f t="shared" si="35"/>
        <v>-2264702.1827613879</v>
      </c>
      <c r="J136" s="7">
        <f t="shared" si="35"/>
        <v>-3770636.4546059743</v>
      </c>
      <c r="K136" s="7">
        <f t="shared" si="35"/>
        <v>-2164.110918069633</v>
      </c>
      <c r="L136" s="7">
        <f t="shared" si="35"/>
        <v>-84413.957123867061</v>
      </c>
      <c r="M136" s="7">
        <f t="shared" si="35"/>
        <v>4078617.8669813764</v>
      </c>
      <c r="N136" s="7">
        <f>SUM(D136:M136)</f>
        <v>-62374881.077866971</v>
      </c>
    </row>
    <row r="138" spans="1:14">
      <c r="C138" s="1" t="s">
        <v>1752</v>
      </c>
      <c r="D138" s="522"/>
      <c r="E138" s="522"/>
      <c r="F138" s="522"/>
      <c r="G138" s="522"/>
      <c r="H138" s="522"/>
      <c r="I138" s="522"/>
      <c r="J138" s="522"/>
      <c r="K138" s="522"/>
      <c r="L138" s="522"/>
    </row>
    <row r="139" spans="1:14">
      <c r="C139" s="522"/>
      <c r="D139" s="522"/>
      <c r="E139" s="522"/>
      <c r="F139" s="522"/>
      <c r="G139" s="522"/>
      <c r="H139" s="522"/>
      <c r="I139" s="522"/>
      <c r="J139" s="522"/>
      <c r="K139" s="522"/>
      <c r="L139" s="522"/>
    </row>
    <row r="140" spans="1:14">
      <c r="C140" s="91" t="s">
        <v>394</v>
      </c>
      <c r="D140" s="91" t="s">
        <v>378</v>
      </c>
      <c r="E140" s="91" t="s">
        <v>379</v>
      </c>
      <c r="F140" s="91" t="s">
        <v>380</v>
      </c>
      <c r="G140" s="91" t="s">
        <v>381</v>
      </c>
      <c r="H140" s="91" t="s">
        <v>382</v>
      </c>
      <c r="I140" s="91" t="s">
        <v>383</v>
      </c>
      <c r="J140" s="91" t="s">
        <v>596</v>
      </c>
      <c r="K140" s="91" t="s">
        <v>1045</v>
      </c>
      <c r="L140" s="91" t="s">
        <v>1061</v>
      </c>
      <c r="M140" s="91" t="s">
        <v>1064</v>
      </c>
      <c r="N140" s="91" t="s">
        <v>1082</v>
      </c>
    </row>
    <row r="141" spans="1:14">
      <c r="C141" s="262"/>
      <c r="D141" s="241"/>
      <c r="E141" s="241"/>
      <c r="F141" s="241"/>
      <c r="G141" s="241"/>
      <c r="H141" s="241"/>
      <c r="I141" s="241"/>
      <c r="J141" s="241"/>
      <c r="K141" s="241"/>
      <c r="L141" s="241"/>
      <c r="N141" s="262" t="s">
        <v>1366</v>
      </c>
    </row>
    <row r="142" spans="1:14">
      <c r="C142" s="117"/>
      <c r="D142" s="91"/>
      <c r="E142" s="91"/>
      <c r="F142" s="241"/>
      <c r="G142" s="241"/>
      <c r="H142" s="241"/>
      <c r="I142" s="241"/>
      <c r="J142" s="241"/>
      <c r="K142" s="241"/>
      <c r="L142" s="241"/>
      <c r="M142" s="241"/>
    </row>
    <row r="143" spans="1:14">
      <c r="C143" s="131" t="s">
        <v>2034</v>
      </c>
      <c r="D143" s="91">
        <v>350.1</v>
      </c>
      <c r="E143" s="91">
        <v>350.2</v>
      </c>
      <c r="F143" s="91">
        <v>352</v>
      </c>
      <c r="G143" s="91">
        <v>353</v>
      </c>
      <c r="H143" s="91">
        <v>354</v>
      </c>
      <c r="I143" s="91">
        <v>355</v>
      </c>
      <c r="J143" s="91">
        <v>356</v>
      </c>
      <c r="K143" s="91">
        <v>357</v>
      </c>
      <c r="L143" s="91">
        <v>358</v>
      </c>
      <c r="M143" s="91">
        <v>359</v>
      </c>
      <c r="N143" s="3" t="s">
        <v>215</v>
      </c>
    </row>
    <row r="144" spans="1:14">
      <c r="A144" s="555">
        <f>A136+1</f>
        <v>69</v>
      </c>
      <c r="C144" s="667" t="s">
        <v>2916</v>
      </c>
      <c r="D144" s="245">
        <v>0</v>
      </c>
      <c r="E144" s="245">
        <f t="shared" ref="E144:M144" si="36">E111*(E$136/E$123)</f>
        <v>11732.511337856455</v>
      </c>
      <c r="F144" s="245">
        <f t="shared" si="36"/>
        <v>-3726990.7550722011</v>
      </c>
      <c r="G144" s="245">
        <f t="shared" si="36"/>
        <v>-62950465.253228657</v>
      </c>
      <c r="H144" s="245">
        <f t="shared" si="36"/>
        <v>26644301.073142886</v>
      </c>
      <c r="I144" s="245">
        <f t="shared" si="36"/>
        <v>-2795396.5261011943</v>
      </c>
      <c r="J144" s="245">
        <f t="shared" si="36"/>
        <v>24040949.147920482</v>
      </c>
      <c r="K144" s="245">
        <f t="shared" si="36"/>
        <v>-710.12207407306869</v>
      </c>
      <c r="L144" s="245">
        <f t="shared" si="36"/>
        <v>-34806.28938378422</v>
      </c>
      <c r="M144" s="245">
        <f t="shared" si="36"/>
        <v>4589161.3166498076</v>
      </c>
      <c r="N144" s="243">
        <f t="shared" ref="N144:N155" si="37">SUM(D144:M144)</f>
        <v>-14222224.896808876</v>
      </c>
    </row>
    <row r="145" spans="1:14">
      <c r="A145" s="555">
        <f t="shared" ref="A145:A156" si="38">A144+1</f>
        <v>70</v>
      </c>
      <c r="C145" s="666" t="s">
        <v>2917</v>
      </c>
      <c r="D145" s="245">
        <v>0</v>
      </c>
      <c r="E145" s="245">
        <f t="shared" ref="E145:M145" si="39">E112*(E$136/E$123)</f>
        <v>12130.501654740832</v>
      </c>
      <c r="F145" s="245">
        <f t="shared" si="39"/>
        <v>-38777.589649527246</v>
      </c>
      <c r="G145" s="245">
        <f t="shared" si="39"/>
        <v>-2448981.074779693</v>
      </c>
      <c r="H145" s="245">
        <f t="shared" si="39"/>
        <v>-934067.05669632403</v>
      </c>
      <c r="I145" s="245">
        <f t="shared" si="39"/>
        <v>207540.10251251466</v>
      </c>
      <c r="J145" s="245">
        <f t="shared" si="39"/>
        <v>-2181140.739396845</v>
      </c>
      <c r="K145" s="245">
        <f t="shared" si="39"/>
        <v>-113.03584340101131</v>
      </c>
      <c r="L145" s="245">
        <f t="shared" si="39"/>
        <v>-3271.3730224058595</v>
      </c>
      <c r="M145" s="245">
        <f t="shared" si="39"/>
        <v>-51586.757371619577</v>
      </c>
      <c r="N145" s="243">
        <f t="shared" si="37"/>
        <v>-5438267.0225925604</v>
      </c>
    </row>
    <row r="146" spans="1:14">
      <c r="A146" s="555">
        <f t="shared" si="38"/>
        <v>71</v>
      </c>
      <c r="C146" s="666" t="s">
        <v>2918</v>
      </c>
      <c r="D146" s="245">
        <v>0</v>
      </c>
      <c r="E146" s="245">
        <f t="shared" ref="E146:M146" si="40">E113*(E$136/E$123)</f>
        <v>10189.209533836216</v>
      </c>
      <c r="F146" s="245">
        <f t="shared" si="40"/>
        <v>-84496.33016128921</v>
      </c>
      <c r="G146" s="245">
        <f t="shared" si="40"/>
        <v>12039115.154698296</v>
      </c>
      <c r="H146" s="245">
        <f t="shared" si="40"/>
        <v>-1324172.6520917285</v>
      </c>
      <c r="I146" s="245">
        <f t="shared" si="40"/>
        <v>153739.46070398044</v>
      </c>
      <c r="J146" s="245">
        <f t="shared" si="40"/>
        <v>-4798929.4101137677</v>
      </c>
      <c r="K146" s="245">
        <f t="shared" si="40"/>
        <v>-130.95579780377304</v>
      </c>
      <c r="L146" s="245">
        <f t="shared" si="40"/>
        <v>-5957.8945222951679</v>
      </c>
      <c r="M146" s="245">
        <f t="shared" si="40"/>
        <v>-281929.45480561757</v>
      </c>
      <c r="N146" s="243">
        <f t="shared" si="37"/>
        <v>5707427.1274436098</v>
      </c>
    </row>
    <row r="147" spans="1:14">
      <c r="A147" s="555">
        <f t="shared" si="38"/>
        <v>72</v>
      </c>
      <c r="C147" s="667" t="s">
        <v>2919</v>
      </c>
      <c r="D147" s="245">
        <v>0</v>
      </c>
      <c r="E147" s="245">
        <f t="shared" ref="E147:M147" si="41">E114*(E$136/E$123)</f>
        <v>29029.143856800089</v>
      </c>
      <c r="F147" s="245">
        <f t="shared" si="41"/>
        <v>239848.30545864382</v>
      </c>
      <c r="G147" s="245">
        <f t="shared" si="41"/>
        <v>306665.19867460447</v>
      </c>
      <c r="H147" s="245">
        <f t="shared" si="41"/>
        <v>302439.58961026184</v>
      </c>
      <c r="I147" s="245">
        <f t="shared" si="41"/>
        <v>59514.375170978936</v>
      </c>
      <c r="J147" s="245">
        <f t="shared" si="41"/>
        <v>-4176407.9312160253</v>
      </c>
      <c r="K147" s="245">
        <f t="shared" si="41"/>
        <v>-159.25390246623147</v>
      </c>
      <c r="L147" s="245">
        <f t="shared" si="41"/>
        <v>-6886.9029944849763</v>
      </c>
      <c r="M147" s="245">
        <f t="shared" si="41"/>
        <v>58330.21144268848</v>
      </c>
      <c r="N147" s="243">
        <f t="shared" si="37"/>
        <v>-3187627.263898999</v>
      </c>
    </row>
    <row r="148" spans="1:14">
      <c r="A148" s="555">
        <f t="shared" si="38"/>
        <v>73</v>
      </c>
      <c r="C148" s="666" t="s">
        <v>2920</v>
      </c>
      <c r="D148" s="245">
        <v>0</v>
      </c>
      <c r="E148" s="245">
        <f t="shared" ref="E148:M148" si="42">E115*(E$136/E$123)</f>
        <v>60613.00414698953</v>
      </c>
      <c r="F148" s="245">
        <f t="shared" si="42"/>
        <v>-327335.78039909637</v>
      </c>
      <c r="G148" s="245">
        <f t="shared" si="42"/>
        <v>813749.83245175949</v>
      </c>
      <c r="H148" s="245">
        <f t="shared" si="42"/>
        <v>-1445331.5298023168</v>
      </c>
      <c r="I148" s="245">
        <f t="shared" si="42"/>
        <v>-26685.158774464755</v>
      </c>
      <c r="J148" s="245">
        <f t="shared" si="42"/>
        <v>-2622779.5221866253</v>
      </c>
      <c r="K148" s="245">
        <f t="shared" si="42"/>
        <v>-129.84381227674996</v>
      </c>
      <c r="L148" s="245">
        <f t="shared" si="42"/>
        <v>-81.760210054004702</v>
      </c>
      <c r="M148" s="245">
        <f t="shared" si="42"/>
        <v>-51645.858274505576</v>
      </c>
      <c r="N148" s="243">
        <f t="shared" si="37"/>
        <v>-3599626.6168605904</v>
      </c>
    </row>
    <row r="149" spans="1:14">
      <c r="A149" s="555">
        <f t="shared" si="38"/>
        <v>74</v>
      </c>
      <c r="C149" s="666" t="s">
        <v>2921</v>
      </c>
      <c r="D149" s="245">
        <v>0</v>
      </c>
      <c r="E149" s="245">
        <f t="shared" ref="E149:M149" si="43">E116*(E$136/E$123)</f>
        <v>16282.614813797716</v>
      </c>
      <c r="F149" s="245">
        <f t="shared" si="43"/>
        <v>-219323.32716075031</v>
      </c>
      <c r="G149" s="245">
        <f t="shared" si="43"/>
        <v>631627.01123318332</v>
      </c>
      <c r="H149" s="245">
        <f t="shared" si="43"/>
        <v>-378972.89682539832</v>
      </c>
      <c r="I149" s="245">
        <f t="shared" si="43"/>
        <v>65250.998615046949</v>
      </c>
      <c r="J149" s="245">
        <f t="shared" si="43"/>
        <v>-1287888.8438803507</v>
      </c>
      <c r="K149" s="245">
        <f t="shared" si="43"/>
        <v>-129.8584245747725</v>
      </c>
      <c r="L149" s="245">
        <f t="shared" si="43"/>
        <v>-9059.0136600463957</v>
      </c>
      <c r="M149" s="245">
        <f t="shared" si="43"/>
        <v>-67887.439606948654</v>
      </c>
      <c r="N149" s="243">
        <f t="shared" si="37"/>
        <v>-1250100.7548960415</v>
      </c>
    </row>
    <row r="150" spans="1:14">
      <c r="A150" s="555">
        <f t="shared" si="38"/>
        <v>75</v>
      </c>
      <c r="C150" s="667" t="s">
        <v>2922</v>
      </c>
      <c r="D150" s="245">
        <v>0</v>
      </c>
      <c r="E150" s="245">
        <f t="shared" ref="E150:M150" si="44">E117*(E$136/E$123)</f>
        <v>16302.66093197382</v>
      </c>
      <c r="F150" s="245">
        <f t="shared" si="44"/>
        <v>704532.07796889381</v>
      </c>
      <c r="G150" s="245">
        <f t="shared" si="44"/>
        <v>11308351.206187699</v>
      </c>
      <c r="H150" s="245">
        <f t="shared" si="44"/>
        <v>-13601548.408366617</v>
      </c>
      <c r="I150" s="245">
        <f t="shared" si="44"/>
        <v>-59848.070529398261</v>
      </c>
      <c r="J150" s="245">
        <f t="shared" si="44"/>
        <v>-5583121.2980421279</v>
      </c>
      <c r="K150" s="245">
        <f t="shared" si="44"/>
        <v>-136.10196629091399</v>
      </c>
      <c r="L150" s="245">
        <f t="shared" si="44"/>
        <v>-2440.2905579178455</v>
      </c>
      <c r="M150" s="245">
        <f t="shared" si="44"/>
        <v>43008.12682987906</v>
      </c>
      <c r="N150" s="243">
        <f t="shared" si="37"/>
        <v>-7174900.0975439055</v>
      </c>
    </row>
    <row r="151" spans="1:14">
      <c r="A151" s="555">
        <f t="shared" si="38"/>
        <v>76</v>
      </c>
      <c r="C151" s="666" t="s">
        <v>2923</v>
      </c>
      <c r="D151" s="245">
        <v>0</v>
      </c>
      <c r="E151" s="245">
        <f t="shared" ref="E151:M151" si="45">E118*(E$136/E$123)</f>
        <v>16298.308836747532</v>
      </c>
      <c r="F151" s="245">
        <f t="shared" si="45"/>
        <v>-36094.714858374602</v>
      </c>
      <c r="G151" s="245">
        <f t="shared" si="45"/>
        <v>-6501.8324666724839</v>
      </c>
      <c r="H151" s="245">
        <f t="shared" si="45"/>
        <v>120125.33230921564</v>
      </c>
      <c r="I151" s="245">
        <f t="shared" si="45"/>
        <v>109509.89141736523</v>
      </c>
      <c r="J151" s="245">
        <f t="shared" si="45"/>
        <v>1338820.5631803859</v>
      </c>
      <c r="K151" s="245">
        <f t="shared" si="45"/>
        <v>-134.76869761105328</v>
      </c>
      <c r="L151" s="245">
        <f t="shared" si="45"/>
        <v>-3274.4837952472626</v>
      </c>
      <c r="M151" s="245">
        <f t="shared" si="45"/>
        <v>4843.6493818190529</v>
      </c>
      <c r="N151" s="243">
        <f t="shared" si="37"/>
        <v>1543591.9453076278</v>
      </c>
    </row>
    <row r="152" spans="1:14">
      <c r="A152" s="555">
        <f t="shared" si="38"/>
        <v>77</v>
      </c>
      <c r="C152" s="666" t="s">
        <v>2924</v>
      </c>
      <c r="D152" s="245">
        <v>0</v>
      </c>
      <c r="E152" s="245">
        <f t="shared" ref="E152:M152" si="46">E119*(E$136/E$123)</f>
        <v>16073.723152455561</v>
      </c>
      <c r="F152" s="245">
        <f t="shared" si="46"/>
        <v>18086.416073675511</v>
      </c>
      <c r="G152" s="245">
        <f t="shared" si="46"/>
        <v>-12935000.719887977</v>
      </c>
      <c r="H152" s="245">
        <f t="shared" si="46"/>
        <v>393083.76956543338</v>
      </c>
      <c r="I152" s="245">
        <f t="shared" si="46"/>
        <v>-12854.238319186088</v>
      </c>
      <c r="J152" s="245">
        <f t="shared" si="46"/>
        <v>4204384.9795230031</v>
      </c>
      <c r="K152" s="245">
        <f t="shared" si="46"/>
        <v>-133.11925284653452</v>
      </c>
      <c r="L152" s="245">
        <f t="shared" si="46"/>
        <v>-5351.8213364378398</v>
      </c>
      <c r="M152" s="245">
        <f t="shared" si="46"/>
        <v>8537.8311638593714</v>
      </c>
      <c r="N152" s="243">
        <f t="shared" si="37"/>
        <v>-8313173.179318022</v>
      </c>
    </row>
    <row r="153" spans="1:14">
      <c r="A153" s="555">
        <f t="shared" si="38"/>
        <v>78</v>
      </c>
      <c r="C153" s="667" t="s">
        <v>2925</v>
      </c>
      <c r="D153" s="245">
        <v>0</v>
      </c>
      <c r="E153" s="245">
        <f t="shared" ref="E153:M153" si="47">E120*(E$136/E$123)</f>
        <v>18185.896969988244</v>
      </c>
      <c r="F153" s="245">
        <f t="shared" si="47"/>
        <v>-33875.502836955406</v>
      </c>
      <c r="G153" s="245">
        <f t="shared" si="47"/>
        <v>64046.012425222209</v>
      </c>
      <c r="H153" s="245">
        <f t="shared" si="47"/>
        <v>-470158.19336010906</v>
      </c>
      <c r="I153" s="245">
        <f t="shared" si="47"/>
        <v>1110.9937654729583</v>
      </c>
      <c r="J153" s="245">
        <f t="shared" si="47"/>
        <v>869839.05241708306</v>
      </c>
      <c r="K153" s="245">
        <f t="shared" si="47"/>
        <v>-133.22287174008056</v>
      </c>
      <c r="L153" s="245">
        <f t="shared" si="47"/>
        <v>-8302.5592527975132</v>
      </c>
      <c r="M153" s="245">
        <f t="shared" si="47"/>
        <v>-36732.164775999285</v>
      </c>
      <c r="N153" s="243">
        <f t="shared" si="37"/>
        <v>403980.31248016516</v>
      </c>
    </row>
    <row r="154" spans="1:14">
      <c r="A154" s="555">
        <f t="shared" si="38"/>
        <v>79</v>
      </c>
      <c r="C154" s="667" t="s">
        <v>2926</v>
      </c>
      <c r="D154" s="245">
        <v>0</v>
      </c>
      <c r="E154" s="245">
        <f t="shared" ref="E154:M154" si="48">E121*(E$136/E$123)</f>
        <v>15138.483781126681</v>
      </c>
      <c r="F154" s="245">
        <f t="shared" si="48"/>
        <v>57815.089645857923</v>
      </c>
      <c r="G154" s="245">
        <f t="shared" si="48"/>
        <v>-5065141.0464201346</v>
      </c>
      <c r="H154" s="245">
        <f t="shared" si="48"/>
        <v>-204044.14387091127</v>
      </c>
      <c r="I154" s="245">
        <f t="shared" si="48"/>
        <v>192960.83880724461</v>
      </c>
      <c r="J154" s="245">
        <f t="shared" si="48"/>
        <v>-10000421.633368839</v>
      </c>
      <c r="K154" s="245">
        <f t="shared" si="48"/>
        <v>-128.60897954292028</v>
      </c>
      <c r="L154" s="245">
        <f t="shared" si="48"/>
        <v>4430.2945937117829</v>
      </c>
      <c r="M154" s="245">
        <f t="shared" si="48"/>
        <v>-43885.641426437825</v>
      </c>
      <c r="N154" s="243">
        <f t="shared" si="37"/>
        <v>-15043276.367237926</v>
      </c>
    </row>
    <row r="155" spans="1:14">
      <c r="A155" s="555">
        <f t="shared" si="38"/>
        <v>80</v>
      </c>
      <c r="C155" s="666" t="s">
        <v>2927</v>
      </c>
      <c r="D155" s="118">
        <v>0</v>
      </c>
      <c r="E155" s="498">
        <f t="shared" ref="E155:M155" si="49">E122*(E$136/E$123)</f>
        <v>16619.726076267914</v>
      </c>
      <c r="F155" s="498">
        <f t="shared" si="49"/>
        <v>-244072.68259588382</v>
      </c>
      <c r="G155" s="498">
        <f t="shared" si="49"/>
        <v>-5441126.7074456383</v>
      </c>
      <c r="H155" s="498">
        <f t="shared" si="49"/>
        <v>-2297485.8960010284</v>
      </c>
      <c r="I155" s="498">
        <f t="shared" si="49"/>
        <v>-159544.85002974872</v>
      </c>
      <c r="J155" s="498">
        <f t="shared" si="49"/>
        <v>-3573940.819442349</v>
      </c>
      <c r="K155" s="498">
        <f t="shared" si="49"/>
        <v>-125.21929544252355</v>
      </c>
      <c r="L155" s="498">
        <f t="shared" si="49"/>
        <v>-9411.8629821077557</v>
      </c>
      <c r="M155" s="498">
        <f t="shared" si="49"/>
        <v>-91595.952225550049</v>
      </c>
      <c r="N155" s="378">
        <f t="shared" si="37"/>
        <v>-11800684.26394148</v>
      </c>
    </row>
    <row r="156" spans="1:14">
      <c r="A156" s="555">
        <f t="shared" si="38"/>
        <v>81</v>
      </c>
      <c r="C156" s="559" t="s">
        <v>4</v>
      </c>
      <c r="D156" s="243">
        <f>SUM(D144:D155)</f>
        <v>0</v>
      </c>
      <c r="E156" s="243">
        <f t="shared" ref="E156:M156" si="50">SUM(E144:E155)</f>
        <v>238595.7850925806</v>
      </c>
      <c r="F156" s="243">
        <f t="shared" si="50"/>
        <v>-3690684.7935870071</v>
      </c>
      <c r="G156" s="243">
        <f t="shared" si="50"/>
        <v>-63683662.218558013</v>
      </c>
      <c r="H156" s="243">
        <f t="shared" si="50"/>
        <v>6804168.9876133688</v>
      </c>
      <c r="I156" s="243">
        <f t="shared" si="50"/>
        <v>-2264702.1827613884</v>
      </c>
      <c r="J156" s="243">
        <f t="shared" si="50"/>
        <v>-3770636.4546059747</v>
      </c>
      <c r="K156" s="243">
        <f t="shared" si="50"/>
        <v>-2164.110918069633</v>
      </c>
      <c r="L156" s="243">
        <f t="shared" si="50"/>
        <v>-84413.957123867061</v>
      </c>
      <c r="M156" s="243">
        <f t="shared" si="50"/>
        <v>4078617.8669813755</v>
      </c>
      <c r="N156" s="243">
        <f>SUM(N144:N155)</f>
        <v>-62374881.077867001</v>
      </c>
    </row>
    <row r="158" spans="1:14">
      <c r="B158" s="434" t="s">
        <v>256</v>
      </c>
    </row>
    <row r="159" spans="1:14">
      <c r="B159" s="1040" t="s">
        <v>2286</v>
      </c>
      <c r="C159" s="14"/>
      <c r="D159" s="14"/>
      <c r="E159" s="14"/>
      <c r="F159" s="14"/>
      <c r="G159" s="14"/>
      <c r="H159" s="14"/>
      <c r="I159" s="14"/>
      <c r="J159" s="14"/>
    </row>
    <row r="160" spans="1:14">
      <c r="B160" s="1040" t="s">
        <v>2287</v>
      </c>
      <c r="C160" s="14"/>
      <c r="D160" s="14"/>
      <c r="E160" s="14"/>
      <c r="F160" s="14"/>
      <c r="G160" s="14"/>
      <c r="H160" s="14"/>
      <c r="I160" s="14"/>
      <c r="J160" s="14"/>
    </row>
    <row r="161" spans="2:14">
      <c r="B161" s="694" t="s">
        <v>2249</v>
      </c>
      <c r="C161" s="678"/>
      <c r="D161" s="678"/>
      <c r="E161" s="678"/>
      <c r="F161" s="678"/>
      <c r="G161" s="678"/>
      <c r="H161" s="678"/>
      <c r="I161" s="678"/>
      <c r="J161" s="14"/>
      <c r="K161" s="14"/>
      <c r="L161" s="678"/>
      <c r="M161" s="678"/>
      <c r="N161" s="14"/>
    </row>
    <row r="162" spans="2:14">
      <c r="B162" s="1045" t="s">
        <v>2534</v>
      </c>
      <c r="C162" s="678"/>
      <c r="D162" s="678"/>
      <c r="E162" s="678"/>
      <c r="F162" s="678"/>
      <c r="G162" s="678"/>
      <c r="H162" s="678"/>
      <c r="I162" s="678"/>
      <c r="J162" s="678"/>
      <c r="K162" s="678"/>
      <c r="L162" s="678"/>
      <c r="M162" s="678"/>
      <c r="N162" s="14"/>
    </row>
    <row r="163" spans="2:14">
      <c r="B163" s="1045" t="s">
        <v>2250</v>
      </c>
      <c r="C163" s="678"/>
      <c r="D163" s="678"/>
      <c r="E163" s="678"/>
      <c r="F163" s="678"/>
      <c r="G163" s="678"/>
      <c r="H163" s="678"/>
      <c r="I163" s="678"/>
      <c r="J163" s="678"/>
      <c r="K163" s="678"/>
      <c r="L163" s="678"/>
      <c r="M163" s="678"/>
      <c r="N163" s="14"/>
    </row>
    <row r="164" spans="2:14">
      <c r="B164" s="1045" t="s">
        <v>2251</v>
      </c>
      <c r="C164" s="678"/>
      <c r="D164" s="678"/>
      <c r="E164" s="678"/>
      <c r="F164" s="678"/>
      <c r="G164" s="678"/>
      <c r="H164" s="678"/>
      <c r="I164" s="678"/>
      <c r="J164" s="678"/>
      <c r="K164" s="678"/>
      <c r="L164" s="678"/>
      <c r="M164" s="678"/>
      <c r="N164" s="14"/>
    </row>
    <row r="165" spans="2:14">
      <c r="B165" s="694" t="s">
        <v>2252</v>
      </c>
      <c r="C165" s="678"/>
      <c r="D165" s="678"/>
      <c r="E165" s="678"/>
      <c r="F165" s="678"/>
      <c r="G165" s="678"/>
      <c r="H165" s="678"/>
      <c r="I165" s="678"/>
      <c r="J165" s="678"/>
      <c r="K165" s="678"/>
      <c r="L165" s="678"/>
      <c r="M165" s="678"/>
      <c r="N165" s="14"/>
    </row>
    <row r="166" spans="2:14">
      <c r="B166" s="1045" t="s">
        <v>2253</v>
      </c>
      <c r="C166" s="678"/>
      <c r="D166" s="678"/>
      <c r="E166" s="678"/>
      <c r="F166" s="678"/>
      <c r="G166" s="678"/>
      <c r="H166" s="678"/>
      <c r="I166" s="678"/>
      <c r="J166" s="678"/>
      <c r="K166" s="678"/>
      <c r="L166" s="678"/>
      <c r="M166" s="678"/>
      <c r="N166" s="14"/>
    </row>
    <row r="167" spans="2:14">
      <c r="B167" s="1045" t="s">
        <v>2254</v>
      </c>
      <c r="C167" s="678"/>
      <c r="D167" s="678"/>
      <c r="E167" s="678"/>
      <c r="F167" s="678"/>
      <c r="G167" s="678"/>
      <c r="H167" s="678"/>
      <c r="I167" s="678"/>
      <c r="J167" s="678"/>
      <c r="K167" s="678"/>
      <c r="L167" s="678"/>
      <c r="M167" s="678"/>
      <c r="N167" s="14"/>
    </row>
    <row r="168" spans="2:14">
      <c r="B168" s="1045" t="s">
        <v>2255</v>
      </c>
      <c r="C168" s="678"/>
      <c r="D168" s="678"/>
      <c r="E168" s="678"/>
      <c r="F168" s="678"/>
      <c r="G168" s="678"/>
      <c r="H168" s="678"/>
      <c r="I168" s="678"/>
      <c r="J168" s="678"/>
      <c r="K168" s="678"/>
      <c r="L168" s="678"/>
      <c r="M168" s="678"/>
      <c r="N168" s="14"/>
    </row>
    <row r="169" spans="2:14">
      <c r="B169" s="524" t="str">
        <f>"2) Amounts on Line "&amp;A33&amp;" derived from Plant Study for previous year Prior Year."</f>
        <v>2) Amounts on Line 15 derived from Plant Study for previous year Prior Year.</v>
      </c>
      <c r="C169" s="14"/>
      <c r="D169" s="14"/>
      <c r="E169" s="14"/>
      <c r="F169" s="14"/>
      <c r="G169" s="14"/>
      <c r="H169" s="14"/>
      <c r="I169" s="14"/>
      <c r="J169" s="14"/>
    </row>
    <row r="170" spans="2:14">
      <c r="B170" s="521" t="str">
        <f>"Amounts on Line "&amp;A34&amp;" derived from Plant Study for Prior Year."</f>
        <v>Amounts on Line 16 derived from Plant Study for Prior Year.</v>
      </c>
      <c r="C170" s="14"/>
      <c r="D170" s="14"/>
      <c r="E170" s="14"/>
      <c r="F170" s="14"/>
      <c r="G170" s="14"/>
      <c r="H170" s="14"/>
      <c r="I170" s="14"/>
      <c r="J170" s="14"/>
    </row>
    <row r="171" spans="2:14">
      <c r="B171" s="524" t="s">
        <v>1746</v>
      </c>
      <c r="C171" s="14"/>
      <c r="D171" s="14"/>
      <c r="E171" s="14"/>
      <c r="F171" s="14"/>
      <c r="G171" s="14"/>
      <c r="H171" s="14"/>
      <c r="I171" s="14"/>
      <c r="J171" s="14"/>
    </row>
    <row r="172" spans="2:14">
      <c r="B172" s="14" t="str">
        <f>"4) From 17-Depreciation, Lines "&amp;'17-Depreciation'!A49&amp;" to "&amp;'17-Depreciation'!A60&amp;"."</f>
        <v>4) From 17-Depreciation, Lines 24 to 35.</v>
      </c>
      <c r="C172" s="14"/>
      <c r="D172" s="14"/>
      <c r="E172" s="14"/>
      <c r="F172" s="14"/>
      <c r="G172" s="14"/>
      <c r="H172" s="14"/>
      <c r="I172" s="14"/>
      <c r="J172" s="14"/>
    </row>
    <row r="173" spans="2:14">
      <c r="B173" s="524" t="str">
        <f>"5) Amount in matrix on lines "&amp;A71&amp;" to "&amp;A82&amp;" minus amount in matrix on lines "&amp;A91&amp;" to "&amp;A102&amp;"."</f>
        <v>5) Amount in matrix on lines 27 to 38 minus amount in matrix on lines 40 to 51.</v>
      </c>
      <c r="C173" s="14"/>
      <c r="D173" s="14"/>
      <c r="E173" s="14"/>
      <c r="F173" s="14"/>
      <c r="G173" s="14"/>
      <c r="H173" s="14"/>
      <c r="I173" s="14"/>
      <c r="J173" s="14"/>
    </row>
    <row r="174" spans="2:14">
      <c r="B174" s="524" t="str">
        <f>"6) Line "&amp;A24&amp;" - Line "&amp;A12&amp;"."</f>
        <v>6) Line 13 - Line 1.</v>
      </c>
      <c r="C174" s="14"/>
      <c r="D174" s="14"/>
      <c r="E174" s="14"/>
      <c r="F174" s="14"/>
      <c r="G174" s="14"/>
      <c r="H174" s="14"/>
      <c r="I174" s="14"/>
      <c r="J174" s="14"/>
    </row>
    <row r="175" spans="2:14">
      <c r="B175" s="14" t="str">
        <f>"7) Line "&amp;A103&amp;"."</f>
        <v>7) Line 52.</v>
      </c>
      <c r="C175" s="14"/>
      <c r="D175" s="14"/>
      <c r="E175" s="14"/>
      <c r="F175" s="14"/>
      <c r="G175" s="14"/>
      <c r="H175" s="14"/>
      <c r="I175" s="14"/>
      <c r="J175" s="14"/>
    </row>
    <row r="176" spans="2:14">
      <c r="B176" s="524" t="str">
        <f>"8) Line "&amp;A129&amp;" - Line "&amp;A133&amp;"."</f>
        <v>8) Line 66 - Line 67.</v>
      </c>
      <c r="C176" s="14"/>
      <c r="D176" s="14"/>
      <c r="E176" s="14"/>
      <c r="F176" s="14"/>
      <c r="G176" s="14"/>
      <c r="H176" s="14"/>
      <c r="I176" s="14"/>
      <c r="J176" s="14"/>
    </row>
    <row r="177" spans="2:10">
      <c r="B177" s="524" t="str">
        <f>"9) For each column (FERC Account) divide Line "&amp;A136&amp;" by Line "&amp;A123&amp;" to arrive at a ratio for each column."</f>
        <v>9) For each column (FERC Account) divide Line 68 by Line 65 to arrive at a ratio for each column.</v>
      </c>
      <c r="C177" s="14"/>
      <c r="D177" s="14"/>
      <c r="E177" s="14"/>
      <c r="F177" s="14"/>
      <c r="G177" s="14"/>
      <c r="H177" s="14"/>
      <c r="I177" s="14"/>
      <c r="J177" s="14"/>
    </row>
    <row r="178" spans="2:10">
      <c r="B178" s="524" t="str">
        <f>"Apply the ratio of each column to each monthly value from Lines "&amp;A111&amp;"-"&amp;A122&amp;" to calculate the values for"</f>
        <v>Apply the ratio of each column to each monthly value from Lines 53-64 to calculate the values for</v>
      </c>
      <c r="C178" s="14"/>
      <c r="D178" s="14"/>
      <c r="E178" s="14"/>
      <c r="F178" s="14"/>
      <c r="G178" s="14"/>
      <c r="H178" s="14"/>
      <c r="I178" s="14"/>
      <c r="J178" s="14"/>
    </row>
    <row r="179" spans="2:10">
      <c r="B179" s="524" t="str">
        <f>"the corresponsing months listed in Lines "&amp;A144&amp;"-"&amp;A155&amp;"."</f>
        <v>the corresponsing months listed in Lines 69-80.</v>
      </c>
      <c r="C179" s="14"/>
      <c r="D179" s="14"/>
      <c r="E179" s="14"/>
      <c r="F179" s="14"/>
      <c r="G179" s="14"/>
      <c r="H179" s="14"/>
      <c r="I179" s="14"/>
      <c r="J179" s="14"/>
    </row>
  </sheetData>
  <phoneticPr fontId="25" type="noConversion"/>
  <pageMargins left="0.75" right="0.75" top="1" bottom="1" header="0.5" footer="0.5"/>
  <pageSetup scale="65" orientation="landscape" cellComments="asDisplayed" r:id="rId1"/>
  <headerFooter alignWithMargins="0">
    <oddHeader>&amp;CSchedule 8
Accumulated Depreciation
&amp;RTO11 Draft Annual Update
Attachment 1</oddHeader>
    <oddFooter>&amp;R&amp;A</oddFooter>
  </headerFooter>
  <rowBreaks count="3" manualBreakCount="3">
    <brk id="36" max="16383" man="1"/>
    <brk id="84" max="16383" man="1"/>
    <brk id="12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zoomScaleNormal="100" zoomScaleSheetLayoutView="80" workbookViewId="0"/>
  </sheetViews>
  <sheetFormatPr defaultRowHeight="12.75"/>
  <cols>
    <col min="1" max="1" width="4.7109375" customWidth="1"/>
    <col min="2" max="2" width="9.7109375" style="591" customWidth="1"/>
    <col min="3" max="3" width="44.7109375" style="591" customWidth="1"/>
    <col min="4" max="8" width="15.7109375" style="591" customWidth="1"/>
    <col min="9" max="9" width="16.140625" style="591" bestFit="1" customWidth="1"/>
    <col min="10" max="10" width="33.7109375" style="591" customWidth="1"/>
    <col min="11" max="11" width="9.140625" style="14"/>
  </cols>
  <sheetData>
    <row r="1" spans="1:12">
      <c r="A1" s="1046" t="s">
        <v>1356</v>
      </c>
      <c r="B1" s="251"/>
      <c r="C1" s="251"/>
      <c r="D1" s="251"/>
      <c r="E1" s="251"/>
      <c r="F1" s="429" t="s">
        <v>332</v>
      </c>
      <c r="G1" s="429"/>
      <c r="H1" s="251"/>
      <c r="I1" s="241"/>
      <c r="J1" s="241"/>
      <c r="K1" s="590"/>
      <c r="L1" s="590"/>
    </row>
    <row r="2" spans="1:12">
      <c r="A2" s="241"/>
      <c r="B2" s="683"/>
      <c r="C2" s="684"/>
      <c r="D2" s="684"/>
      <c r="E2" s="241"/>
      <c r="F2" s="241"/>
      <c r="G2" s="241"/>
      <c r="H2" s="241"/>
      <c r="I2" s="241"/>
      <c r="J2" s="241"/>
      <c r="K2" s="590"/>
      <c r="L2" s="590"/>
    </row>
    <row r="3" spans="1:12">
      <c r="A3" s="241"/>
      <c r="B3" s="683" t="s">
        <v>1774</v>
      </c>
      <c r="C3" s="684"/>
      <c r="D3" s="684"/>
      <c r="E3" s="241"/>
      <c r="F3" s="241"/>
      <c r="G3" s="241"/>
      <c r="H3" s="241"/>
      <c r="I3" s="241"/>
      <c r="J3" s="241"/>
      <c r="K3" s="590"/>
      <c r="L3" s="590"/>
    </row>
    <row r="4" spans="1:12">
      <c r="A4" s="241"/>
      <c r="B4" s="683"/>
      <c r="C4" s="684"/>
      <c r="D4" s="684"/>
      <c r="E4" s="241"/>
      <c r="F4" s="241"/>
      <c r="G4" s="241"/>
      <c r="H4" s="241"/>
      <c r="I4" s="241"/>
      <c r="J4" s="241"/>
      <c r="K4" s="590"/>
      <c r="L4" s="590"/>
    </row>
    <row r="5" spans="1:12">
      <c r="A5" s="241"/>
      <c r="B5" s="685" t="s">
        <v>1775</v>
      </c>
      <c r="C5" s="684"/>
      <c r="D5" s="684"/>
      <c r="E5" s="241"/>
      <c r="F5" s="241"/>
      <c r="G5" s="241"/>
      <c r="H5" s="241"/>
      <c r="I5" s="241"/>
      <c r="J5" s="241"/>
      <c r="K5" s="590"/>
      <c r="L5" s="590"/>
    </row>
    <row r="6" spans="1:12">
      <c r="A6" s="241"/>
      <c r="B6" s="683"/>
      <c r="C6" s="91" t="s">
        <v>394</v>
      </c>
      <c r="D6" s="91" t="s">
        <v>378</v>
      </c>
      <c r="E6" s="241"/>
      <c r="I6" s="241"/>
      <c r="J6" s="241"/>
      <c r="K6" s="590"/>
      <c r="L6" s="590"/>
    </row>
    <row r="7" spans="1:12">
      <c r="A7" s="241"/>
      <c r="C7" s="684"/>
      <c r="D7" s="241"/>
      <c r="E7" s="241"/>
      <c r="I7" s="241"/>
      <c r="J7" s="241"/>
      <c r="K7" s="590"/>
      <c r="L7" s="590"/>
    </row>
    <row r="8" spans="1:12">
      <c r="A8" s="241"/>
      <c r="B8" s="683"/>
      <c r="C8" s="251"/>
      <c r="D8" s="117" t="s">
        <v>215</v>
      </c>
      <c r="J8" s="241"/>
      <c r="K8" s="590"/>
      <c r="L8" s="590"/>
    </row>
    <row r="9" spans="1:12">
      <c r="A9" s="54" t="s">
        <v>360</v>
      </c>
      <c r="B9" s="683"/>
      <c r="C9" s="577" t="s">
        <v>110</v>
      </c>
      <c r="D9" s="131" t="s">
        <v>220</v>
      </c>
      <c r="E9" s="379" t="s">
        <v>198</v>
      </c>
      <c r="J9" s="241"/>
      <c r="K9" s="590"/>
      <c r="L9" s="590"/>
    </row>
    <row r="10" spans="1:12" ht="15">
      <c r="A10" s="403">
        <v>1</v>
      </c>
      <c r="B10" s="683"/>
      <c r="C10" s="524" t="s">
        <v>1361</v>
      </c>
      <c r="D10" s="534">
        <f>+D76</f>
        <v>17596592.361131441</v>
      </c>
      <c r="E10" s="521" t="str">
        <f>"Line "&amp;A76&amp;", Col. 2"</f>
        <v>Line 353, Col. 2</v>
      </c>
      <c r="J10" s="241"/>
      <c r="K10" s="590"/>
      <c r="L10" s="590"/>
    </row>
    <row r="11" spans="1:12">
      <c r="A11" s="645">
        <f>A10+1</f>
        <v>2</v>
      </c>
      <c r="B11" s="683"/>
      <c r="C11" s="524" t="s">
        <v>1359</v>
      </c>
      <c r="D11" s="534">
        <f>+D103</f>
        <v>-1299577808</v>
      </c>
      <c r="E11" s="521" t="str">
        <f>"Line "&amp;A103&amp;", Col. 2"</f>
        <v>Line 452, Col. 2</v>
      </c>
      <c r="J11" s="241"/>
      <c r="K11" s="590"/>
      <c r="L11" s="590"/>
    </row>
    <row r="12" spans="1:12">
      <c r="A12" s="645">
        <f t="shared" ref="A12:A24" si="0">A11+1</f>
        <v>3</v>
      </c>
      <c r="B12" s="683"/>
      <c r="C12" s="524" t="s">
        <v>1360</v>
      </c>
      <c r="D12" s="534">
        <f>+D150</f>
        <v>-28956507.998666454</v>
      </c>
      <c r="E12" s="521" t="str">
        <f>"Line "&amp;A150&amp;", Col. 2"</f>
        <v>Line 803, Col. 2</v>
      </c>
      <c r="I12" s="592"/>
      <c r="J12" s="241"/>
      <c r="K12" s="590"/>
      <c r="L12" s="590"/>
    </row>
    <row r="13" spans="1:12">
      <c r="A13" s="645">
        <f t="shared" si="0"/>
        <v>4</v>
      </c>
      <c r="B13" s="683"/>
      <c r="C13" s="522" t="s">
        <v>1916</v>
      </c>
      <c r="D13" s="534">
        <f>G165</f>
        <v>0</v>
      </c>
      <c r="E13" s="521" t="str">
        <f>"Line "&amp;A165&amp;", Col. 5"</f>
        <v>Line 809, Col. 5</v>
      </c>
      <c r="I13" s="592"/>
      <c r="J13" s="241"/>
      <c r="K13" s="590"/>
      <c r="L13" s="590"/>
    </row>
    <row r="14" spans="1:12">
      <c r="A14" s="645">
        <f t="shared" si="0"/>
        <v>5</v>
      </c>
      <c r="B14" s="683"/>
      <c r="C14" s="524" t="s">
        <v>1778</v>
      </c>
      <c r="D14" s="536">
        <f t="shared" ref="D14" si="1">SUM(D10:D13)</f>
        <v>-1310937723.6375351</v>
      </c>
      <c r="E14" s="612" t="str">
        <f>"Sum of Lines "&amp;A10&amp;" to "&amp;A13&amp;""</f>
        <v>Sum of Lines 1 to 4</v>
      </c>
      <c r="J14" s="241"/>
      <c r="K14" s="590"/>
      <c r="L14" s="590"/>
    </row>
    <row r="15" spans="1:12">
      <c r="A15" s="645">
        <f t="shared" si="0"/>
        <v>6</v>
      </c>
      <c r="B15" s="683"/>
      <c r="D15" s="251"/>
      <c r="E15" s="251"/>
      <c r="G15" s="593"/>
      <c r="H15" s="260"/>
      <c r="I15" s="251"/>
      <c r="J15" s="241"/>
      <c r="K15" s="590"/>
      <c r="L15" s="590"/>
    </row>
    <row r="16" spans="1:12">
      <c r="A16" s="645">
        <f t="shared" si="0"/>
        <v>7</v>
      </c>
      <c r="B16" s="685" t="s">
        <v>1777</v>
      </c>
      <c r="E16" s="251"/>
      <c r="G16" s="592"/>
      <c r="H16" s="594"/>
      <c r="I16" s="592"/>
      <c r="J16" s="241"/>
      <c r="K16" s="590"/>
      <c r="L16" s="590"/>
    </row>
    <row r="17" spans="1:12">
      <c r="A17" s="645">
        <f t="shared" si="0"/>
        <v>8</v>
      </c>
      <c r="B17" s="685"/>
      <c r="D17" s="117" t="s">
        <v>423</v>
      </c>
      <c r="E17" s="251"/>
      <c r="G17" s="592"/>
      <c r="H17" s="594"/>
      <c r="I17" s="592"/>
      <c r="J17" s="241"/>
      <c r="K17" s="590"/>
      <c r="L17" s="590"/>
    </row>
    <row r="18" spans="1:12">
      <c r="A18" s="645">
        <f t="shared" si="0"/>
        <v>9</v>
      </c>
      <c r="B18" s="683"/>
      <c r="D18" s="131" t="s">
        <v>220</v>
      </c>
      <c r="E18" s="379" t="s">
        <v>198</v>
      </c>
      <c r="G18" s="595"/>
      <c r="H18" s="592"/>
      <c r="I18" s="592"/>
      <c r="J18" s="241"/>
      <c r="K18" s="590"/>
      <c r="L18" s="590"/>
    </row>
    <row r="19" spans="1:12">
      <c r="A19" s="645">
        <f t="shared" si="0"/>
        <v>10</v>
      </c>
      <c r="B19" s="683"/>
      <c r="C19" s="524" t="s">
        <v>1778</v>
      </c>
      <c r="D19" s="557">
        <v>-1268182634.6313927</v>
      </c>
      <c r="E19" s="503" t="str">
        <f>"Previous Year Informational Filing, Line "&amp;A14&amp;", Col. 2"</f>
        <v>Previous Year Informational Filing, Line 5, Col. 2</v>
      </c>
      <c r="G19" s="592"/>
      <c r="H19" s="592"/>
      <c r="I19" s="592"/>
      <c r="K19" s="590"/>
      <c r="L19" s="590"/>
    </row>
    <row r="20" spans="1:12">
      <c r="A20" s="645">
        <f t="shared" si="0"/>
        <v>11</v>
      </c>
      <c r="B20" s="683"/>
      <c r="D20" s="251"/>
      <c r="E20" s="251"/>
      <c r="F20" s="592"/>
      <c r="G20" s="592"/>
      <c r="H20" s="592"/>
      <c r="I20" s="592"/>
      <c r="J20" s="241"/>
      <c r="K20" s="590"/>
      <c r="L20" s="590"/>
    </row>
    <row r="21" spans="1:12">
      <c r="A21" s="645">
        <f t="shared" si="0"/>
        <v>12</v>
      </c>
      <c r="B21" s="685" t="s">
        <v>1779</v>
      </c>
      <c r="D21" s="251"/>
      <c r="E21" s="251"/>
      <c r="F21" s="592"/>
      <c r="G21" s="592"/>
      <c r="H21" s="592"/>
      <c r="I21" s="592"/>
      <c r="J21" s="241"/>
      <c r="K21" s="590"/>
      <c r="L21" s="590"/>
    </row>
    <row r="22" spans="1:12">
      <c r="A22" s="645">
        <f t="shared" si="0"/>
        <v>13</v>
      </c>
      <c r="B22" s="684"/>
      <c r="C22" s="686"/>
      <c r="D22" s="687" t="s">
        <v>255</v>
      </c>
      <c r="E22" s="241"/>
      <c r="F22" s="241"/>
      <c r="G22" s="241"/>
      <c r="H22" s="241"/>
      <c r="I22" s="241"/>
      <c r="J22" s="241"/>
      <c r="K22" s="590"/>
      <c r="L22" s="590"/>
    </row>
    <row r="23" spans="1:12">
      <c r="A23" s="645">
        <f t="shared" si="0"/>
        <v>14</v>
      </c>
      <c r="B23" s="684"/>
      <c r="D23" s="131" t="s">
        <v>220</v>
      </c>
      <c r="E23" s="379" t="s">
        <v>198</v>
      </c>
      <c r="F23" s="241"/>
      <c r="G23" s="595"/>
      <c r="H23" s="241"/>
      <c r="I23" s="241"/>
      <c r="J23" s="241"/>
      <c r="K23" s="590"/>
      <c r="L23" s="590"/>
    </row>
    <row r="24" spans="1:12">
      <c r="A24" s="645">
        <f t="shared" si="0"/>
        <v>15</v>
      </c>
      <c r="B24" s="684"/>
      <c r="C24" s="688" t="s">
        <v>1780</v>
      </c>
      <c r="D24" s="1304">
        <f>(D14+D19)/2</f>
        <v>-1289560179.1344638</v>
      </c>
      <c r="E24" s="260" t="str">
        <f>"Average of Line "&amp;A14&amp;" and Line "&amp;A19&amp;""</f>
        <v>Average of Line 5 and Line 10</v>
      </c>
      <c r="F24" s="241"/>
      <c r="G24" s="592"/>
      <c r="H24" s="241"/>
      <c r="I24" s="241"/>
      <c r="J24" s="241"/>
      <c r="K24" s="590"/>
      <c r="L24" s="590"/>
    </row>
    <row r="25" spans="1:12">
      <c r="A25" s="645"/>
      <c r="B25" s="684"/>
      <c r="C25" s="686"/>
      <c r="D25" s="689"/>
      <c r="E25" s="241"/>
      <c r="F25" s="241"/>
      <c r="G25" s="241"/>
      <c r="H25" s="241"/>
      <c r="I25" s="241"/>
      <c r="J25" s="241"/>
      <c r="K25" s="590"/>
      <c r="L25" s="590"/>
    </row>
    <row r="26" spans="1:12">
      <c r="A26" s="645"/>
      <c r="B26" s="683" t="s">
        <v>1781</v>
      </c>
      <c r="C26" s="686"/>
      <c r="D26" s="689"/>
      <c r="E26" s="241"/>
      <c r="F26" s="241"/>
      <c r="G26" s="241"/>
      <c r="H26" s="241"/>
      <c r="I26" s="241"/>
      <c r="J26" s="241"/>
    </row>
    <row r="27" spans="1:12">
      <c r="A27" s="645"/>
      <c r="B27" s="683"/>
      <c r="C27" s="91" t="s">
        <v>394</v>
      </c>
      <c r="D27" s="91" t="s">
        <v>378</v>
      </c>
      <c r="E27" s="91" t="s">
        <v>379</v>
      </c>
      <c r="F27" s="91" t="s">
        <v>380</v>
      </c>
      <c r="G27" s="91" t="s">
        <v>381</v>
      </c>
      <c r="H27" s="91" t="s">
        <v>382</v>
      </c>
      <c r="I27" s="91" t="s">
        <v>383</v>
      </c>
      <c r="J27" s="241"/>
    </row>
    <row r="28" spans="1:12">
      <c r="A28" s="522"/>
      <c r="B28" s="687"/>
      <c r="C28" s="687"/>
      <c r="D28" s="687" t="s">
        <v>1782</v>
      </c>
      <c r="E28" s="687" t="s">
        <v>1783</v>
      </c>
      <c r="F28" s="687"/>
      <c r="G28" s="687"/>
      <c r="H28" s="687" t="s">
        <v>1424</v>
      </c>
      <c r="I28" s="1047" t="s">
        <v>2290</v>
      </c>
      <c r="J28" s="241"/>
    </row>
    <row r="29" spans="1:12">
      <c r="A29" s="522"/>
      <c r="B29" s="690" t="s">
        <v>1784</v>
      </c>
      <c r="C29" s="690" t="s">
        <v>1785</v>
      </c>
      <c r="D29" s="690" t="s">
        <v>1786</v>
      </c>
      <c r="E29" s="690" t="s">
        <v>1787</v>
      </c>
      <c r="F29" s="690" t="s">
        <v>1788</v>
      </c>
      <c r="G29" s="690" t="s">
        <v>1789</v>
      </c>
      <c r="H29" s="690" t="s">
        <v>1776</v>
      </c>
      <c r="I29" s="690" t="s">
        <v>111</v>
      </c>
      <c r="J29" s="241"/>
    </row>
    <row r="30" spans="1:12">
      <c r="A30" s="645"/>
      <c r="B30" s="684" t="s">
        <v>1791</v>
      </c>
      <c r="C30" s="684"/>
      <c r="D30" s="684"/>
      <c r="E30" s="241"/>
      <c r="F30" s="241"/>
      <c r="G30" s="241"/>
      <c r="H30" s="241"/>
      <c r="I30" s="241"/>
      <c r="J30" s="241"/>
      <c r="K30"/>
    </row>
    <row r="31" spans="1:12">
      <c r="A31" s="199">
        <f>100</f>
        <v>100</v>
      </c>
      <c r="B31" s="1199">
        <v>190</v>
      </c>
      <c r="C31" s="1185" t="s">
        <v>2854</v>
      </c>
      <c r="D31" s="1186">
        <v>901997</v>
      </c>
      <c r="E31" s="1201">
        <f>D31*$G194</f>
        <v>704.38970424315187</v>
      </c>
      <c r="F31" s="1198"/>
      <c r="G31" s="1201">
        <f>D31-E31</f>
        <v>901292.61029575684</v>
      </c>
      <c r="H31" s="1201"/>
      <c r="I31" s="1202" t="s">
        <v>2855</v>
      </c>
      <c r="J31" s="1190"/>
    </row>
    <row r="32" spans="1:12">
      <c r="A32" s="199">
        <f t="shared" ref="A32:A53" si="2">A31+1</f>
        <v>101</v>
      </c>
      <c r="B32" s="1199">
        <v>190</v>
      </c>
      <c r="C32" s="1185" t="s">
        <v>2856</v>
      </c>
      <c r="D32" s="1186">
        <v>2421841</v>
      </c>
      <c r="E32" s="1201">
        <f>(0.5*(G186*D32))+(0.5*D32)</f>
        <v>1214388.4186098499</v>
      </c>
      <c r="F32" s="1198"/>
      <c r="G32" s="1201"/>
      <c r="H32" s="1201">
        <f>D32-E32</f>
        <v>1207452.5813901501</v>
      </c>
      <c r="I32" s="1202" t="s">
        <v>2857</v>
      </c>
      <c r="J32" s="1190"/>
    </row>
    <row r="33" spans="1:11">
      <c r="A33" s="1197">
        <f t="shared" si="2"/>
        <v>102</v>
      </c>
      <c r="B33" s="1199">
        <v>190</v>
      </c>
      <c r="C33" s="1185" t="s">
        <v>2858</v>
      </c>
      <c r="D33" s="1186">
        <v>0</v>
      </c>
      <c r="E33" s="1201">
        <f>D33</f>
        <v>0</v>
      </c>
      <c r="F33" s="1198"/>
      <c r="G33" s="1201"/>
      <c r="H33" s="1201"/>
      <c r="I33" s="1202" t="s">
        <v>2859</v>
      </c>
      <c r="J33" s="1190"/>
      <c r="K33"/>
    </row>
    <row r="34" spans="1:11">
      <c r="A34" s="1197">
        <f t="shared" si="2"/>
        <v>103</v>
      </c>
      <c r="B34" s="1199">
        <v>190</v>
      </c>
      <c r="C34" s="1185" t="s">
        <v>2860</v>
      </c>
      <c r="D34" s="1186">
        <v>0</v>
      </c>
      <c r="E34" s="1201">
        <f>D34*G194</f>
        <v>0</v>
      </c>
      <c r="F34" s="1201"/>
      <c r="G34" s="1201">
        <f>D34-E34</f>
        <v>0</v>
      </c>
      <c r="H34" s="1292"/>
      <c r="I34" s="1202" t="s">
        <v>2855</v>
      </c>
      <c r="J34" s="1190"/>
    </row>
    <row r="35" spans="1:11">
      <c r="A35" s="1197">
        <f t="shared" si="2"/>
        <v>104</v>
      </c>
      <c r="B35" s="1199">
        <v>190</v>
      </c>
      <c r="C35" s="1185" t="s">
        <v>2861</v>
      </c>
      <c r="D35" s="1186">
        <v>1053008</v>
      </c>
      <c r="E35" s="1201">
        <f>D35*G194</f>
        <v>822.31758385634635</v>
      </c>
      <c r="F35" s="1198"/>
      <c r="G35" s="1201">
        <f>D35-E35</f>
        <v>1052185.6824161436</v>
      </c>
      <c r="H35" s="1201"/>
      <c r="I35" s="1202" t="s">
        <v>2855</v>
      </c>
      <c r="J35" s="1190"/>
    </row>
    <row r="36" spans="1:11" ht="12.75" customHeight="1">
      <c r="A36" s="1197">
        <f t="shared" si="2"/>
        <v>105</v>
      </c>
      <c r="B36" s="1199">
        <v>190</v>
      </c>
      <c r="C36" s="1185" t="s">
        <v>2862</v>
      </c>
      <c r="D36" s="1186">
        <v>1514751</v>
      </c>
      <c r="E36" s="1201">
        <f>(0.5*(G186*D36))+(0.5*D36)</f>
        <v>759544.52479650348</v>
      </c>
      <c r="F36" s="1198"/>
      <c r="G36" s="1201"/>
      <c r="H36" s="1201">
        <f>D36-E36</f>
        <v>755206.47520349652</v>
      </c>
      <c r="I36" s="1202" t="s">
        <v>2857</v>
      </c>
      <c r="J36" s="1190"/>
    </row>
    <row r="37" spans="1:11">
      <c r="A37" s="1197">
        <f t="shared" si="2"/>
        <v>106</v>
      </c>
      <c r="B37" s="1199">
        <v>190</v>
      </c>
      <c r="C37" s="1185" t="s">
        <v>2863</v>
      </c>
      <c r="D37" s="1186">
        <v>59625829</v>
      </c>
      <c r="E37" s="1201">
        <f>D37*G186</f>
        <v>170760.60898864162</v>
      </c>
      <c r="F37" s="1198"/>
      <c r="G37" s="1201"/>
      <c r="H37" s="1201">
        <f>D37-E37</f>
        <v>59455068.391011357</v>
      </c>
      <c r="I37" s="1202" t="s">
        <v>2857</v>
      </c>
      <c r="J37" s="1190"/>
    </row>
    <row r="38" spans="1:11">
      <c r="A38" s="1197">
        <f t="shared" si="2"/>
        <v>107</v>
      </c>
      <c r="B38" s="1199">
        <v>190</v>
      </c>
      <c r="C38" s="1185" t="s">
        <v>2864</v>
      </c>
      <c r="D38" s="1186">
        <v>18523690</v>
      </c>
      <c r="E38" s="1201">
        <f>D38*G186</f>
        <v>53049.435759070293</v>
      </c>
      <c r="F38" s="1198"/>
      <c r="G38" s="1201"/>
      <c r="H38" s="1201">
        <f>D38-E38</f>
        <v>18470640.564240929</v>
      </c>
      <c r="I38" s="1202" t="s">
        <v>2857</v>
      </c>
      <c r="J38" s="1190"/>
    </row>
    <row r="39" spans="1:11">
      <c r="A39" s="1197">
        <f t="shared" si="2"/>
        <v>108</v>
      </c>
      <c r="B39" s="1199">
        <v>190</v>
      </c>
      <c r="C39" s="1185" t="s">
        <v>2865</v>
      </c>
      <c r="D39" s="1186">
        <v>0</v>
      </c>
      <c r="E39" s="1201">
        <f>D39*G194</f>
        <v>0</v>
      </c>
      <c r="F39" s="1198"/>
      <c r="G39" s="1201">
        <f>D39-E39</f>
        <v>0</v>
      </c>
      <c r="H39" s="1201"/>
      <c r="I39" s="1202" t="s">
        <v>2855</v>
      </c>
      <c r="J39" s="1190"/>
    </row>
    <row r="40" spans="1:11">
      <c r="A40" s="1197">
        <f t="shared" si="2"/>
        <v>109</v>
      </c>
      <c r="B40" s="1199">
        <v>190</v>
      </c>
      <c r="C40" s="1185" t="s">
        <v>2866</v>
      </c>
      <c r="D40" s="1186">
        <v>0</v>
      </c>
      <c r="E40" s="1201">
        <f>D40*G194</f>
        <v>0</v>
      </c>
      <c r="F40" s="1198"/>
      <c r="G40" s="1201">
        <f>D40-E40</f>
        <v>0</v>
      </c>
      <c r="H40" s="1201"/>
      <c r="I40" s="1202" t="s">
        <v>2855</v>
      </c>
      <c r="J40" s="1190"/>
    </row>
    <row r="41" spans="1:11">
      <c r="A41" s="1197">
        <f t="shared" si="2"/>
        <v>110</v>
      </c>
      <c r="B41" s="1199">
        <v>190</v>
      </c>
      <c r="C41" s="1185" t="s">
        <v>2867</v>
      </c>
      <c r="D41" s="1186">
        <v>53413524</v>
      </c>
      <c r="E41" s="1201">
        <f>D41*G186</f>
        <v>152969.37651750594</v>
      </c>
      <c r="F41" s="557"/>
      <c r="G41" s="1201"/>
      <c r="H41" s="1201">
        <f>D41-E41</f>
        <v>53260554.623482496</v>
      </c>
      <c r="I41" s="1202" t="s">
        <v>2857</v>
      </c>
      <c r="J41" s="832"/>
    </row>
    <row r="42" spans="1:11">
      <c r="A42" s="1197">
        <f t="shared" si="2"/>
        <v>111</v>
      </c>
      <c r="B42" s="1199">
        <v>190</v>
      </c>
      <c r="C42" s="1185" t="s">
        <v>2868</v>
      </c>
      <c r="D42" s="1186">
        <v>1129064</v>
      </c>
      <c r="E42" s="1201">
        <f>D42*G194</f>
        <v>881.71142146990508</v>
      </c>
      <c r="F42" s="1198"/>
      <c r="G42" s="1201">
        <f>D42-E42</f>
        <v>1128182.2885785301</v>
      </c>
      <c r="H42" s="1201"/>
      <c r="I42" s="1202" t="s">
        <v>2855</v>
      </c>
      <c r="J42" s="1190"/>
    </row>
    <row r="43" spans="1:11">
      <c r="A43" s="1197">
        <f t="shared" si="2"/>
        <v>112</v>
      </c>
      <c r="B43" s="1199">
        <v>190</v>
      </c>
      <c r="C43" s="1185" t="s">
        <v>2869</v>
      </c>
      <c r="D43" s="1186">
        <v>1659914</v>
      </c>
      <c r="E43" s="1201">
        <f>D43*G194</f>
        <v>1296.2641023518561</v>
      </c>
      <c r="F43" s="1198"/>
      <c r="G43" s="1201">
        <f>D43-E43</f>
        <v>1658617.7358976481</v>
      </c>
      <c r="H43" s="1201"/>
      <c r="I43" s="1202" t="s">
        <v>2855</v>
      </c>
      <c r="J43" s="1190"/>
    </row>
    <row r="44" spans="1:11">
      <c r="A44" s="1197">
        <f t="shared" si="2"/>
        <v>113</v>
      </c>
      <c r="B44" s="1199">
        <v>190</v>
      </c>
      <c r="C44" s="1185" t="s">
        <v>2870</v>
      </c>
      <c r="D44" s="1186">
        <v>0</v>
      </c>
      <c r="E44" s="1201"/>
      <c r="F44" s="1198">
        <f>D44</f>
        <v>0</v>
      </c>
      <c r="G44" s="1201"/>
      <c r="H44" s="1201"/>
      <c r="I44" s="1202" t="s">
        <v>2871</v>
      </c>
      <c r="J44" s="1190"/>
    </row>
    <row r="45" spans="1:11">
      <c r="A45" s="1197">
        <f t="shared" si="2"/>
        <v>114</v>
      </c>
      <c r="B45" s="1199">
        <v>190</v>
      </c>
      <c r="C45" s="1185" t="s">
        <v>2872</v>
      </c>
      <c r="D45" s="1186">
        <v>392262808</v>
      </c>
      <c r="E45" s="1201">
        <f>D45</f>
        <v>392262808</v>
      </c>
      <c r="F45" s="1198"/>
      <c r="G45" s="1201"/>
      <c r="H45" s="1198"/>
      <c r="I45" s="1202" t="s">
        <v>2873</v>
      </c>
      <c r="J45" s="1190"/>
    </row>
    <row r="46" spans="1:11">
      <c r="A46" s="1197">
        <f t="shared" si="2"/>
        <v>115</v>
      </c>
      <c r="B46" s="1199">
        <v>190</v>
      </c>
      <c r="C46" s="1185" t="s">
        <v>2874</v>
      </c>
      <c r="D46" s="1186">
        <v>5763000</v>
      </c>
      <c r="E46" s="1201">
        <f t="shared" ref="E46:E51" si="3">D46</f>
        <v>5763000</v>
      </c>
      <c r="F46" s="1198"/>
      <c r="G46" s="1201"/>
      <c r="H46" s="1198"/>
      <c r="I46" s="1202" t="s">
        <v>2875</v>
      </c>
      <c r="J46" s="1190"/>
    </row>
    <row r="47" spans="1:11" s="1189" customFormat="1">
      <c r="A47" s="1197">
        <f t="shared" si="2"/>
        <v>116</v>
      </c>
      <c r="B47" s="1199">
        <v>190</v>
      </c>
      <c r="C47" s="1185" t="s">
        <v>2876</v>
      </c>
      <c r="D47" s="1186">
        <v>93832501</v>
      </c>
      <c r="E47" s="1201">
        <f t="shared" si="3"/>
        <v>93832501</v>
      </c>
      <c r="F47" s="1198"/>
      <c r="G47" s="1198"/>
      <c r="H47" s="1198"/>
      <c r="I47" s="1204" t="s">
        <v>3004</v>
      </c>
      <c r="J47" s="1190"/>
      <c r="K47" s="14"/>
    </row>
    <row r="48" spans="1:11" s="1189" customFormat="1">
      <c r="A48" s="1197">
        <f t="shared" si="2"/>
        <v>117</v>
      </c>
      <c r="B48" s="1199">
        <v>190</v>
      </c>
      <c r="C48" s="1185" t="s">
        <v>2877</v>
      </c>
      <c r="D48" s="1186">
        <v>19532301</v>
      </c>
      <c r="E48" s="1201">
        <f>D48*G186</f>
        <v>55937.966308350253</v>
      </c>
      <c r="F48" s="1198"/>
      <c r="G48" s="1198"/>
      <c r="H48" s="1198">
        <f>D48-E48</f>
        <v>19476363.033691648</v>
      </c>
      <c r="I48" s="1202" t="s">
        <v>2857</v>
      </c>
      <c r="J48" s="1190"/>
      <c r="K48" s="14"/>
    </row>
    <row r="49" spans="1:12">
      <c r="A49" s="1197">
        <f t="shared" si="2"/>
        <v>118</v>
      </c>
      <c r="B49" s="1199">
        <v>190</v>
      </c>
      <c r="C49" s="1185" t="s">
        <v>2878</v>
      </c>
      <c r="D49" s="1186">
        <v>16640333</v>
      </c>
      <c r="E49" s="1201">
        <f t="shared" si="3"/>
        <v>16640333</v>
      </c>
      <c r="F49" s="1198"/>
      <c r="G49" s="1198"/>
      <c r="H49" s="1198"/>
      <c r="I49" s="1202" t="s">
        <v>2879</v>
      </c>
      <c r="J49" s="1190"/>
    </row>
    <row r="50" spans="1:12">
      <c r="A50" s="1197">
        <f t="shared" si="2"/>
        <v>119</v>
      </c>
      <c r="B50" s="1199">
        <v>190</v>
      </c>
      <c r="C50" s="1185" t="s">
        <v>2880</v>
      </c>
      <c r="D50" s="1186">
        <v>16156752</v>
      </c>
      <c r="E50" s="1201">
        <f t="shared" si="3"/>
        <v>16156752</v>
      </c>
      <c r="F50" s="1198"/>
      <c r="G50" s="1198"/>
      <c r="H50" s="1198"/>
      <c r="I50" s="1202" t="s">
        <v>2909</v>
      </c>
      <c r="J50" s="1190"/>
    </row>
    <row r="51" spans="1:12">
      <c r="A51" s="1197">
        <f t="shared" si="2"/>
        <v>120</v>
      </c>
      <c r="B51" s="1199">
        <v>190</v>
      </c>
      <c r="C51" s="1185" t="s">
        <v>2881</v>
      </c>
      <c r="D51" s="1263">
        <v>330557869</v>
      </c>
      <c r="E51" s="1201">
        <f t="shared" si="3"/>
        <v>330557869</v>
      </c>
      <c r="F51" s="1198"/>
      <c r="G51" s="1198"/>
      <c r="H51" s="1198"/>
      <c r="I51" s="1202" t="s">
        <v>2882</v>
      </c>
      <c r="J51" s="1190"/>
    </row>
    <row r="52" spans="1:12" s="1189" customFormat="1">
      <c r="A52" s="1197">
        <f t="shared" si="2"/>
        <v>121</v>
      </c>
      <c r="B52" s="1199">
        <v>190</v>
      </c>
      <c r="C52" s="1185" t="s">
        <v>3005</v>
      </c>
      <c r="D52" s="1186">
        <v>39349904</v>
      </c>
      <c r="E52" s="557">
        <v>0</v>
      </c>
      <c r="F52" s="1198"/>
      <c r="G52" s="1198">
        <f>D52</f>
        <v>39349904</v>
      </c>
      <c r="H52" s="1198"/>
      <c r="I52" s="1196" t="s">
        <v>3006</v>
      </c>
      <c r="J52" s="1190"/>
      <c r="K52" s="14"/>
    </row>
    <row r="53" spans="1:12" s="1189" customFormat="1">
      <c r="A53" s="1197">
        <f t="shared" si="2"/>
        <v>122</v>
      </c>
      <c r="B53" s="1199">
        <v>190</v>
      </c>
      <c r="C53" s="1185" t="s">
        <v>3007</v>
      </c>
      <c r="D53" s="1186">
        <v>127232426</v>
      </c>
      <c r="E53" s="1198">
        <f>D53</f>
        <v>127232426</v>
      </c>
      <c r="F53" s="1198"/>
      <c r="G53" s="1198"/>
      <c r="H53" s="1198"/>
      <c r="I53" s="1204" t="s">
        <v>2892</v>
      </c>
      <c r="J53" s="1190"/>
      <c r="K53" s="14"/>
    </row>
    <row r="54" spans="1:12">
      <c r="A54" s="117"/>
      <c r="B54" s="693"/>
      <c r="C54" s="694"/>
      <c r="D54" s="695"/>
      <c r="E54" s="245"/>
      <c r="F54" s="245"/>
      <c r="G54" s="245"/>
      <c r="H54" s="245"/>
      <c r="I54" s="251"/>
      <c r="J54" s="251"/>
      <c r="K54" s="590"/>
      <c r="L54" s="590"/>
    </row>
    <row r="55" spans="1:12">
      <c r="A55" s="117"/>
      <c r="B55" s="683" t="s">
        <v>1792</v>
      </c>
      <c r="C55" s="686"/>
      <c r="D55" s="689"/>
      <c r="E55" s="241"/>
      <c r="F55" s="241"/>
      <c r="G55" s="241"/>
      <c r="H55" s="241"/>
      <c r="I55" s="241"/>
      <c r="J55" s="251"/>
      <c r="K55" s="590"/>
      <c r="L55" s="590"/>
    </row>
    <row r="56" spans="1:12">
      <c r="A56" s="117"/>
      <c r="B56" s="683"/>
      <c r="C56" s="91" t="s">
        <v>394</v>
      </c>
      <c r="D56" s="91" t="s">
        <v>378</v>
      </c>
      <c r="E56" s="91" t="s">
        <v>379</v>
      </c>
      <c r="F56" s="91" t="s">
        <v>380</v>
      </c>
      <c r="G56" s="91" t="s">
        <v>381</v>
      </c>
      <c r="H56" s="91" t="s">
        <v>382</v>
      </c>
      <c r="I56" s="91" t="s">
        <v>383</v>
      </c>
      <c r="J56" s="251"/>
      <c r="K56" s="590"/>
      <c r="L56" s="590"/>
    </row>
    <row r="57" spans="1:12">
      <c r="A57" s="117"/>
      <c r="B57" s="687"/>
      <c r="C57" s="687"/>
      <c r="D57" s="687" t="s">
        <v>1782</v>
      </c>
      <c r="E57" s="687" t="s">
        <v>1783</v>
      </c>
      <c r="F57" s="687"/>
      <c r="G57" s="687"/>
      <c r="H57" s="687"/>
      <c r="I57" s="1047" t="s">
        <v>2290</v>
      </c>
      <c r="J57" s="251"/>
      <c r="K57" s="590"/>
      <c r="L57" s="590"/>
    </row>
    <row r="58" spans="1:12">
      <c r="A58" s="117"/>
      <c r="B58" s="690" t="s">
        <v>1784</v>
      </c>
      <c r="C58" s="690" t="s">
        <v>1785</v>
      </c>
      <c r="D58" s="690" t="s">
        <v>1786</v>
      </c>
      <c r="E58" s="690" t="s">
        <v>1787</v>
      </c>
      <c r="F58" s="690" t="s">
        <v>1788</v>
      </c>
      <c r="G58" s="690" t="s">
        <v>1789</v>
      </c>
      <c r="H58" s="690" t="s">
        <v>1790</v>
      </c>
      <c r="I58" s="690" t="s">
        <v>111</v>
      </c>
      <c r="J58" s="251"/>
      <c r="K58" s="590"/>
      <c r="L58" s="590"/>
    </row>
    <row r="59" spans="1:12">
      <c r="A59" s="117"/>
      <c r="B59" s="684" t="s">
        <v>1791</v>
      </c>
      <c r="C59" s="684"/>
      <c r="D59" s="684"/>
      <c r="E59" s="241"/>
      <c r="F59" s="241"/>
      <c r="G59" s="241"/>
      <c r="H59" s="241"/>
      <c r="I59" s="241"/>
      <c r="J59" s="251"/>
      <c r="K59" s="590"/>
      <c r="L59" s="590"/>
    </row>
    <row r="60" spans="1:12">
      <c r="A60" s="199">
        <f>A53+1</f>
        <v>123</v>
      </c>
      <c r="B60" s="1183" t="s">
        <v>564</v>
      </c>
      <c r="C60" s="691"/>
      <c r="D60" s="692"/>
      <c r="E60" s="246"/>
      <c r="F60" s="246"/>
      <c r="G60" s="246"/>
      <c r="H60" s="246"/>
      <c r="I60" s="429"/>
      <c r="J60" s="429"/>
      <c r="K60" s="590"/>
      <c r="L60" s="590"/>
    </row>
    <row r="61" spans="1:12">
      <c r="A61" s="645"/>
      <c r="B61" s="696"/>
      <c r="C61" s="684"/>
      <c r="D61" s="697"/>
      <c r="E61" s="243"/>
      <c r="F61" s="243"/>
      <c r="G61" s="243"/>
      <c r="H61" s="243"/>
      <c r="I61" s="379" t="s">
        <v>198</v>
      </c>
      <c r="J61" s="241"/>
      <c r="K61" s="590"/>
      <c r="L61" s="590"/>
    </row>
    <row r="62" spans="1:12">
      <c r="A62" s="117">
        <v>250</v>
      </c>
      <c r="B62" s="684"/>
      <c r="C62" s="684" t="s">
        <v>1793</v>
      </c>
      <c r="D62" s="707">
        <f>SUM(D31:D53)+SUM(D60:D60)</f>
        <v>1181571512</v>
      </c>
      <c r="E62" s="707">
        <f>SUM(E31:E53)+SUM(E60:E60)</f>
        <v>984856044.0137918</v>
      </c>
      <c r="F62" s="698">
        <f>SUM(F31:F53)+SUM(F60:F60)</f>
        <v>0</v>
      </c>
      <c r="G62" s="698">
        <f>SUM(G31:G53)+SUM(G60:G60)</f>
        <v>44090182.317188077</v>
      </c>
      <c r="H62" s="698">
        <f>SUM(H31:H53)+SUM(H60:H60)</f>
        <v>152625285.66902009</v>
      </c>
      <c r="I62" s="260" t="str">
        <f>"Sum of Above Lines beginning on Line "&amp;A31&amp;""</f>
        <v>Sum of Above Lines beginning on Line 100</v>
      </c>
      <c r="J62" s="241"/>
      <c r="K62" s="590"/>
      <c r="L62" s="590"/>
    </row>
    <row r="63" spans="1:12">
      <c r="A63" s="645"/>
      <c r="B63" s="684"/>
      <c r="C63" s="684"/>
      <c r="D63" s="699"/>
      <c r="E63" s="243"/>
      <c r="F63" s="243"/>
      <c r="G63" s="243"/>
      <c r="H63" s="243"/>
      <c r="I63" s="241"/>
      <c r="J63" s="241"/>
    </row>
    <row r="64" spans="1:12">
      <c r="A64" s="645"/>
      <c r="B64" s="684" t="s">
        <v>1794</v>
      </c>
      <c r="C64" s="684"/>
      <c r="D64" s="699"/>
      <c r="E64" s="243"/>
      <c r="F64" s="243"/>
      <c r="G64" s="243"/>
      <c r="H64" s="243"/>
      <c r="I64" s="1047" t="s">
        <v>2290</v>
      </c>
      <c r="J64" s="241"/>
    </row>
    <row r="65" spans="1:10">
      <c r="A65" s="645"/>
      <c r="C65" s="91" t="s">
        <v>394</v>
      </c>
      <c r="D65" s="91" t="s">
        <v>378</v>
      </c>
      <c r="E65" s="91" t="s">
        <v>379</v>
      </c>
      <c r="F65" s="91" t="s">
        <v>380</v>
      </c>
      <c r="G65" s="91" t="s">
        <v>381</v>
      </c>
      <c r="H65" s="91" t="s">
        <v>382</v>
      </c>
      <c r="I65" s="91" t="s">
        <v>383</v>
      </c>
      <c r="J65" s="241"/>
    </row>
    <row r="66" spans="1:10">
      <c r="A66" s="199">
        <v>300</v>
      </c>
      <c r="B66" s="1184">
        <v>190</v>
      </c>
      <c r="C66" s="1185" t="s">
        <v>2883</v>
      </c>
      <c r="D66" s="1186"/>
      <c r="E66" s="1187"/>
      <c r="F66" s="1187"/>
      <c r="G66" s="1187"/>
      <c r="H66" s="1187"/>
      <c r="I66" s="1188" t="s">
        <v>2884</v>
      </c>
      <c r="J66" s="831"/>
    </row>
    <row r="67" spans="1:10">
      <c r="A67" s="199">
        <f t="shared" ref="A67:A69" si="4">A66+1</f>
        <v>301</v>
      </c>
      <c r="B67" s="1184">
        <v>190</v>
      </c>
      <c r="C67" s="1185" t="s">
        <v>2874</v>
      </c>
      <c r="D67" s="1186"/>
      <c r="E67" s="1187"/>
      <c r="F67" s="1187"/>
      <c r="G67" s="1187"/>
      <c r="H67" s="1187"/>
      <c r="I67" s="1188" t="s">
        <v>2884</v>
      </c>
      <c r="J67" s="831"/>
    </row>
    <row r="68" spans="1:10">
      <c r="A68" s="199">
        <f t="shared" si="4"/>
        <v>302</v>
      </c>
      <c r="B68" s="1184">
        <v>190</v>
      </c>
      <c r="C68" s="1185" t="s">
        <v>2885</v>
      </c>
      <c r="D68" s="1186"/>
      <c r="E68" s="1187"/>
      <c r="F68" s="1187"/>
      <c r="G68" s="1187"/>
      <c r="H68" s="1187"/>
      <c r="I68" s="1188" t="s">
        <v>2884</v>
      </c>
      <c r="J68" s="831"/>
    </row>
    <row r="69" spans="1:10">
      <c r="A69" s="199">
        <f t="shared" si="4"/>
        <v>303</v>
      </c>
      <c r="B69" s="1199" t="s">
        <v>564</v>
      </c>
      <c r="C69" s="1185"/>
      <c r="D69" s="1186"/>
      <c r="E69" s="1187"/>
      <c r="F69" s="1187"/>
      <c r="G69" s="1187"/>
      <c r="H69" s="1187"/>
      <c r="I69" s="1188"/>
      <c r="J69" s="831"/>
    </row>
    <row r="70" spans="1:10">
      <c r="A70" s="645"/>
      <c r="B70" s="696"/>
      <c r="C70" s="694"/>
      <c r="D70" s="695"/>
      <c r="E70" s="245"/>
      <c r="F70" s="245"/>
      <c r="G70" s="245"/>
      <c r="H70" s="245"/>
      <c r="I70" s="251"/>
      <c r="J70" s="251"/>
    </row>
    <row r="71" spans="1:10">
      <c r="A71" s="645"/>
      <c r="B71" s="696"/>
      <c r="C71" s="91" t="s">
        <v>394</v>
      </c>
      <c r="D71" s="91" t="s">
        <v>378</v>
      </c>
      <c r="E71" s="91" t="s">
        <v>379</v>
      </c>
      <c r="F71" s="91" t="s">
        <v>380</v>
      </c>
      <c r="G71" s="91" t="s">
        <v>381</v>
      </c>
      <c r="H71" s="91" t="s">
        <v>382</v>
      </c>
      <c r="I71" s="379" t="s">
        <v>198</v>
      </c>
      <c r="J71" s="241"/>
    </row>
    <row r="72" spans="1:10">
      <c r="A72" s="611">
        <v>350</v>
      </c>
      <c r="B72" s="684"/>
      <c r="C72" s="684" t="s">
        <v>1795</v>
      </c>
      <c r="D72" s="707">
        <f>SUM(D66:D69)</f>
        <v>0</v>
      </c>
      <c r="E72" s="707">
        <f>SUM(E66:E69)</f>
        <v>0</v>
      </c>
      <c r="F72" s="698">
        <f>SUM(F66:F69)</f>
        <v>0</v>
      </c>
      <c r="G72" s="698">
        <f>SUM(G66:G69)</f>
        <v>0</v>
      </c>
      <c r="H72" s="698">
        <f>SUM(H66:H69)</f>
        <v>0</v>
      </c>
      <c r="I72" s="260" t="str">
        <f>"Sum of Above Lines beginning on Line "&amp;A66&amp;""</f>
        <v>Sum of Above Lines beginning on Line 300</v>
      </c>
      <c r="J72" s="241"/>
    </row>
    <row r="73" spans="1:10">
      <c r="A73" s="611"/>
      <c r="B73" s="684"/>
      <c r="C73" s="684"/>
      <c r="D73" s="698"/>
      <c r="E73" s="698"/>
      <c r="F73" s="698"/>
      <c r="G73" s="698"/>
      <c r="H73" s="698"/>
      <c r="I73" s="260"/>
      <c r="J73" s="241"/>
    </row>
    <row r="74" spans="1:10">
      <c r="A74" s="611">
        <f t="shared" ref="A74" si="5">A72+1</f>
        <v>351</v>
      </c>
      <c r="B74" s="684"/>
      <c r="C74" s="684" t="s">
        <v>1796</v>
      </c>
      <c r="D74" s="698">
        <f>+D72+D62</f>
        <v>1181571512</v>
      </c>
      <c r="E74" s="698">
        <f>+E72+E62</f>
        <v>984856044.0137918</v>
      </c>
      <c r="F74" s="698">
        <f>+F72+F62</f>
        <v>0</v>
      </c>
      <c r="G74" s="698">
        <f>+G72+G62</f>
        <v>44090182.317188077</v>
      </c>
      <c r="H74" s="698">
        <f>+H72+H62</f>
        <v>152625285.66902009</v>
      </c>
      <c r="I74" s="596" t="str">
        <f>"Line "&amp;A62&amp;" + Line "&amp;A72&amp;""</f>
        <v>Line 250 + Line 350</v>
      </c>
      <c r="J74" s="241"/>
    </row>
    <row r="75" spans="1:10">
      <c r="A75" s="611">
        <f>+A74+1</f>
        <v>352</v>
      </c>
      <c r="B75" s="684"/>
      <c r="C75" s="684" t="s">
        <v>1847</v>
      </c>
      <c r="D75" s="707"/>
      <c r="E75" s="707"/>
      <c r="F75" s="707"/>
      <c r="G75" s="1302">
        <f>'27-Allocators'!$G$28</f>
        <v>0.19064298583191411</v>
      </c>
      <c r="H75" s="1303">
        <f>'27-Allocators'!$G$15</f>
        <v>6.0220089469584258E-2</v>
      </c>
      <c r="I75" s="837" t="str">
        <f>"27-Allocators Lines "&amp;'27-Allocators'!A28&amp;" and "&amp;'27-Allocators'!A15&amp;" respectively."</f>
        <v>27-Allocators Lines 22 and 9 respectively.</v>
      </c>
      <c r="J75" s="241"/>
    </row>
    <row r="76" spans="1:10">
      <c r="A76" s="611">
        <f>+A75+1</f>
        <v>353</v>
      </c>
      <c r="B76" s="684"/>
      <c r="C76" s="684" t="s">
        <v>1848</v>
      </c>
      <c r="D76" s="707">
        <f>SUM(F76:H76)</f>
        <v>17596592.361131441</v>
      </c>
      <c r="E76" s="707"/>
      <c r="F76" s="1300">
        <f>+F74</f>
        <v>0</v>
      </c>
      <c r="G76" s="1300">
        <f>+G74*G75</f>
        <v>8405484.0028221961</v>
      </c>
      <c r="H76" s="1300">
        <f>+H74*H75</f>
        <v>9191108.3583092447</v>
      </c>
      <c r="I76" s="596" t="str">
        <f>"Line "&amp;A74&amp;" * Line "&amp;A75&amp;" for Cols 5 and 6.  Col. 4 100% ISO."</f>
        <v>Line 351 * Line 352 for Cols 5 and 6.  Col. 4 100% ISO.</v>
      </c>
      <c r="J76" s="241"/>
    </row>
    <row r="77" spans="1:10">
      <c r="A77" s="611"/>
      <c r="B77" s="684"/>
      <c r="C77" s="702" t="s">
        <v>1850</v>
      </c>
      <c r="D77" s="698"/>
      <c r="E77" s="698"/>
      <c r="F77" s="698"/>
      <c r="G77" s="698"/>
      <c r="H77" s="698"/>
      <c r="I77" s="596"/>
      <c r="J77" s="241"/>
    </row>
    <row r="78" spans="1:10">
      <c r="A78" s="611"/>
      <c r="B78" s="684"/>
      <c r="C78" s="684"/>
      <c r="D78" s="698"/>
      <c r="E78" s="698"/>
      <c r="F78" s="698"/>
      <c r="G78" s="698"/>
      <c r="H78" s="698"/>
      <c r="I78" s="596"/>
      <c r="J78" s="241"/>
    </row>
    <row r="79" spans="1:10">
      <c r="A79" s="611">
        <f>+A76+1</f>
        <v>354</v>
      </c>
      <c r="B79" s="684"/>
      <c r="C79" s="684" t="s">
        <v>1797</v>
      </c>
      <c r="D79" s="703">
        <v>1181571512</v>
      </c>
      <c r="E79" s="704" t="str">
        <f>"Must match amount on Line "&amp;A74&amp;", Col. 2"</f>
        <v>Must match amount on Line 351, Col. 2</v>
      </c>
      <c r="G79" s="698"/>
      <c r="H79" s="698"/>
      <c r="I79" s="596" t="s">
        <v>1362</v>
      </c>
      <c r="J79" s="241"/>
    </row>
    <row r="80" spans="1:10">
      <c r="A80" s="645"/>
      <c r="B80" s="684"/>
      <c r="C80" s="684"/>
      <c r="D80" s="705"/>
      <c r="E80" s="705"/>
      <c r="F80" s="705"/>
      <c r="G80" s="705"/>
      <c r="H80" s="705"/>
      <c r="I80" s="597"/>
      <c r="J80" s="241"/>
    </row>
    <row r="81" spans="1:11">
      <c r="A81" s="522"/>
      <c r="B81" s="683" t="s">
        <v>1798</v>
      </c>
      <c r="C81" s="706"/>
      <c r="D81" s="705"/>
      <c r="E81" s="241"/>
      <c r="F81" s="241"/>
      <c r="G81" s="241"/>
      <c r="H81" s="241"/>
      <c r="I81" s="241"/>
      <c r="J81" s="241"/>
    </row>
    <row r="82" spans="1:11">
      <c r="A82" s="522"/>
      <c r="C82" s="91" t="s">
        <v>394</v>
      </c>
      <c r="D82" s="91" t="s">
        <v>378</v>
      </c>
      <c r="E82" s="91" t="s">
        <v>379</v>
      </c>
      <c r="F82" s="91" t="s">
        <v>380</v>
      </c>
      <c r="G82" s="91" t="s">
        <v>381</v>
      </c>
      <c r="H82" s="91" t="s">
        <v>382</v>
      </c>
      <c r="I82" s="91" t="s">
        <v>383</v>
      </c>
      <c r="J82" s="241"/>
    </row>
    <row r="83" spans="1:11">
      <c r="A83" s="522"/>
      <c r="B83" s="687"/>
      <c r="C83" s="687"/>
      <c r="D83" s="687" t="s">
        <v>1782</v>
      </c>
      <c r="E83" s="687" t="s">
        <v>1783</v>
      </c>
      <c r="F83" s="687"/>
      <c r="G83" s="687"/>
      <c r="H83" s="687" t="s">
        <v>1424</v>
      </c>
      <c r="I83" s="1047" t="s">
        <v>2290</v>
      </c>
      <c r="J83" s="241"/>
    </row>
    <row r="84" spans="1:11">
      <c r="A84" s="522"/>
      <c r="B84" s="690" t="s">
        <v>1799</v>
      </c>
      <c r="C84" s="690" t="s">
        <v>1785</v>
      </c>
      <c r="D84" s="690" t="s">
        <v>1786</v>
      </c>
      <c r="E84" s="690" t="s">
        <v>1787</v>
      </c>
      <c r="F84" s="690" t="s">
        <v>1788</v>
      </c>
      <c r="G84" s="690" t="s">
        <v>1789</v>
      </c>
      <c r="H84" s="690" t="s">
        <v>1776</v>
      </c>
      <c r="I84" s="690" t="s">
        <v>111</v>
      </c>
      <c r="J84" s="241"/>
    </row>
    <row r="85" spans="1:11">
      <c r="A85" s="199">
        <v>400</v>
      </c>
      <c r="B85" s="1203">
        <v>282</v>
      </c>
      <c r="C85" s="1204" t="s">
        <v>2886</v>
      </c>
      <c r="D85" s="1205">
        <v>-1280768334</v>
      </c>
      <c r="E85" s="1201"/>
      <c r="F85" s="1201">
        <f>D85</f>
        <v>-1280768334</v>
      </c>
      <c r="G85" s="1201"/>
      <c r="H85" s="1201"/>
      <c r="I85" s="1202" t="s">
        <v>2871</v>
      </c>
      <c r="J85" s="831"/>
    </row>
    <row r="86" spans="1:11">
      <c r="A86" s="199">
        <f t="shared" ref="A86:A98" si="6">A85+1</f>
        <v>401</v>
      </c>
      <c r="B86" s="1203">
        <v>282</v>
      </c>
      <c r="C86" s="1204" t="s">
        <v>2887</v>
      </c>
      <c r="D86" s="1205">
        <v>0</v>
      </c>
      <c r="E86" s="1201"/>
      <c r="F86" s="1201"/>
      <c r="G86" s="1201">
        <f>D86</f>
        <v>0</v>
      </c>
      <c r="H86" s="1201"/>
      <c r="I86" s="1202" t="s">
        <v>2888</v>
      </c>
      <c r="J86" s="831"/>
    </row>
    <row r="87" spans="1:11">
      <c r="A87" s="1197">
        <f t="shared" si="6"/>
        <v>402</v>
      </c>
      <c r="B87" s="1203">
        <v>282</v>
      </c>
      <c r="C87" s="1206" t="s">
        <v>2889</v>
      </c>
      <c r="D87" s="1205">
        <v>-18809474</v>
      </c>
      <c r="E87" s="1201"/>
      <c r="F87" s="1201">
        <f>D87</f>
        <v>-18809474</v>
      </c>
      <c r="G87" s="1201"/>
      <c r="H87" s="1201"/>
      <c r="I87" s="1202" t="s">
        <v>2871</v>
      </c>
      <c r="J87" s="831"/>
    </row>
    <row r="88" spans="1:11">
      <c r="A88" s="1197">
        <f t="shared" si="6"/>
        <v>403</v>
      </c>
      <c r="B88" s="1203">
        <v>282</v>
      </c>
      <c r="C88" s="1204" t="s">
        <v>120</v>
      </c>
      <c r="D88" s="1205">
        <v>0</v>
      </c>
      <c r="E88" s="1201"/>
      <c r="F88" s="1201"/>
      <c r="G88" s="1201"/>
      <c r="H88" s="1201"/>
      <c r="I88" s="1202" t="s">
        <v>2888</v>
      </c>
      <c r="J88" s="831"/>
    </row>
    <row r="89" spans="1:11">
      <c r="A89" s="1197">
        <f t="shared" si="6"/>
        <v>404</v>
      </c>
      <c r="B89" s="1203">
        <v>282</v>
      </c>
      <c r="C89" s="1204" t="s">
        <v>2878</v>
      </c>
      <c r="D89" s="1200">
        <v>-7787494601</v>
      </c>
      <c r="E89" s="1201">
        <f>D89</f>
        <v>-7787494601</v>
      </c>
      <c r="F89" s="1201"/>
      <c r="G89" s="1201"/>
      <c r="H89" s="1201"/>
      <c r="I89" s="1202" t="s">
        <v>2890</v>
      </c>
      <c r="J89" s="831"/>
    </row>
    <row r="90" spans="1:11" s="1189" customFormat="1">
      <c r="A90" s="1197">
        <f t="shared" si="6"/>
        <v>405</v>
      </c>
      <c r="B90" s="1203">
        <v>282</v>
      </c>
      <c r="C90" s="1204" t="s">
        <v>2910</v>
      </c>
      <c r="D90" s="1205">
        <v>0</v>
      </c>
      <c r="E90" s="1201"/>
      <c r="F90" s="1201">
        <f>D90</f>
        <v>0</v>
      </c>
      <c r="G90" s="1201"/>
      <c r="H90" s="1201"/>
      <c r="I90" s="1202"/>
      <c r="J90" s="1202"/>
      <c r="K90" s="14"/>
    </row>
    <row r="91" spans="1:11">
      <c r="A91" s="1197">
        <f t="shared" si="6"/>
        <v>406</v>
      </c>
      <c r="B91" s="1203">
        <v>282</v>
      </c>
      <c r="C91" s="1204" t="s">
        <v>2891</v>
      </c>
      <c r="D91" s="1205">
        <v>0</v>
      </c>
      <c r="E91" s="1201">
        <f>D91</f>
        <v>0</v>
      </c>
      <c r="F91" s="1201"/>
      <c r="G91" s="1201"/>
      <c r="H91" s="1201"/>
      <c r="I91" s="1202" t="s">
        <v>2892</v>
      </c>
      <c r="J91" s="831"/>
    </row>
    <row r="92" spans="1:11">
      <c r="A92" s="1197">
        <f t="shared" si="6"/>
        <v>407</v>
      </c>
      <c r="B92" s="1203">
        <v>282</v>
      </c>
      <c r="C92" s="1204" t="s">
        <v>2893</v>
      </c>
      <c r="D92" s="1205">
        <v>-365924689</v>
      </c>
      <c r="E92" s="1201">
        <f t="shared" ref="E92:E95" si="7">D92</f>
        <v>-365924689</v>
      </c>
      <c r="F92" s="1201"/>
      <c r="G92" s="1201"/>
      <c r="H92" s="1201"/>
      <c r="I92" s="1202" t="s">
        <v>2882</v>
      </c>
      <c r="J92" s="831"/>
    </row>
    <row r="93" spans="1:11">
      <c r="A93" s="1197">
        <f t="shared" si="6"/>
        <v>408</v>
      </c>
      <c r="B93" s="1203">
        <v>282</v>
      </c>
      <c r="C93" s="1204" t="s">
        <v>2894</v>
      </c>
      <c r="D93" s="1200">
        <v>-1822168</v>
      </c>
      <c r="E93" s="1201">
        <f t="shared" si="7"/>
        <v>-1822168</v>
      </c>
      <c r="F93" s="1201"/>
      <c r="G93" s="1201"/>
      <c r="H93" s="1201"/>
      <c r="I93" s="1202" t="s">
        <v>2895</v>
      </c>
      <c r="J93" s="831"/>
    </row>
    <row r="94" spans="1:11">
      <c r="A94" s="1197">
        <f t="shared" si="6"/>
        <v>409</v>
      </c>
      <c r="B94" s="1207">
        <v>282</v>
      </c>
      <c r="C94" s="1204" t="s">
        <v>2883</v>
      </c>
      <c r="D94" s="1200">
        <v>-201776</v>
      </c>
      <c r="E94" s="1201">
        <f t="shared" si="7"/>
        <v>-201776</v>
      </c>
      <c r="F94" s="1201"/>
      <c r="G94" s="1201"/>
      <c r="H94" s="1201"/>
      <c r="I94" s="1202" t="s">
        <v>2896</v>
      </c>
      <c r="J94" s="831"/>
    </row>
    <row r="95" spans="1:11">
      <c r="A95" s="1197">
        <f t="shared" si="6"/>
        <v>410</v>
      </c>
      <c r="B95" s="1207">
        <v>282</v>
      </c>
      <c r="C95" s="1196" t="s">
        <v>2878</v>
      </c>
      <c r="D95" s="1200">
        <f>-636087-8901012</f>
        <v>-9537099</v>
      </c>
      <c r="E95" s="1201">
        <f t="shared" si="7"/>
        <v>-9537099</v>
      </c>
      <c r="F95" s="1201"/>
      <c r="G95" s="1201"/>
      <c r="H95" s="1201"/>
      <c r="I95" s="1202" t="s">
        <v>2884</v>
      </c>
      <c r="J95" s="831"/>
    </row>
    <row r="96" spans="1:11">
      <c r="A96" s="1197">
        <f t="shared" si="6"/>
        <v>411</v>
      </c>
      <c r="B96" s="1207">
        <v>282</v>
      </c>
      <c r="C96" s="1196" t="s">
        <v>2894</v>
      </c>
      <c r="D96" s="1200">
        <v>0</v>
      </c>
      <c r="E96" s="1201">
        <f>D96</f>
        <v>0</v>
      </c>
      <c r="F96" s="1198"/>
      <c r="G96" s="1198"/>
      <c r="H96" s="1198"/>
      <c r="I96" s="1202" t="s">
        <v>2884</v>
      </c>
      <c r="J96" s="429"/>
    </row>
    <row r="97" spans="1:11" s="1189" customFormat="1">
      <c r="A97" s="1197">
        <f t="shared" si="6"/>
        <v>412</v>
      </c>
      <c r="B97" s="1193">
        <v>282</v>
      </c>
      <c r="C97" s="1204" t="s">
        <v>2893</v>
      </c>
      <c r="D97" s="1205">
        <v>0</v>
      </c>
      <c r="E97" s="1201">
        <f>D97</f>
        <v>0</v>
      </c>
      <c r="F97" s="1201"/>
      <c r="G97" s="1201"/>
      <c r="H97" s="1201"/>
      <c r="I97" s="1202" t="s">
        <v>2884</v>
      </c>
      <c r="J97" s="1192"/>
      <c r="K97" s="14"/>
    </row>
    <row r="98" spans="1:11" s="1189" customFormat="1">
      <c r="A98" s="1197">
        <f t="shared" si="6"/>
        <v>413</v>
      </c>
      <c r="B98" s="1199" t="s">
        <v>564</v>
      </c>
      <c r="C98" s="1194"/>
      <c r="D98" s="1195"/>
      <c r="E98" s="1191"/>
      <c r="F98" s="1191"/>
      <c r="G98" s="1191"/>
      <c r="H98" s="1191"/>
      <c r="I98" s="1192"/>
      <c r="J98" s="1192"/>
      <c r="K98" s="14"/>
    </row>
    <row r="99" spans="1:11">
      <c r="A99" s="645"/>
      <c r="B99" s="599"/>
      <c r="C99" s="524"/>
      <c r="D99" s="707"/>
      <c r="E99" s="245"/>
      <c r="F99" s="245"/>
      <c r="G99" s="245"/>
      <c r="H99" s="245"/>
      <c r="I99" s="251"/>
      <c r="J99" s="251"/>
    </row>
    <row r="100" spans="1:11">
      <c r="A100" s="645"/>
      <c r="B100" s="599"/>
      <c r="C100" s="91" t="s">
        <v>394</v>
      </c>
      <c r="D100" s="91" t="s">
        <v>378</v>
      </c>
      <c r="E100" s="91" t="s">
        <v>379</v>
      </c>
      <c r="F100" s="91" t="s">
        <v>380</v>
      </c>
      <c r="G100" s="91" t="s">
        <v>381</v>
      </c>
      <c r="H100" s="91" t="s">
        <v>382</v>
      </c>
      <c r="I100" s="379" t="s">
        <v>198</v>
      </c>
      <c r="J100" s="251"/>
    </row>
    <row r="101" spans="1:11">
      <c r="A101" s="117">
        <v>450</v>
      </c>
      <c r="B101" s="523"/>
      <c r="C101" s="522" t="s">
        <v>1845</v>
      </c>
      <c r="D101" s="698">
        <f>SUM(D85:D98)</f>
        <v>-9464558141</v>
      </c>
      <c r="E101" s="698">
        <f>SUM(E85:E98)</f>
        <v>-8164980333</v>
      </c>
      <c r="F101" s="698">
        <f>SUM(F85:F98)</f>
        <v>-1299577808</v>
      </c>
      <c r="G101" s="698">
        <f>SUM(G85:G98)</f>
        <v>0</v>
      </c>
      <c r="H101" s="698">
        <f>SUM(H85:H98)</f>
        <v>0</v>
      </c>
      <c r="I101" s="260" t="str">
        <f>"Sum of Above Lines beginning on Line "&amp;A85&amp;""</f>
        <v>Sum of Above Lines beginning on Line 400</v>
      </c>
      <c r="J101" s="241"/>
    </row>
    <row r="102" spans="1:11">
      <c r="A102" s="611">
        <f>+A101+1</f>
        <v>451</v>
      </c>
      <c r="B102" s="684"/>
      <c r="C102" s="684" t="s">
        <v>1847</v>
      </c>
      <c r="D102" s="698"/>
      <c r="E102" s="698"/>
      <c r="F102" s="698"/>
      <c r="G102" s="700">
        <f>'27-Allocators'!$G$28</f>
        <v>0.19064298583191411</v>
      </c>
      <c r="H102" s="1303">
        <f>'27-Allocators'!$G$15</f>
        <v>6.0220089469584258E-2</v>
      </c>
      <c r="I102" s="837" t="str">
        <f>"27-Allocators Lines "&amp;'27-Allocators'!A28&amp;" and "&amp;'27-Allocators'!A15&amp;" respectively."</f>
        <v>27-Allocators Lines 22 and 9 respectively.</v>
      </c>
      <c r="J102" s="241"/>
    </row>
    <row r="103" spans="1:11">
      <c r="A103" s="611">
        <f>+A102+1</f>
        <v>452</v>
      </c>
      <c r="B103" s="684"/>
      <c r="C103" s="684" t="s">
        <v>1849</v>
      </c>
      <c r="D103" s="698">
        <f>SUM(F103:H103)</f>
        <v>-1299577808</v>
      </c>
      <c r="E103" s="698"/>
      <c r="F103" s="701">
        <f>+F101</f>
        <v>-1299577808</v>
      </c>
      <c r="G103" s="701">
        <f>+G101*G102</f>
        <v>0</v>
      </c>
      <c r="H103" s="701">
        <f>+H101*H102</f>
        <v>0</v>
      </c>
      <c r="I103" s="596" t="str">
        <f>"Line "&amp;A101&amp;" * Line "&amp;A102&amp;" for Cols 5 and 6.  Col. 4 100% ISO."</f>
        <v>Line 450 * Line 451 for Cols 5 and 6.  Col. 4 100% ISO.</v>
      </c>
      <c r="J103" s="241"/>
    </row>
    <row r="104" spans="1:11">
      <c r="A104" s="611"/>
      <c r="B104" s="684"/>
      <c r="C104" s="702" t="s">
        <v>1850</v>
      </c>
      <c r="D104" s="698"/>
      <c r="E104" s="698"/>
      <c r="F104" s="698"/>
      <c r="G104" s="698"/>
      <c r="H104" s="698"/>
      <c r="I104" s="596"/>
      <c r="J104" s="241"/>
    </row>
    <row r="105" spans="1:11">
      <c r="A105" s="117"/>
      <c r="B105" s="523"/>
      <c r="C105" s="522"/>
      <c r="D105" s="698"/>
      <c r="E105" s="698"/>
      <c r="F105" s="698"/>
      <c r="G105" s="698"/>
      <c r="H105" s="698"/>
      <c r="I105" s="260"/>
      <c r="J105" s="241"/>
    </row>
    <row r="106" spans="1:11">
      <c r="A106" s="117">
        <f>+A103+1</f>
        <v>453</v>
      </c>
      <c r="B106" s="523"/>
      <c r="C106" s="684" t="s">
        <v>1800</v>
      </c>
      <c r="D106" s="703">
        <v>-9464558141</v>
      </c>
      <c r="E106" s="704" t="str">
        <f>"Must match amount on Line "&amp;A101&amp;", Col. 2"</f>
        <v>Must match amount on Line 450, Col. 2</v>
      </c>
      <c r="F106" s="698"/>
      <c r="G106" s="698"/>
      <c r="H106" s="698"/>
      <c r="I106" s="503" t="s">
        <v>1801</v>
      </c>
      <c r="J106" s="241"/>
    </row>
    <row r="107" spans="1:11">
      <c r="A107" s="645"/>
      <c r="B107" s="523"/>
      <c r="C107" s="522"/>
      <c r="D107" s="698"/>
      <c r="E107" s="698"/>
      <c r="F107" s="698"/>
      <c r="G107" s="698"/>
      <c r="H107" s="698"/>
      <c r="I107" s="260"/>
      <c r="J107" s="241"/>
    </row>
    <row r="108" spans="1:11">
      <c r="A108" s="645"/>
      <c r="B108" s="523"/>
      <c r="C108" s="522"/>
      <c r="D108" s="698"/>
      <c r="E108" s="698"/>
      <c r="F108" s="698"/>
      <c r="G108" s="698"/>
      <c r="H108" s="698"/>
      <c r="I108" s="597"/>
      <c r="J108" s="241"/>
    </row>
    <row r="109" spans="1:11">
      <c r="A109" s="522"/>
      <c r="B109" s="683" t="s">
        <v>1802</v>
      </c>
      <c r="C109" s="708"/>
      <c r="D109" s="698"/>
      <c r="E109" s="243"/>
      <c r="F109" s="243"/>
      <c r="G109" s="243"/>
      <c r="H109" s="243"/>
      <c r="I109" s="241"/>
      <c r="J109" s="241"/>
    </row>
    <row r="110" spans="1:11">
      <c r="A110" s="522"/>
      <c r="B110" s="683"/>
      <c r="C110" s="91" t="s">
        <v>394</v>
      </c>
      <c r="D110" s="91" t="s">
        <v>378</v>
      </c>
      <c r="E110" s="91" t="s">
        <v>379</v>
      </c>
      <c r="F110" s="91" t="s">
        <v>380</v>
      </c>
      <c r="G110" s="91" t="s">
        <v>381</v>
      </c>
      <c r="H110" s="91" t="s">
        <v>382</v>
      </c>
      <c r="I110" s="91" t="s">
        <v>383</v>
      </c>
      <c r="J110" s="241"/>
    </row>
    <row r="111" spans="1:11">
      <c r="A111" s="522"/>
      <c r="B111" s="687"/>
      <c r="C111" s="687"/>
      <c r="D111" s="709" t="s">
        <v>1782</v>
      </c>
      <c r="E111" s="709" t="s">
        <v>1783</v>
      </c>
      <c r="F111" s="709"/>
      <c r="G111" s="709"/>
      <c r="H111" s="709" t="s">
        <v>1424</v>
      </c>
      <c r="I111" s="1047" t="s">
        <v>2290</v>
      </c>
      <c r="J111" s="241"/>
    </row>
    <row r="112" spans="1:11">
      <c r="A112" s="522"/>
      <c r="B112" s="690" t="s">
        <v>1803</v>
      </c>
      <c r="C112" s="690" t="s">
        <v>1785</v>
      </c>
      <c r="D112" s="710" t="s">
        <v>1786</v>
      </c>
      <c r="E112" s="710" t="s">
        <v>1787</v>
      </c>
      <c r="F112" s="710" t="s">
        <v>1788</v>
      </c>
      <c r="G112" s="710" t="s">
        <v>1789</v>
      </c>
      <c r="H112" s="710" t="s">
        <v>1776</v>
      </c>
      <c r="I112" s="690" t="s">
        <v>111</v>
      </c>
      <c r="J112" s="241"/>
    </row>
    <row r="113" spans="1:11">
      <c r="A113" s="645"/>
      <c r="B113" s="684" t="s">
        <v>1791</v>
      </c>
      <c r="C113" s="241"/>
      <c r="D113" s="243"/>
      <c r="E113" s="243"/>
      <c r="F113" s="243"/>
      <c r="G113" s="243"/>
      <c r="H113" s="243"/>
      <c r="I113" s="241"/>
      <c r="J113" s="241"/>
    </row>
    <row r="114" spans="1:11">
      <c r="A114" s="199">
        <v>500</v>
      </c>
      <c r="B114" s="834">
        <v>283</v>
      </c>
      <c r="C114" s="833" t="s">
        <v>2897</v>
      </c>
      <c r="D114" s="835">
        <v>0</v>
      </c>
      <c r="E114" s="1201">
        <v>0</v>
      </c>
      <c r="F114" s="1201">
        <f>E114</f>
        <v>0</v>
      </c>
      <c r="G114" s="1201"/>
      <c r="H114" s="1201"/>
      <c r="I114" s="1202" t="s">
        <v>2898</v>
      </c>
      <c r="J114" s="1190"/>
      <c r="K114" s="524"/>
    </row>
    <row r="115" spans="1:11">
      <c r="A115" s="199">
        <f t="shared" ref="A115:A126" si="8">A114+1</f>
        <v>501</v>
      </c>
      <c r="B115" s="834">
        <v>283</v>
      </c>
      <c r="C115" s="833" t="s">
        <v>2899</v>
      </c>
      <c r="D115" s="835">
        <v>0</v>
      </c>
      <c r="E115" s="1201">
        <f>D115*G186</f>
        <v>0</v>
      </c>
      <c r="F115" s="1201"/>
      <c r="G115" s="1201"/>
      <c r="H115" s="1201">
        <f>D115-E115</f>
        <v>0</v>
      </c>
      <c r="I115" s="1202" t="s">
        <v>2857</v>
      </c>
      <c r="J115" s="1190"/>
    </row>
    <row r="116" spans="1:11">
      <c r="A116" s="199">
        <f t="shared" si="8"/>
        <v>502</v>
      </c>
      <c r="B116" s="834">
        <v>283</v>
      </c>
      <c r="C116" s="833" t="s">
        <v>2900</v>
      </c>
      <c r="D116" s="835">
        <v>-81776003</v>
      </c>
      <c r="E116" s="1201"/>
      <c r="F116" s="1201"/>
      <c r="G116" s="1201">
        <f>D116</f>
        <v>-81776003</v>
      </c>
      <c r="H116" s="1201"/>
      <c r="I116" s="1202" t="s">
        <v>2888</v>
      </c>
      <c r="J116" s="1190"/>
      <c r="K116"/>
    </row>
    <row r="117" spans="1:11">
      <c r="A117" s="199">
        <f t="shared" si="8"/>
        <v>503</v>
      </c>
      <c r="B117" s="834">
        <v>283</v>
      </c>
      <c r="C117" s="833" t="s">
        <v>2901</v>
      </c>
      <c r="D117" s="835">
        <v>0</v>
      </c>
      <c r="E117" s="1201"/>
      <c r="F117" s="1201"/>
      <c r="G117" s="1201">
        <f>D117</f>
        <v>0</v>
      </c>
      <c r="H117" s="1201"/>
      <c r="I117" s="1202" t="s">
        <v>2888</v>
      </c>
      <c r="J117" s="1190"/>
      <c r="K117"/>
    </row>
    <row r="118" spans="1:11">
      <c r="A118" s="199">
        <f t="shared" si="8"/>
        <v>504</v>
      </c>
      <c r="B118" s="834">
        <v>283</v>
      </c>
      <c r="C118" s="833" t="s">
        <v>2902</v>
      </c>
      <c r="D118" s="835">
        <v>-69744052</v>
      </c>
      <c r="E118" s="1201">
        <f>D118*G194</f>
        <v>-54464.695737346134</v>
      </c>
      <c r="F118" s="1201"/>
      <c r="G118" s="1201">
        <f>D118-E118</f>
        <v>-69689587.304262653</v>
      </c>
      <c r="H118" s="1201"/>
      <c r="I118" s="1202" t="s">
        <v>2855</v>
      </c>
      <c r="J118" s="1190"/>
    </row>
    <row r="119" spans="1:11">
      <c r="A119" s="199">
        <f t="shared" si="8"/>
        <v>505</v>
      </c>
      <c r="B119" s="834">
        <v>283</v>
      </c>
      <c r="C119" s="833" t="s">
        <v>2903</v>
      </c>
      <c r="D119" s="835">
        <v>-1343194</v>
      </c>
      <c r="E119" s="1201">
        <f>D119*G186</f>
        <v>-3846.7326874380142</v>
      </c>
      <c r="F119" s="1201"/>
      <c r="G119" s="1201"/>
      <c r="H119" s="1201">
        <f>D119-E119</f>
        <v>-1339347.2673125621</v>
      </c>
      <c r="I119" s="1202" t="s">
        <v>2857</v>
      </c>
      <c r="J119" s="1190"/>
    </row>
    <row r="120" spans="1:11">
      <c r="A120" s="199">
        <f t="shared" si="8"/>
        <v>506</v>
      </c>
      <c r="B120" s="834">
        <v>283</v>
      </c>
      <c r="C120" s="833" t="s">
        <v>2874</v>
      </c>
      <c r="D120" s="835">
        <v>-198633893</v>
      </c>
      <c r="E120" s="1201">
        <f>D120</f>
        <v>-198633893</v>
      </c>
      <c r="F120" s="1201"/>
      <c r="G120" s="1201"/>
      <c r="H120" s="1201"/>
      <c r="I120" s="1202" t="s">
        <v>2875</v>
      </c>
      <c r="J120" s="1190"/>
    </row>
    <row r="121" spans="1:11">
      <c r="A121" s="199">
        <f t="shared" si="8"/>
        <v>507</v>
      </c>
      <c r="B121" s="834">
        <v>283</v>
      </c>
      <c r="C121" s="833" t="s">
        <v>2894</v>
      </c>
      <c r="D121" s="835">
        <v>0</v>
      </c>
      <c r="E121" s="1201">
        <f t="shared" ref="E121:E126" si="9">D121</f>
        <v>0</v>
      </c>
      <c r="F121" s="1201"/>
      <c r="G121" s="1201"/>
      <c r="H121" s="1201"/>
      <c r="I121" s="1202" t="s">
        <v>2895</v>
      </c>
      <c r="J121" s="1190"/>
    </row>
    <row r="122" spans="1:11">
      <c r="A122" s="199">
        <f t="shared" si="8"/>
        <v>508</v>
      </c>
      <c r="B122" s="834">
        <v>283</v>
      </c>
      <c r="C122" s="833" t="s">
        <v>2872</v>
      </c>
      <c r="D122" s="835">
        <v>-359836108</v>
      </c>
      <c r="E122" s="1201">
        <f t="shared" si="9"/>
        <v>-359836108</v>
      </c>
      <c r="F122" s="1201"/>
      <c r="G122" s="1201"/>
      <c r="H122" s="1201"/>
      <c r="I122" s="1202" t="s">
        <v>2873</v>
      </c>
      <c r="J122" s="1190"/>
    </row>
    <row r="123" spans="1:11">
      <c r="A123" s="199">
        <f t="shared" si="8"/>
        <v>509</v>
      </c>
      <c r="B123" s="834">
        <v>283</v>
      </c>
      <c r="C123" s="833" t="s">
        <v>2878</v>
      </c>
      <c r="D123" s="835">
        <v>0</v>
      </c>
      <c r="E123" s="1201">
        <f t="shared" si="9"/>
        <v>0</v>
      </c>
      <c r="F123" s="1201"/>
      <c r="G123" s="1201"/>
      <c r="H123" s="1201"/>
      <c r="I123" s="1202" t="s">
        <v>2890</v>
      </c>
      <c r="J123" s="1190"/>
    </row>
    <row r="124" spans="1:11">
      <c r="A124" s="199">
        <f t="shared" si="8"/>
        <v>510</v>
      </c>
      <c r="B124" s="834">
        <v>283</v>
      </c>
      <c r="C124" s="833" t="s">
        <v>2891</v>
      </c>
      <c r="D124" s="835">
        <v>0</v>
      </c>
      <c r="E124" s="1201">
        <f t="shared" si="9"/>
        <v>0</v>
      </c>
      <c r="F124" s="1201"/>
      <c r="G124" s="1201"/>
      <c r="H124" s="1201"/>
      <c r="I124" s="1202" t="s">
        <v>2892</v>
      </c>
      <c r="J124" s="1190"/>
    </row>
    <row r="125" spans="1:11">
      <c r="A125" s="199">
        <f t="shared" si="8"/>
        <v>511</v>
      </c>
      <c r="B125" s="834">
        <v>283</v>
      </c>
      <c r="C125" s="833" t="s">
        <v>2880</v>
      </c>
      <c r="D125" s="835">
        <v>-3811581</v>
      </c>
      <c r="E125" s="1201">
        <f t="shared" si="9"/>
        <v>-3811581</v>
      </c>
      <c r="F125" s="1201"/>
      <c r="G125" s="1201"/>
      <c r="H125" s="1201"/>
      <c r="I125" s="1202" t="s">
        <v>2875</v>
      </c>
      <c r="J125" s="1190"/>
    </row>
    <row r="126" spans="1:11">
      <c r="A126" s="199">
        <f t="shared" si="8"/>
        <v>512</v>
      </c>
      <c r="B126" s="834">
        <v>283</v>
      </c>
      <c r="C126" s="833" t="s">
        <v>2881</v>
      </c>
      <c r="D126" s="835">
        <v>-77909261</v>
      </c>
      <c r="E126" s="1201">
        <f t="shared" si="9"/>
        <v>-77909261</v>
      </c>
      <c r="F126" s="1201"/>
      <c r="G126" s="1201"/>
      <c r="H126" s="1201"/>
      <c r="I126" s="1202" t="s">
        <v>2904</v>
      </c>
      <c r="J126" s="1190"/>
    </row>
    <row r="127" spans="1:11">
      <c r="A127" s="117"/>
      <c r="B127" s="602"/>
      <c r="C127" s="603"/>
      <c r="D127" s="604"/>
      <c r="E127" s="245"/>
      <c r="F127" s="245"/>
      <c r="G127" s="245"/>
      <c r="H127" s="245"/>
      <c r="I127" s="251"/>
      <c r="J127" s="251"/>
    </row>
    <row r="128" spans="1:11">
      <c r="A128" s="117"/>
      <c r="B128" s="683" t="s">
        <v>1804</v>
      </c>
      <c r="C128" s="708"/>
      <c r="D128" s="698"/>
      <c r="E128" s="243"/>
      <c r="F128" s="243"/>
      <c r="G128" s="243"/>
      <c r="H128" s="243"/>
      <c r="I128" s="241"/>
      <c r="J128" s="251"/>
    </row>
    <row r="129" spans="1:10">
      <c r="A129" s="117"/>
      <c r="B129" s="683"/>
      <c r="C129" s="91" t="s">
        <v>394</v>
      </c>
      <c r="D129" s="91" t="s">
        <v>378</v>
      </c>
      <c r="E129" s="91" t="s">
        <v>379</v>
      </c>
      <c r="F129" s="91" t="s">
        <v>380</v>
      </c>
      <c r="G129" s="91" t="s">
        <v>381</v>
      </c>
      <c r="H129" s="91" t="s">
        <v>382</v>
      </c>
      <c r="I129" s="91" t="s">
        <v>383</v>
      </c>
      <c r="J129" s="251"/>
    </row>
    <row r="130" spans="1:10">
      <c r="A130" s="117"/>
      <c r="B130" s="687"/>
      <c r="C130" s="687"/>
      <c r="D130" s="709" t="s">
        <v>1782</v>
      </c>
      <c r="E130" s="709" t="s">
        <v>1783</v>
      </c>
      <c r="F130" s="709"/>
      <c r="G130" s="709"/>
      <c r="H130" s="709" t="s">
        <v>1424</v>
      </c>
      <c r="I130" s="1047" t="s">
        <v>2290</v>
      </c>
      <c r="J130" s="251"/>
    </row>
    <row r="131" spans="1:10">
      <c r="A131" s="117"/>
      <c r="B131" s="690" t="s">
        <v>1803</v>
      </c>
      <c r="C131" s="690" t="s">
        <v>1785</v>
      </c>
      <c r="D131" s="710" t="s">
        <v>1786</v>
      </c>
      <c r="E131" s="710" t="s">
        <v>1787</v>
      </c>
      <c r="F131" s="710" t="s">
        <v>1788</v>
      </c>
      <c r="G131" s="710" t="s">
        <v>1789</v>
      </c>
      <c r="H131" s="710" t="s">
        <v>1776</v>
      </c>
      <c r="I131" s="690" t="s">
        <v>111</v>
      </c>
      <c r="J131" s="251"/>
    </row>
    <row r="132" spans="1:10">
      <c r="A132" s="117"/>
      <c r="B132" s="684" t="s">
        <v>1805</v>
      </c>
      <c r="C132" s="687"/>
      <c r="D132" s="709"/>
      <c r="E132" s="709"/>
      <c r="F132" s="709"/>
      <c r="G132" s="709"/>
      <c r="H132" s="709"/>
      <c r="I132" s="687"/>
      <c r="J132" s="251"/>
    </row>
    <row r="133" spans="1:10">
      <c r="A133" s="1197">
        <f>A126+1</f>
        <v>513</v>
      </c>
      <c r="B133" s="1199" t="s">
        <v>564</v>
      </c>
      <c r="C133" s="600"/>
      <c r="D133" s="601"/>
      <c r="E133" s="1264"/>
      <c r="F133" s="1198"/>
      <c r="G133" s="1198"/>
      <c r="H133" s="1198"/>
      <c r="I133" s="1190"/>
      <c r="J133" s="1190"/>
    </row>
    <row r="134" spans="1:10">
      <c r="A134" s="117"/>
      <c r="B134" s="605"/>
      <c r="C134" s="606"/>
      <c r="D134" s="525"/>
      <c r="E134" s="245"/>
      <c r="F134" s="245"/>
      <c r="G134" s="245"/>
      <c r="H134" s="245"/>
      <c r="I134" s="251"/>
      <c r="J134" s="251"/>
    </row>
    <row r="135" spans="1:10">
      <c r="A135" s="117">
        <v>650</v>
      </c>
      <c r="B135" s="606"/>
      <c r="C135" s="606" t="s">
        <v>1806</v>
      </c>
      <c r="D135" s="525">
        <f>SUM(D114:D126)+SUM(D133:D133)</f>
        <v>-793054092</v>
      </c>
      <c r="E135" s="525">
        <f>SUM(E114:E126)+SUM(E133:E133)</f>
        <v>-640249154.42842484</v>
      </c>
      <c r="F135" s="525">
        <f>SUM(F114:F126)+SUM(F133:F133)</f>
        <v>0</v>
      </c>
      <c r="G135" s="525">
        <f>SUM(G114:G126)+SUM(G133:G133)</f>
        <v>-151465590.30426264</v>
      </c>
      <c r="H135" s="525">
        <f>SUM(H114:H126)+SUM(H133:H133)</f>
        <v>-1339347.2673125621</v>
      </c>
      <c r="I135" s="260" t="str">
        <f>"Sum of Above Lines beginning on Line "&amp;A114&amp;""</f>
        <v>Sum of Above Lines beginning on Line 500</v>
      </c>
      <c r="J135" s="241"/>
    </row>
    <row r="136" spans="1:10">
      <c r="A136" s="117"/>
      <c r="B136" s="606"/>
      <c r="C136" s="606"/>
      <c r="D136" s="525"/>
      <c r="E136" s="525"/>
      <c r="F136" s="525"/>
      <c r="G136" s="525"/>
      <c r="H136" s="525"/>
      <c r="I136" s="597"/>
      <c r="J136" s="241"/>
    </row>
    <row r="137" spans="1:10">
      <c r="A137" s="645"/>
      <c r="B137" s="694" t="s">
        <v>1967</v>
      </c>
      <c r="C137" s="606"/>
      <c r="D137" s="525"/>
      <c r="E137" s="243"/>
      <c r="F137" s="243"/>
      <c r="G137" s="243"/>
      <c r="H137" s="243"/>
      <c r="I137" s="1047" t="s">
        <v>2290</v>
      </c>
      <c r="J137" s="241"/>
    </row>
    <row r="138" spans="1:10">
      <c r="A138" s="645"/>
      <c r="C138" s="91" t="s">
        <v>394</v>
      </c>
      <c r="D138" s="91" t="s">
        <v>378</v>
      </c>
      <c r="E138" s="91" t="s">
        <v>379</v>
      </c>
      <c r="F138" s="91" t="s">
        <v>380</v>
      </c>
      <c r="G138" s="91" t="s">
        <v>381</v>
      </c>
      <c r="H138" s="91" t="s">
        <v>382</v>
      </c>
      <c r="I138" s="91" t="s">
        <v>383</v>
      </c>
      <c r="J138" s="241"/>
    </row>
    <row r="139" spans="1:10">
      <c r="A139" s="199">
        <v>700</v>
      </c>
      <c r="B139" s="834">
        <v>283</v>
      </c>
      <c r="C139" s="833" t="s">
        <v>2874</v>
      </c>
      <c r="D139" s="836">
        <v>0</v>
      </c>
      <c r="E139" s="1201">
        <f>D139</f>
        <v>0</v>
      </c>
      <c r="F139" s="830"/>
      <c r="G139" s="830"/>
      <c r="H139" s="830"/>
      <c r="I139" s="831" t="s">
        <v>2884</v>
      </c>
      <c r="J139" s="831"/>
    </row>
    <row r="140" spans="1:10">
      <c r="A140" s="199">
        <f t="shared" ref="A140:A143" si="10">A139+1</f>
        <v>701</v>
      </c>
      <c r="B140" s="834">
        <v>283</v>
      </c>
      <c r="C140" s="833" t="s">
        <v>2905</v>
      </c>
      <c r="D140" s="836">
        <v>0</v>
      </c>
      <c r="E140" s="1201">
        <f t="shared" ref="E140:E142" si="11">D140</f>
        <v>0</v>
      </c>
      <c r="F140" s="830"/>
      <c r="G140" s="830"/>
      <c r="H140" s="830"/>
      <c r="I140" s="831" t="s">
        <v>2884</v>
      </c>
      <c r="J140" s="831"/>
    </row>
    <row r="141" spans="1:10">
      <c r="A141" s="199">
        <f t="shared" si="10"/>
        <v>702</v>
      </c>
      <c r="B141" s="834">
        <v>283</v>
      </c>
      <c r="C141" s="833" t="s">
        <v>2906</v>
      </c>
      <c r="D141" s="836">
        <f>-16410-703361</f>
        <v>-719771</v>
      </c>
      <c r="E141" s="1201">
        <f t="shared" si="11"/>
        <v>-719771</v>
      </c>
      <c r="F141" s="830"/>
      <c r="G141" s="830"/>
      <c r="H141" s="830"/>
      <c r="I141" s="831" t="s">
        <v>2884</v>
      </c>
      <c r="J141" s="831"/>
    </row>
    <row r="142" spans="1:10">
      <c r="A142" s="199">
        <f t="shared" si="10"/>
        <v>703</v>
      </c>
      <c r="B142" s="834">
        <v>283</v>
      </c>
      <c r="C142" s="833" t="s">
        <v>2907</v>
      </c>
      <c r="D142" s="836">
        <v>0</v>
      </c>
      <c r="E142" s="1201">
        <f t="shared" si="11"/>
        <v>0</v>
      </c>
      <c r="F142" s="830"/>
      <c r="G142" s="830"/>
      <c r="H142" s="830"/>
      <c r="I142" s="831" t="s">
        <v>2884</v>
      </c>
      <c r="J142" s="831"/>
    </row>
    <row r="143" spans="1:10">
      <c r="A143" s="199">
        <f t="shared" si="10"/>
        <v>704</v>
      </c>
      <c r="B143" s="1265" t="s">
        <v>564</v>
      </c>
      <c r="C143" s="833"/>
      <c r="D143" s="836"/>
      <c r="E143" s="830"/>
      <c r="F143" s="830"/>
      <c r="G143" s="830"/>
      <c r="H143" s="830"/>
      <c r="I143" s="831"/>
      <c r="J143" s="831"/>
    </row>
    <row r="144" spans="1:10">
      <c r="A144" s="117"/>
      <c r="B144" s="602"/>
      <c r="C144" s="603"/>
      <c r="D144" s="604"/>
      <c r="E144" s="245"/>
      <c r="F144" s="245"/>
      <c r="G144" s="245"/>
      <c r="H144" s="245"/>
      <c r="I144" s="251"/>
      <c r="J144" s="251"/>
    </row>
    <row r="145" spans="1:10">
      <c r="A145" s="117"/>
      <c r="B145" s="606"/>
      <c r="C145" s="91" t="s">
        <v>394</v>
      </c>
      <c r="D145" s="91" t="s">
        <v>378</v>
      </c>
      <c r="E145" s="91" t="s">
        <v>379</v>
      </c>
      <c r="F145" s="91" t="s">
        <v>380</v>
      </c>
      <c r="G145" s="91" t="s">
        <v>381</v>
      </c>
      <c r="H145" s="91" t="s">
        <v>382</v>
      </c>
      <c r="I145" s="379" t="s">
        <v>198</v>
      </c>
      <c r="J145" s="241"/>
    </row>
    <row r="146" spans="1:10">
      <c r="A146" s="117">
        <v>800</v>
      </c>
      <c r="B146" s="241"/>
      <c r="C146" s="524" t="s">
        <v>1807</v>
      </c>
      <c r="D146" s="525">
        <f>SUM(D139:D143)</f>
        <v>-719771</v>
      </c>
      <c r="E146" s="525">
        <f>SUM(E139:E143)</f>
        <v>-719771</v>
      </c>
      <c r="F146" s="525">
        <f>SUM(F139:F143)</f>
        <v>0</v>
      </c>
      <c r="G146" s="525">
        <f>SUM(G139:G143)</f>
        <v>0</v>
      </c>
      <c r="H146" s="525">
        <f>SUM(H139:H143)</f>
        <v>0</v>
      </c>
      <c r="I146" s="260" t="str">
        <f>"Sum of Above Lines beginning on Line "&amp;A139&amp;""</f>
        <v>Sum of Above Lines beginning on Line 700</v>
      </c>
      <c r="J146" s="241"/>
    </row>
    <row r="147" spans="1:10">
      <c r="A147" s="117"/>
      <c r="B147" s="241"/>
      <c r="C147" s="524"/>
      <c r="D147" s="525"/>
      <c r="E147" s="525"/>
      <c r="F147" s="525"/>
      <c r="G147" s="525"/>
      <c r="H147" s="525"/>
      <c r="I147" s="260"/>
      <c r="J147" s="241"/>
    </row>
    <row r="148" spans="1:10">
      <c r="A148" s="117">
        <f>A146+1</f>
        <v>801</v>
      </c>
      <c r="B148" s="241"/>
      <c r="C148" s="524" t="s">
        <v>1808</v>
      </c>
      <c r="D148" s="525">
        <f>D135+D146</f>
        <v>-793773863</v>
      </c>
      <c r="E148" s="525">
        <f>E135+E146</f>
        <v>-640968925.42842484</v>
      </c>
      <c r="F148" s="525">
        <f>F135+F146</f>
        <v>0</v>
      </c>
      <c r="G148" s="525">
        <f>G135+G146</f>
        <v>-151465590.30426264</v>
      </c>
      <c r="H148" s="525">
        <f>H135+H146</f>
        <v>-1339347.2673125621</v>
      </c>
      <c r="I148" s="596" t="str">
        <f>"Line "&amp;A135&amp;" + Line "&amp;A146&amp;""</f>
        <v>Line 650 + Line 800</v>
      </c>
      <c r="J148" s="241"/>
    </row>
    <row r="149" spans="1:10">
      <c r="A149" s="611">
        <f>+A148+1</f>
        <v>802</v>
      </c>
      <c r="B149" s="684"/>
      <c r="C149" s="684" t="s">
        <v>1847</v>
      </c>
      <c r="D149" s="1301"/>
      <c r="E149" s="1301"/>
      <c r="F149" s="707"/>
      <c r="G149" s="1302">
        <f>'27-Allocators'!$G$28</f>
        <v>0.19064298583191411</v>
      </c>
      <c r="H149" s="1303">
        <f>'27-Allocators'!$G$15</f>
        <v>6.0220089469584258E-2</v>
      </c>
      <c r="I149" s="837" t="str">
        <f>"27-Allocators Lines "&amp;'27-Allocators'!A28&amp;" and "&amp;'27-Allocators'!A15&amp;" respectively."</f>
        <v>27-Allocators Lines 22 and 9 respectively.</v>
      </c>
      <c r="J149" s="241"/>
    </row>
    <row r="150" spans="1:10">
      <c r="A150" s="611">
        <f>+A149+1</f>
        <v>803</v>
      </c>
      <c r="B150" s="684"/>
      <c r="C150" s="684" t="s">
        <v>1851</v>
      </c>
      <c r="D150" s="707">
        <f>SUM(F150:H150)</f>
        <v>-28956507.998666454</v>
      </c>
      <c r="E150" s="707"/>
      <c r="F150" s="1300">
        <f>+F148</f>
        <v>0</v>
      </c>
      <c r="G150" s="1300">
        <f>+G148*G149</f>
        <v>-28875852.386398047</v>
      </c>
      <c r="H150" s="1300">
        <f>+H148*H149</f>
        <v>-80655.612268405675</v>
      </c>
      <c r="I150" s="596" t="str">
        <f>"Line "&amp;A148&amp;" * Line "&amp;A149&amp;" for Cols 5 and 6.  Col. 4 100% ISO."</f>
        <v>Line 801 * Line 802 for Cols 5 and 6.  Col. 4 100% ISO.</v>
      </c>
      <c r="J150" s="241"/>
    </row>
    <row r="151" spans="1:10">
      <c r="A151" s="117"/>
      <c r="B151" s="241"/>
      <c r="C151" s="702" t="s">
        <v>1850</v>
      </c>
      <c r="D151" s="525"/>
      <c r="E151" s="525"/>
      <c r="F151" s="525"/>
      <c r="G151" s="525"/>
      <c r="H151" s="525"/>
      <c r="I151" s="596"/>
      <c r="J151" s="243"/>
    </row>
    <row r="152" spans="1:10">
      <c r="A152" s="117"/>
      <c r="B152" s="241"/>
      <c r="C152" s="524"/>
      <c r="D152" s="525"/>
      <c r="E152" s="525"/>
      <c r="F152" s="525"/>
      <c r="G152" s="525"/>
      <c r="H152" s="525"/>
      <c r="I152" s="596"/>
      <c r="J152" s="241"/>
    </row>
    <row r="153" spans="1:10">
      <c r="A153" s="117">
        <f>A150+1</f>
        <v>804</v>
      </c>
      <c r="C153" s="684" t="s">
        <v>1834</v>
      </c>
      <c r="D153" s="703">
        <v>-793773863</v>
      </c>
      <c r="E153" s="704" t="str">
        <f>"Must match amount on Line "&amp;A148&amp;", Col. 2"</f>
        <v>Must match amount on Line 801, Col. 2</v>
      </c>
      <c r="F153" s="698"/>
      <c r="G153" s="698"/>
      <c r="H153" s="698"/>
      <c r="I153" s="503" t="s">
        <v>1358</v>
      </c>
    </row>
    <row r="154" spans="1:10">
      <c r="A154" s="522"/>
      <c r="B154" s="614"/>
      <c r="C154" s="614"/>
      <c r="D154" s="614"/>
      <c r="E154" s="614"/>
      <c r="F154" s="614"/>
      <c r="G154" s="614"/>
      <c r="H154" s="614"/>
      <c r="I154" s="526"/>
      <c r="J154" s="614"/>
    </row>
    <row r="155" spans="1:10">
      <c r="A155" s="522"/>
      <c r="B155" s="683" t="s">
        <v>1876</v>
      </c>
      <c r="C155" s="614"/>
      <c r="D155" s="614"/>
      <c r="E155" s="614"/>
      <c r="F155" s="614"/>
      <c r="G155" s="614"/>
      <c r="H155" s="614"/>
      <c r="I155" s="614"/>
      <c r="J155" s="614"/>
    </row>
    <row r="156" spans="1:10">
      <c r="A156" s="522"/>
      <c r="B156" s="683"/>
      <c r="C156" s="614"/>
      <c r="D156" s="614"/>
      <c r="E156" s="614"/>
      <c r="F156" s="614"/>
      <c r="G156" s="614"/>
      <c r="H156" s="614"/>
      <c r="I156" s="614"/>
      <c r="J156" s="614"/>
    </row>
    <row r="157" spans="1:10">
      <c r="A157" s="117"/>
      <c r="B157" s="683"/>
      <c r="C157" s="91" t="s">
        <v>394</v>
      </c>
      <c r="D157" s="91" t="s">
        <v>378</v>
      </c>
      <c r="E157" s="91" t="s">
        <v>379</v>
      </c>
      <c r="F157" s="91" t="s">
        <v>380</v>
      </c>
      <c r="G157" s="91" t="s">
        <v>381</v>
      </c>
      <c r="H157" s="91" t="s">
        <v>382</v>
      </c>
      <c r="I157" s="91" t="s">
        <v>383</v>
      </c>
      <c r="J157" s="614"/>
    </row>
    <row r="158" spans="1:10">
      <c r="A158" s="117"/>
      <c r="B158" s="687"/>
      <c r="C158" s="687"/>
      <c r="D158" s="709" t="s">
        <v>1782</v>
      </c>
      <c r="E158" s="709" t="s">
        <v>1783</v>
      </c>
      <c r="F158" s="709"/>
      <c r="G158" s="709"/>
      <c r="H158" s="709" t="s">
        <v>1424</v>
      </c>
      <c r="I158" s="241"/>
      <c r="J158" s="614"/>
    </row>
    <row r="159" spans="1:10">
      <c r="A159" s="117"/>
      <c r="B159" s="690" t="s">
        <v>632</v>
      </c>
      <c r="C159" s="640" t="s">
        <v>1916</v>
      </c>
      <c r="D159" s="710" t="s">
        <v>1786</v>
      </c>
      <c r="E159" s="710" t="s">
        <v>1787</v>
      </c>
      <c r="F159" s="710" t="s">
        <v>1788</v>
      </c>
      <c r="G159" s="710" t="s">
        <v>1789</v>
      </c>
      <c r="H159" s="710" t="s">
        <v>1776</v>
      </c>
      <c r="I159" s="690" t="s">
        <v>111</v>
      </c>
      <c r="J159" s="614"/>
    </row>
    <row r="160" spans="1:10">
      <c r="A160" s="522"/>
      <c r="B160" s="614"/>
      <c r="C160" s="614"/>
      <c r="D160" s="614"/>
      <c r="E160" s="614"/>
      <c r="F160" s="614"/>
      <c r="G160" s="614"/>
      <c r="H160" s="614"/>
      <c r="I160" s="614"/>
      <c r="J160" s="614"/>
    </row>
    <row r="161" spans="1:10">
      <c r="A161" s="117">
        <f>A153+1</f>
        <v>805</v>
      </c>
      <c r="B161" s="621">
        <v>236</v>
      </c>
      <c r="C161" s="524" t="s">
        <v>1846</v>
      </c>
      <c r="D161" s="557">
        <v>0</v>
      </c>
      <c r="E161" s="557"/>
      <c r="F161" s="557"/>
      <c r="G161" s="557"/>
      <c r="H161" s="529"/>
      <c r="I161" s="521" t="s">
        <v>1873</v>
      </c>
      <c r="J161" s="524"/>
    </row>
    <row r="162" spans="1:10">
      <c r="A162" s="117">
        <f>A161+1</f>
        <v>806</v>
      </c>
      <c r="B162" s="621"/>
      <c r="C162" s="524" t="s">
        <v>1872</v>
      </c>
      <c r="D162" s="557">
        <v>0</v>
      </c>
      <c r="E162" s="557"/>
      <c r="F162" s="557"/>
      <c r="G162" s="557"/>
      <c r="H162" s="529"/>
      <c r="I162" s="521" t="s">
        <v>235</v>
      </c>
      <c r="J162" s="524"/>
    </row>
    <row r="163" spans="1:10">
      <c r="A163" s="117">
        <f t="shared" ref="A163:A164" si="12">A162+1</f>
        <v>807</v>
      </c>
      <c r="B163" s="621"/>
      <c r="C163" s="524" t="s">
        <v>1875</v>
      </c>
      <c r="D163" s="534">
        <f>D161+D162</f>
        <v>0</v>
      </c>
      <c r="G163" s="534"/>
      <c r="H163" s="524"/>
      <c r="I163" s="596" t="str">
        <f>"Line "&amp;A161&amp;" + Line "&amp;A162&amp;""</f>
        <v>Line 805 + Line 806</v>
      </c>
      <c r="J163" s="524"/>
    </row>
    <row r="164" spans="1:10">
      <c r="A164" s="117">
        <f t="shared" si="12"/>
        <v>808</v>
      </c>
      <c r="B164" s="614"/>
      <c r="C164" s="684" t="s">
        <v>1924</v>
      </c>
      <c r="D164" s="643"/>
      <c r="E164" s="534"/>
      <c r="F164" s="534"/>
      <c r="G164" s="700">
        <f>'27-Allocators'!$G$28</f>
        <v>0.19064298583191411</v>
      </c>
      <c r="H164" s="622"/>
      <c r="I164" s="526" t="s">
        <v>311</v>
      </c>
      <c r="J164" s="522"/>
    </row>
    <row r="165" spans="1:10">
      <c r="A165" s="117">
        <f>+A164+1</f>
        <v>809</v>
      </c>
      <c r="B165" s="523"/>
      <c r="C165" s="522" t="s">
        <v>1916</v>
      </c>
      <c r="D165" s="698">
        <f>E165+G165</f>
        <v>0</v>
      </c>
      <c r="E165" s="1300">
        <f>-(D163+G165)</f>
        <v>0</v>
      </c>
      <c r="F165" s="1300"/>
      <c r="G165" s="1300">
        <f>-(D163*G164)</f>
        <v>0</v>
      </c>
      <c r="H165" s="701"/>
      <c r="I165" s="596" t="str">
        <f>"- Line "&amp;A163&amp;" * Line "&amp;A164&amp;""</f>
        <v>- Line 807 * Line 808</v>
      </c>
      <c r="J165" s="522"/>
    </row>
    <row r="166" spans="1:10">
      <c r="A166" s="611"/>
      <c r="B166" s="684"/>
      <c r="C166" s="711" t="s">
        <v>1926</v>
      </c>
      <c r="D166" s="698"/>
      <c r="E166" s="698"/>
      <c r="F166" s="698"/>
      <c r="G166" s="712"/>
      <c r="H166" s="712"/>
      <c r="I166" s="613" t="s">
        <v>1925</v>
      </c>
      <c r="J166" s="614"/>
    </row>
    <row r="167" spans="1:10">
      <c r="A167" s="117"/>
      <c r="B167" s="523"/>
      <c r="C167" s="702"/>
      <c r="D167" s="698"/>
      <c r="E167" s="698"/>
      <c r="F167" s="698"/>
      <c r="G167" s="698"/>
      <c r="H167" s="698"/>
      <c r="I167" s="614"/>
      <c r="J167" s="614"/>
    </row>
    <row r="168" spans="1:10">
      <c r="A168" s="522"/>
      <c r="B168" s="614"/>
      <c r="C168" s="623" t="s">
        <v>1877</v>
      </c>
      <c r="D168" s="614"/>
      <c r="E168" s="614"/>
      <c r="F168" s="614"/>
      <c r="G168" s="614"/>
      <c r="H168" s="614"/>
      <c r="I168" s="614"/>
      <c r="J168" s="614"/>
    </row>
    <row r="169" spans="1:10">
      <c r="B169"/>
      <c r="C169" s="1032" t="s">
        <v>2542</v>
      </c>
      <c r="D169" s="717"/>
      <c r="E169" s="717"/>
      <c r="F169" s="717"/>
      <c r="G169" s="717"/>
      <c r="H169"/>
      <c r="I169"/>
      <c r="J169"/>
    </row>
    <row r="170" spans="1:10">
      <c r="B170"/>
      <c r="C170" s="1032" t="s">
        <v>2535</v>
      </c>
      <c r="D170" s="717"/>
      <c r="E170" s="717"/>
      <c r="F170" s="717"/>
      <c r="G170" s="717"/>
      <c r="H170"/>
      <c r="I170"/>
      <c r="J170"/>
    </row>
    <row r="171" spans="1:10">
      <c r="B171"/>
      <c r="C171" s="1032" t="s">
        <v>2536</v>
      </c>
      <c r="D171" s="717"/>
      <c r="E171" s="717"/>
      <c r="F171" s="717"/>
      <c r="G171" s="717"/>
      <c r="H171"/>
      <c r="I171"/>
      <c r="J171"/>
    </row>
    <row r="172" spans="1:10">
      <c r="B172"/>
      <c r="C172" s="251" t="str">
        <f>"Note 3:  Allocate 'Remaining Amount of FIT Payable' based on Transmission Plant Allocation Factor (27-Allocators, Line "&amp;'27-Allocators'!A28&amp;")"</f>
        <v>Note 3:  Allocate 'Remaining Amount of FIT Payable' based on Transmission Plant Allocation Factor (27-Allocators, Line 22)</v>
      </c>
      <c r="D172" s="717"/>
      <c r="E172" s="717"/>
      <c r="F172" s="717"/>
      <c r="G172" s="717"/>
      <c r="H172"/>
      <c r="I172"/>
      <c r="J172"/>
    </row>
    <row r="173" spans="1:10">
      <c r="B173"/>
      <c r="C173" s="251" t="s">
        <v>1874</v>
      </c>
      <c r="D173" s="717"/>
      <c r="E173" s="717"/>
      <c r="F173" s="717"/>
      <c r="G173" s="717"/>
      <c r="H173"/>
      <c r="I173"/>
      <c r="J173"/>
    </row>
    <row r="174" spans="1:10">
      <c r="B174"/>
      <c r="C174" s="251" t="s">
        <v>2291</v>
      </c>
      <c r="D174" s="251"/>
      <c r="E174" s="251"/>
      <c r="F174" s="251"/>
      <c r="G174" s="251"/>
      <c r="J174"/>
    </row>
    <row r="175" spans="1:10">
      <c r="B175"/>
      <c r="C175" s="251" t="s">
        <v>2292</v>
      </c>
      <c r="D175" s="251"/>
      <c r="E175" s="251"/>
      <c r="F175" s="251"/>
      <c r="G175" s="251"/>
      <c r="J175"/>
    </row>
    <row r="176" spans="1:10">
      <c r="B176"/>
      <c r="C176" s="251"/>
      <c r="D176" s="251"/>
      <c r="E176" s="251"/>
      <c r="F176" s="251"/>
      <c r="G176" s="251"/>
      <c r="J176"/>
    </row>
    <row r="177" spans="2:10">
      <c r="B177"/>
      <c r="C177" s="251" t="s">
        <v>2293</v>
      </c>
      <c r="D177" s="251"/>
      <c r="E177" s="251"/>
      <c r="F177" s="251"/>
      <c r="G177" s="251"/>
      <c r="J177"/>
    </row>
    <row r="178" spans="2:10">
      <c r="B178"/>
      <c r="C178" s="251" t="s">
        <v>2294</v>
      </c>
      <c r="D178" s="251"/>
      <c r="E178" s="251"/>
      <c r="F178" s="251"/>
      <c r="G178" s="251"/>
      <c r="J178"/>
    </row>
    <row r="179" spans="2:10">
      <c r="B179"/>
      <c r="C179" s="251" t="s">
        <v>2295</v>
      </c>
      <c r="D179" s="251"/>
      <c r="E179" s="251"/>
      <c r="F179" s="251"/>
      <c r="G179" s="251"/>
      <c r="J179"/>
    </row>
    <row r="180" spans="2:10">
      <c r="B180"/>
      <c r="C180" s="14"/>
      <c r="D180" s="14"/>
      <c r="E180" s="117" t="s">
        <v>188</v>
      </c>
      <c r="F180" s="14"/>
      <c r="G180" s="1033" t="s">
        <v>73</v>
      </c>
      <c r="J180"/>
    </row>
    <row r="181" spans="2:10">
      <c r="B181"/>
      <c r="C181" s="14"/>
      <c r="D181" s="14"/>
      <c r="E181" s="131" t="s">
        <v>189</v>
      </c>
      <c r="F181" s="14"/>
      <c r="G181" s="131" t="s">
        <v>190</v>
      </c>
      <c r="J181"/>
    </row>
    <row r="182" spans="2:10" ht="15">
      <c r="B182"/>
      <c r="C182" s="1048" t="s">
        <v>2296</v>
      </c>
      <c r="D182" s="1049"/>
      <c r="E182" s="524" t="s">
        <v>313</v>
      </c>
      <c r="F182" s="1049"/>
      <c r="G182" s="713">
        <v>754196482</v>
      </c>
      <c r="H182" s="717"/>
      <c r="I182" s="714"/>
      <c r="J182"/>
    </row>
    <row r="183" spans="2:10" ht="15">
      <c r="B183"/>
      <c r="C183" s="1050" t="s">
        <v>2297</v>
      </c>
      <c r="D183" s="1049"/>
      <c r="E183" s="524" t="s">
        <v>2298</v>
      </c>
      <c r="F183" s="1049"/>
      <c r="G183" s="715">
        <v>610108</v>
      </c>
      <c r="H183" s="717"/>
      <c r="I183" s="714"/>
      <c r="J183"/>
    </row>
    <row r="184" spans="2:10" ht="15">
      <c r="B184"/>
      <c r="C184" s="1050" t="s">
        <v>2299</v>
      </c>
      <c r="D184" s="1049"/>
      <c r="E184" s="524" t="s">
        <v>2300</v>
      </c>
      <c r="F184" s="1049"/>
      <c r="G184" s="716">
        <v>1556016</v>
      </c>
      <c r="H184" s="717"/>
      <c r="I184" s="714"/>
      <c r="J184"/>
    </row>
    <row r="185" spans="2:10" ht="15">
      <c r="B185"/>
      <c r="C185" s="1048" t="s">
        <v>2301</v>
      </c>
      <c r="D185" s="1049"/>
      <c r="E185" s="524" t="s">
        <v>2302</v>
      </c>
      <c r="F185" s="1049"/>
      <c r="G185" s="1052">
        <f>SUM(G182:G184)</f>
        <v>756362606</v>
      </c>
      <c r="J185"/>
    </row>
    <row r="186" spans="2:10">
      <c r="B186"/>
      <c r="C186" s="120" t="s">
        <v>2303</v>
      </c>
      <c r="D186" s="14"/>
      <c r="E186" s="672" t="s">
        <v>2304</v>
      </c>
      <c r="F186" s="14"/>
      <c r="G186" s="71">
        <f>(G183+G184)/G185</f>
        <v>2.8638697667187421E-3</v>
      </c>
      <c r="J186"/>
    </row>
    <row r="187" spans="2:10">
      <c r="B187"/>
      <c r="C187" s="1026" t="s">
        <v>2305</v>
      </c>
      <c r="D187" s="717"/>
      <c r="E187" s="717"/>
      <c r="F187" s="717"/>
      <c r="G187" s="717"/>
      <c r="J187"/>
    </row>
    <row r="188" spans="2:10">
      <c r="B188"/>
      <c r="C188" s="14"/>
      <c r="D188" s="14"/>
      <c r="E188" s="117" t="s">
        <v>188</v>
      </c>
      <c r="F188" s="14"/>
      <c r="G188" s="1033" t="s">
        <v>73</v>
      </c>
      <c r="J188"/>
    </row>
    <row r="189" spans="2:10">
      <c r="B189"/>
      <c r="C189" s="14"/>
      <c r="D189" s="14"/>
      <c r="E189" s="131" t="s">
        <v>189</v>
      </c>
      <c r="F189" s="14"/>
      <c r="G189" s="131" t="s">
        <v>190</v>
      </c>
      <c r="H189" s="717"/>
      <c r="J189"/>
    </row>
    <row r="190" spans="2:10" ht="15">
      <c r="B190"/>
      <c r="C190" s="521" t="s">
        <v>2306</v>
      </c>
      <c r="D190" s="1049"/>
      <c r="E190" s="1049" t="s">
        <v>34</v>
      </c>
      <c r="F190" s="1049"/>
      <c r="G190" s="713">
        <v>41556515000</v>
      </c>
      <c r="H190" s="717"/>
      <c r="I190" s="714"/>
      <c r="J190"/>
    </row>
    <row r="191" spans="2:10" ht="15">
      <c r="B191"/>
      <c r="C191" s="1050" t="s">
        <v>2307</v>
      </c>
      <c r="D191" s="1049"/>
      <c r="E191" s="1049" t="s">
        <v>2308</v>
      </c>
      <c r="F191" s="1049"/>
      <c r="G191" s="715">
        <v>5142307</v>
      </c>
      <c r="H191" s="717"/>
      <c r="J191"/>
    </row>
    <row r="192" spans="2:10" ht="15">
      <c r="B192"/>
      <c r="C192" s="1050" t="s">
        <v>2309</v>
      </c>
      <c r="D192" s="1049"/>
      <c r="E192" s="1049" t="s">
        <v>2310</v>
      </c>
      <c r="F192" s="1049"/>
      <c r="G192" s="715">
        <v>27335471</v>
      </c>
      <c r="H192" s="717"/>
      <c r="I192" s="714"/>
      <c r="J192"/>
    </row>
    <row r="193" spans="2:10" ht="15">
      <c r="B193"/>
      <c r="C193" s="521" t="s">
        <v>2311</v>
      </c>
      <c r="D193" s="1049"/>
      <c r="E193" s="524" t="s">
        <v>2312</v>
      </c>
      <c r="F193" s="1049"/>
      <c r="G193" s="1052">
        <f>SUM(G190:G192)</f>
        <v>41588992778</v>
      </c>
      <c r="H193" s="717"/>
      <c r="I193" s="717"/>
      <c r="J193" s="14"/>
    </row>
    <row r="194" spans="2:10">
      <c r="B194"/>
      <c r="C194" s="120" t="s">
        <v>2313</v>
      </c>
      <c r="D194" s="14"/>
      <c r="E194" s="672" t="s">
        <v>2314</v>
      </c>
      <c r="F194" s="14"/>
      <c r="G194" s="71">
        <f>(G191+G192)/G193</f>
        <v>7.8092244679655459E-4</v>
      </c>
      <c r="H194" s="717"/>
      <c r="I194" s="717"/>
      <c r="J194" s="14"/>
    </row>
    <row r="195" spans="2:10">
      <c r="B195"/>
      <c r="C195" s="251" t="s">
        <v>2544</v>
      </c>
      <c r="D195" s="717"/>
      <c r="E195" s="717"/>
      <c r="F195" s="717"/>
      <c r="G195" s="717"/>
      <c r="H195" s="717"/>
      <c r="I195" s="717"/>
      <c r="J195" s="14"/>
    </row>
    <row r="196" spans="2:10">
      <c r="B196"/>
      <c r="C196" s="251" t="s">
        <v>2445</v>
      </c>
      <c r="D196" s="717"/>
      <c r="E196" s="717"/>
      <c r="F196" s="717"/>
      <c r="G196" s="717"/>
      <c r="H196" s="717"/>
      <c r="I196" s="717"/>
      <c r="J196" s="14"/>
    </row>
    <row r="197" spans="2:10">
      <c r="B197"/>
      <c r="C197" s="251" t="s">
        <v>2446</v>
      </c>
      <c r="D197" s="717"/>
      <c r="E197" s="717"/>
      <c r="F197" s="717"/>
      <c r="G197" s="717"/>
      <c r="H197" s="717"/>
      <c r="I197" s="717"/>
      <c r="J197" s="14"/>
    </row>
    <row r="198" spans="2:10">
      <c r="B198"/>
      <c r="C198" s="251" t="s">
        <v>2545</v>
      </c>
      <c r="D198" s="717"/>
      <c r="E198" s="717"/>
      <c r="F198" s="717"/>
      <c r="G198" s="717"/>
      <c r="H198" s="717"/>
      <c r="I198" s="717"/>
      <c r="J198" s="14"/>
    </row>
    <row r="199" spans="2:10">
      <c r="C199" s="524" t="s">
        <v>2546</v>
      </c>
      <c r="D199" s="1051"/>
      <c r="E199" s="1051"/>
      <c r="F199" s="1051"/>
      <c r="G199" s="1051"/>
      <c r="H199" s="1051"/>
      <c r="I199" s="1051"/>
      <c r="J199" s="717"/>
    </row>
    <row r="202" spans="2:10" ht="15.75">
      <c r="C202" s="676"/>
    </row>
  </sheetData>
  <protectedRanges>
    <protectedRange password="F1C4" sqref="D20:E30 F25:F30 E15:E19 D14:D15 D17:D18 B14:C30 I60 B13 F20 B7:C12 I133" name="AAReport1_23_1_1_2"/>
    <protectedRange password="F1C4" sqref="D19" name="AAReport1_23_1_1_1_1"/>
    <protectedRange password="F1C4" sqref="F32:F33 F45 J32:J35 I52" name="AAReport1_23_1_1_2_2"/>
  </protectedRanges>
  <phoneticPr fontId="25" type="noConversion"/>
  <conditionalFormatting sqref="B127 D127 D143:D144 B139:B144">
    <cfRule type="expression" dxfId="12" priority="6" stopIfTrue="1">
      <formula>Formulas</formula>
    </cfRule>
  </conditionalFormatting>
  <conditionalFormatting sqref="B114:B126 D133">
    <cfRule type="expression" dxfId="11" priority="7" stopIfTrue="1">
      <formula>Formulas</formula>
    </cfRule>
  </conditionalFormatting>
  <conditionalFormatting sqref="C133 C114:C127 C139:C144">
    <cfRule type="expression" dxfId="10" priority="5" stopIfTrue="1">
      <formula>#REF!&lt;&gt;""</formula>
    </cfRule>
  </conditionalFormatting>
  <conditionalFormatting sqref="D114:D126">
    <cfRule type="expression" dxfId="9" priority="2" stopIfTrue="1">
      <formula>Formulas</formula>
    </cfRule>
  </conditionalFormatting>
  <conditionalFormatting sqref="D139:D142">
    <cfRule type="expression" dxfId="8" priority="1" stopIfTrue="1">
      <formula>Formulas</formula>
    </cfRule>
  </conditionalFormatting>
  <pageMargins left="0.75" right="0.75" top="1" bottom="1" header="0.5" footer="0.5"/>
  <pageSetup scale="65" orientation="landscape" cellComments="asDisplayed" r:id="rId1"/>
  <headerFooter alignWithMargins="0">
    <oddHeader>&amp;CSchedule 9
ADIT
&amp;RTO11 Draft Annual Update
Attachment 1</oddHeader>
    <oddFooter>&amp;R&amp;A</oddFooter>
  </headerFooter>
  <rowBreaks count="4" manualBreakCount="4">
    <brk id="24" max="16383" man="1"/>
    <brk id="63" max="16383" man="1"/>
    <brk id="106" max="9" man="1"/>
    <brk id="14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8"/>
  <sheetViews>
    <sheetView zoomScaleNormal="100" workbookViewId="0"/>
  </sheetViews>
  <sheetFormatPr defaultRowHeight="12.75"/>
  <cols>
    <col min="1" max="1" width="4.7109375" style="14" customWidth="1"/>
    <col min="2" max="2" width="12.7109375" customWidth="1"/>
    <col min="3" max="3" width="8.7109375" customWidth="1"/>
    <col min="4" max="4" width="15.140625" bestFit="1" customWidth="1"/>
    <col min="5" max="5" width="18.7109375" customWidth="1"/>
    <col min="6" max="6" width="16.140625" customWidth="1"/>
    <col min="7" max="7" width="13.42578125" customWidth="1"/>
    <col min="8" max="8" width="13.5703125" bestFit="1" customWidth="1"/>
    <col min="9" max="9" width="17.140625" customWidth="1"/>
    <col min="10" max="10" width="15.42578125" customWidth="1"/>
    <col min="11" max="11" width="17.28515625" customWidth="1"/>
    <col min="12" max="12" width="14.7109375" style="14" bestFit="1" customWidth="1"/>
    <col min="13" max="13" width="13.140625" bestFit="1" customWidth="1"/>
  </cols>
  <sheetData>
    <row r="1" spans="1:12">
      <c r="A1" s="44" t="s">
        <v>595</v>
      </c>
      <c r="K1" s="1"/>
    </row>
    <row r="2" spans="1:12">
      <c r="A2" s="44"/>
      <c r="K2" s="1"/>
    </row>
    <row r="3" spans="1:12">
      <c r="A3" s="44"/>
      <c r="B3" s="522" t="s">
        <v>1044</v>
      </c>
      <c r="K3" s="1"/>
    </row>
    <row r="4" spans="1:12">
      <c r="B4" s="522" t="s">
        <v>599</v>
      </c>
      <c r="K4" s="1"/>
      <c r="L4" s="524"/>
    </row>
    <row r="5" spans="1:12">
      <c r="B5" s="522"/>
      <c r="K5" s="1"/>
    </row>
    <row r="6" spans="1:12">
      <c r="A6" s="524"/>
      <c r="B6" s="1" t="s">
        <v>1371</v>
      </c>
      <c r="K6" s="1"/>
    </row>
    <row r="7" spans="1:12">
      <c r="A7" s="524"/>
      <c r="B7" s="1"/>
      <c r="D7" s="91" t="s">
        <v>394</v>
      </c>
      <c r="E7" s="91" t="s">
        <v>378</v>
      </c>
      <c r="F7" s="91" t="s">
        <v>379</v>
      </c>
      <c r="G7" s="91" t="s">
        <v>380</v>
      </c>
      <c r="H7" s="91" t="s">
        <v>381</v>
      </c>
      <c r="I7" s="91" t="s">
        <v>382</v>
      </c>
      <c r="J7" s="369"/>
      <c r="K7" s="1"/>
      <c r="L7" s="369"/>
    </row>
    <row r="8" spans="1:12">
      <c r="D8" s="523" t="s">
        <v>1079</v>
      </c>
      <c r="J8" s="14"/>
      <c r="K8" s="14"/>
    </row>
    <row r="9" spans="1:12">
      <c r="D9" s="542" t="s">
        <v>603</v>
      </c>
      <c r="J9" s="14"/>
      <c r="K9" s="14"/>
    </row>
    <row r="10" spans="1:12">
      <c r="B10" s="645"/>
      <c r="J10" s="14"/>
      <c r="K10" s="14"/>
    </row>
    <row r="11" spans="1:12">
      <c r="B11" s="645"/>
      <c r="D11" s="645" t="s">
        <v>19</v>
      </c>
      <c r="F11" s="645" t="s">
        <v>374</v>
      </c>
      <c r="G11" s="645" t="s">
        <v>377</v>
      </c>
      <c r="H11" s="645"/>
      <c r="I11" s="645"/>
      <c r="J11" s="117"/>
      <c r="K11" s="522"/>
    </row>
    <row r="12" spans="1:12">
      <c r="A12" s="1008" t="s">
        <v>360</v>
      </c>
      <c r="B12" s="718" t="s">
        <v>211</v>
      </c>
      <c r="C12" s="718" t="s">
        <v>212</v>
      </c>
      <c r="D12" s="3" t="s">
        <v>597</v>
      </c>
      <c r="E12" s="3" t="s">
        <v>249</v>
      </c>
      <c r="F12" s="3" t="s">
        <v>375</v>
      </c>
      <c r="G12" s="3" t="s">
        <v>376</v>
      </c>
      <c r="H12" s="3" t="s">
        <v>600</v>
      </c>
      <c r="I12" s="3" t="s">
        <v>601</v>
      </c>
      <c r="J12" s="131"/>
      <c r="K12" s="522"/>
    </row>
    <row r="13" spans="1:12">
      <c r="A13" s="117">
        <v>1</v>
      </c>
      <c r="B13" s="719" t="s">
        <v>199</v>
      </c>
      <c r="C13" s="720">
        <v>2014</v>
      </c>
      <c r="D13" s="7">
        <f>SUM(E13:I13)+SUM(D33:G33)</f>
        <v>756348469.81000006</v>
      </c>
      <c r="E13" s="584">
        <v>680873754.19000006</v>
      </c>
      <c r="F13" s="1217">
        <v>89732.97</v>
      </c>
      <c r="G13" s="1217">
        <v>0</v>
      </c>
      <c r="H13" s="1217">
        <v>0</v>
      </c>
      <c r="I13" s="1217">
        <v>3445382.67</v>
      </c>
      <c r="J13" s="721"/>
    </row>
    <row r="14" spans="1:12">
      <c r="A14" s="117">
        <f>A13+1</f>
        <v>2</v>
      </c>
      <c r="B14" s="719" t="s">
        <v>200</v>
      </c>
      <c r="C14" s="720">
        <v>2015</v>
      </c>
      <c r="D14" s="7">
        <f t="shared" ref="D14:D25" si="0">SUM(E14:I14)+SUM(D34:G34)</f>
        <v>734684592.17000008</v>
      </c>
      <c r="E14" s="584">
        <v>658202539.5</v>
      </c>
      <c r="F14" s="1217">
        <v>99432.46</v>
      </c>
      <c r="G14" s="1217">
        <v>0</v>
      </c>
      <c r="H14" s="1217">
        <v>0</v>
      </c>
      <c r="I14" s="1217">
        <v>3612416.35</v>
      </c>
      <c r="J14" s="721"/>
    </row>
    <row r="15" spans="1:12">
      <c r="A15" s="117">
        <f t="shared" ref="A15:A26" si="1">A14+1</f>
        <v>3</v>
      </c>
      <c r="B15" s="722" t="s">
        <v>201</v>
      </c>
      <c r="C15" s="720">
        <v>2015</v>
      </c>
      <c r="D15" s="7">
        <f t="shared" si="0"/>
        <v>780026728.25999999</v>
      </c>
      <c r="E15" s="584">
        <v>699934160.25999999</v>
      </c>
      <c r="F15" s="1217">
        <v>100838.8</v>
      </c>
      <c r="G15" s="1217">
        <v>0</v>
      </c>
      <c r="H15" s="1217">
        <v>0</v>
      </c>
      <c r="I15" s="1217">
        <v>5020612.62</v>
      </c>
      <c r="J15" s="721"/>
    </row>
    <row r="16" spans="1:12">
      <c r="A16" s="117">
        <f t="shared" si="1"/>
        <v>4</v>
      </c>
      <c r="B16" s="722" t="s">
        <v>214</v>
      </c>
      <c r="C16" s="720">
        <v>2015</v>
      </c>
      <c r="D16" s="7">
        <f t="shared" si="0"/>
        <v>384681481.56000006</v>
      </c>
      <c r="E16" s="584">
        <v>301183850.04000002</v>
      </c>
      <c r="F16" s="1217">
        <v>104025.87</v>
      </c>
      <c r="G16" s="1217">
        <v>0</v>
      </c>
      <c r="H16" s="1217">
        <v>0</v>
      </c>
      <c r="I16" s="1217">
        <v>5217609.91</v>
      </c>
      <c r="J16" s="721"/>
    </row>
    <row r="17" spans="1:11">
      <c r="A17" s="117">
        <f t="shared" si="1"/>
        <v>5</v>
      </c>
      <c r="B17" s="719" t="s">
        <v>202</v>
      </c>
      <c r="C17" s="720">
        <v>2015</v>
      </c>
      <c r="D17" s="7">
        <f t="shared" si="0"/>
        <v>178384254.72</v>
      </c>
      <c r="E17" s="584">
        <v>87770147.799999997</v>
      </c>
      <c r="F17" s="1217">
        <v>111889.86</v>
      </c>
      <c r="G17" s="1217">
        <v>0</v>
      </c>
      <c r="H17" s="1217">
        <v>0</v>
      </c>
      <c r="I17" s="1217">
        <v>6944483.2599999998</v>
      </c>
      <c r="J17" s="721"/>
    </row>
    <row r="18" spans="1:11">
      <c r="A18" s="117">
        <f t="shared" si="1"/>
        <v>6</v>
      </c>
      <c r="B18" s="722" t="s">
        <v>203</v>
      </c>
      <c r="C18" s="720">
        <v>2015</v>
      </c>
      <c r="D18" s="7">
        <f t="shared" si="0"/>
        <v>191017805.06999999</v>
      </c>
      <c r="E18" s="584">
        <v>99654118.170000002</v>
      </c>
      <c r="F18" s="1217">
        <v>126179.66</v>
      </c>
      <c r="G18" s="1217">
        <v>0</v>
      </c>
      <c r="H18" s="1217">
        <v>0</v>
      </c>
      <c r="I18" s="1217">
        <v>7416316.0300000003</v>
      </c>
      <c r="J18" s="721"/>
    </row>
    <row r="19" spans="1:11">
      <c r="A19" s="117">
        <f t="shared" si="1"/>
        <v>7</v>
      </c>
      <c r="B19" s="722" t="s">
        <v>204</v>
      </c>
      <c r="C19" s="720">
        <v>2015</v>
      </c>
      <c r="D19" s="7">
        <f t="shared" si="0"/>
        <v>216687637.46999997</v>
      </c>
      <c r="E19" s="584">
        <v>121421438.73</v>
      </c>
      <c r="F19" s="1217">
        <v>132174.46</v>
      </c>
      <c r="G19" s="1217">
        <v>0</v>
      </c>
      <c r="H19" s="1217">
        <v>0</v>
      </c>
      <c r="I19" s="1217">
        <v>7591057.4199999999</v>
      </c>
      <c r="J19" s="721"/>
    </row>
    <row r="20" spans="1:11">
      <c r="A20" s="117">
        <f t="shared" si="1"/>
        <v>8</v>
      </c>
      <c r="B20" s="719" t="s">
        <v>205</v>
      </c>
      <c r="C20" s="720">
        <v>2015</v>
      </c>
      <c r="D20" s="7">
        <f t="shared" si="0"/>
        <v>242638273.67000002</v>
      </c>
      <c r="E20" s="584">
        <v>144516037.12</v>
      </c>
      <c r="F20" s="1217">
        <v>133490.13</v>
      </c>
      <c r="G20" s="1217">
        <v>0</v>
      </c>
      <c r="H20" s="1217">
        <v>0</v>
      </c>
      <c r="I20" s="1217">
        <v>7940352.0899999999</v>
      </c>
      <c r="J20" s="721"/>
    </row>
    <row r="21" spans="1:11">
      <c r="A21" s="117">
        <f t="shared" si="1"/>
        <v>9</v>
      </c>
      <c r="B21" s="722" t="s">
        <v>206</v>
      </c>
      <c r="C21" s="720">
        <v>2015</v>
      </c>
      <c r="D21" s="7">
        <f t="shared" si="0"/>
        <v>259488518.88000003</v>
      </c>
      <c r="E21" s="584">
        <v>158363930.02000001</v>
      </c>
      <c r="F21" s="1217">
        <v>45788.56</v>
      </c>
      <c r="G21" s="1217">
        <v>0</v>
      </c>
      <c r="H21" s="1217">
        <v>0</v>
      </c>
      <c r="I21" s="1217">
        <v>8134394.46</v>
      </c>
      <c r="J21" s="721"/>
    </row>
    <row r="22" spans="1:11">
      <c r="A22" s="117">
        <f t="shared" si="1"/>
        <v>10</v>
      </c>
      <c r="B22" s="722" t="s">
        <v>207</v>
      </c>
      <c r="C22" s="720">
        <v>2015</v>
      </c>
      <c r="D22" s="7">
        <f t="shared" si="0"/>
        <v>276345641.52000004</v>
      </c>
      <c r="E22" s="584">
        <v>172750158.62</v>
      </c>
      <c r="F22" s="1217">
        <v>6363.68</v>
      </c>
      <c r="G22" s="1217">
        <v>0</v>
      </c>
      <c r="H22" s="1217">
        <v>0</v>
      </c>
      <c r="I22" s="1217">
        <v>8405181.1099999994</v>
      </c>
      <c r="J22" s="721"/>
    </row>
    <row r="23" spans="1:11">
      <c r="A23" s="117">
        <f t="shared" si="1"/>
        <v>11</v>
      </c>
      <c r="B23" s="719" t="s">
        <v>208</v>
      </c>
      <c r="C23" s="720">
        <v>2015</v>
      </c>
      <c r="D23" s="7">
        <f t="shared" si="0"/>
        <v>294726185.18000001</v>
      </c>
      <c r="E23" s="584">
        <v>190065568.24000001</v>
      </c>
      <c r="F23" s="1217">
        <v>0</v>
      </c>
      <c r="G23" s="1217">
        <v>0</v>
      </c>
      <c r="H23" s="1217">
        <v>0</v>
      </c>
      <c r="I23" s="1217">
        <v>8409465</v>
      </c>
      <c r="J23" s="721"/>
    </row>
    <row r="24" spans="1:11">
      <c r="A24" s="117">
        <f t="shared" si="1"/>
        <v>12</v>
      </c>
      <c r="B24" s="719" t="s">
        <v>209</v>
      </c>
      <c r="C24" s="720">
        <v>2015</v>
      </c>
      <c r="D24" s="7">
        <f t="shared" si="0"/>
        <v>309876986.60000002</v>
      </c>
      <c r="E24" s="584">
        <v>203943440.15000001</v>
      </c>
      <c r="F24" s="1217">
        <v>0</v>
      </c>
      <c r="G24" s="1217">
        <v>0</v>
      </c>
      <c r="H24" s="1217">
        <v>0</v>
      </c>
      <c r="I24" s="1217">
        <v>8453161.4600000009</v>
      </c>
      <c r="J24" s="721"/>
    </row>
    <row r="25" spans="1:11">
      <c r="A25" s="117">
        <f t="shared" si="1"/>
        <v>13</v>
      </c>
      <c r="B25" s="719" t="s">
        <v>199</v>
      </c>
      <c r="C25" s="720">
        <v>2015</v>
      </c>
      <c r="D25" s="98">
        <f t="shared" si="0"/>
        <v>296606972.98000002</v>
      </c>
      <c r="E25" s="444">
        <v>225689500.47</v>
      </c>
      <c r="F25" s="123">
        <v>0</v>
      </c>
      <c r="G25" s="123">
        <v>0</v>
      </c>
      <c r="H25" s="123">
        <v>0</v>
      </c>
      <c r="I25" s="123">
        <v>9220094.2599999998</v>
      </c>
      <c r="J25" s="721"/>
    </row>
    <row r="26" spans="1:11">
      <c r="A26" s="117">
        <f t="shared" si="1"/>
        <v>14</v>
      </c>
      <c r="B26" s="719"/>
      <c r="C26" s="723" t="s">
        <v>598</v>
      </c>
      <c r="D26" s="582">
        <f t="shared" ref="D26:I26" si="2">SUM(D13:D25)/13</f>
        <v>378577965.22230762</v>
      </c>
      <c r="E26" s="582">
        <f>SUM(E13:E25)/13</f>
        <v>288028357.17769235</v>
      </c>
      <c r="F26" s="582">
        <f t="shared" si="2"/>
        <v>73070.496153846165</v>
      </c>
      <c r="G26" s="582">
        <f t="shared" si="2"/>
        <v>0</v>
      </c>
      <c r="H26" s="582">
        <f t="shared" si="2"/>
        <v>0</v>
      </c>
      <c r="I26" s="582">
        <f t="shared" si="2"/>
        <v>6908502.0492307711</v>
      </c>
      <c r="J26" s="721"/>
      <c r="K26" s="721"/>
    </row>
    <row r="27" spans="1:11">
      <c r="A27" s="117"/>
      <c r="B27" s="719"/>
      <c r="C27" s="723"/>
      <c r="D27" s="582"/>
      <c r="E27" s="582"/>
      <c r="F27" s="582"/>
      <c r="G27" s="582"/>
      <c r="H27" s="582"/>
      <c r="I27" s="721"/>
      <c r="J27" s="526"/>
      <c r="K27" s="721"/>
    </row>
    <row r="28" spans="1:11">
      <c r="A28" s="117"/>
      <c r="B28" s="719"/>
      <c r="C28" s="723"/>
      <c r="D28" s="91" t="s">
        <v>383</v>
      </c>
      <c r="E28" s="91" t="s">
        <v>596</v>
      </c>
      <c r="F28" s="91" t="s">
        <v>1045</v>
      </c>
      <c r="G28" s="91" t="s">
        <v>1061</v>
      </c>
      <c r="H28" s="91" t="s">
        <v>1064</v>
      </c>
      <c r="I28" s="91" t="s">
        <v>1082</v>
      </c>
      <c r="J28" s="526"/>
      <c r="K28" s="721"/>
    </row>
    <row r="29" spans="1:11">
      <c r="A29" s="117"/>
      <c r="B29" s="719"/>
      <c r="C29" s="723"/>
      <c r="E29" s="370" t="s">
        <v>1083</v>
      </c>
      <c r="F29" s="370"/>
      <c r="G29" s="370"/>
      <c r="H29" s="582"/>
      <c r="I29" s="721"/>
      <c r="J29" s="526"/>
      <c r="K29" s="721"/>
    </row>
    <row r="30" spans="1:11">
      <c r="B30" s="645"/>
      <c r="D30" s="645" t="s">
        <v>1080</v>
      </c>
      <c r="E30" s="645" t="s">
        <v>1084</v>
      </c>
      <c r="F30" s="370"/>
      <c r="G30" s="370"/>
      <c r="H30" s="582"/>
      <c r="I30" s="721"/>
      <c r="J30" s="526"/>
      <c r="K30" s="721"/>
    </row>
    <row r="31" spans="1:11">
      <c r="B31" s="645"/>
      <c r="D31" s="645" t="s">
        <v>473</v>
      </c>
      <c r="E31" s="645" t="s">
        <v>473</v>
      </c>
      <c r="F31" s="370" t="s">
        <v>1086</v>
      </c>
      <c r="G31" s="370" t="s">
        <v>1087</v>
      </c>
      <c r="H31" s="582"/>
      <c r="I31" s="721"/>
      <c r="J31" s="721"/>
      <c r="K31" s="721"/>
    </row>
    <row r="32" spans="1:11">
      <c r="A32" s="1008" t="s">
        <v>360</v>
      </c>
      <c r="B32" s="718" t="s">
        <v>211</v>
      </c>
      <c r="C32" s="718" t="s">
        <v>212</v>
      </c>
      <c r="D32" s="3" t="s">
        <v>1081</v>
      </c>
      <c r="E32" s="3" t="s">
        <v>1081</v>
      </c>
      <c r="F32" s="371" t="s">
        <v>1085</v>
      </c>
      <c r="G32" s="371" t="s">
        <v>1088</v>
      </c>
      <c r="H32" s="372"/>
      <c r="I32" s="372"/>
      <c r="J32" s="721"/>
      <c r="K32" s="721"/>
    </row>
    <row r="33" spans="1:11">
      <c r="A33" s="117">
        <f>+A26+1</f>
        <v>15</v>
      </c>
      <c r="B33" s="719" t="s">
        <v>199</v>
      </c>
      <c r="C33" s="720">
        <v>2014</v>
      </c>
      <c r="D33" s="1217">
        <v>23158.43</v>
      </c>
      <c r="E33" s="1217">
        <v>587963.37</v>
      </c>
      <c r="F33" s="1217">
        <v>35254447.619999997</v>
      </c>
      <c r="G33" s="1217">
        <v>36074030.560000002</v>
      </c>
      <c r="H33" s="724"/>
      <c r="I33" s="724"/>
      <c r="J33" s="721"/>
      <c r="K33" s="721"/>
    </row>
    <row r="34" spans="1:11">
      <c r="A34" s="117">
        <f>A33+1</f>
        <v>16</v>
      </c>
      <c r="B34" s="719" t="s">
        <v>200</v>
      </c>
      <c r="C34" s="720">
        <v>2015</v>
      </c>
      <c r="D34" s="1217">
        <v>44459.93</v>
      </c>
      <c r="E34" s="1217">
        <v>651019.18999999994</v>
      </c>
      <c r="F34" s="1217">
        <v>35655902.870000005</v>
      </c>
      <c r="G34" s="1217">
        <v>36418821.869999997</v>
      </c>
      <c r="H34" s="724"/>
      <c r="I34" s="724"/>
      <c r="J34" s="721"/>
      <c r="K34" s="721"/>
    </row>
    <row r="35" spans="1:11">
      <c r="A35" s="117">
        <f t="shared" ref="A35:A46" si="3">A34+1</f>
        <v>17</v>
      </c>
      <c r="B35" s="722" t="s">
        <v>201</v>
      </c>
      <c r="C35" s="720">
        <v>2015</v>
      </c>
      <c r="D35" s="1217">
        <v>77561.539999999994</v>
      </c>
      <c r="E35" s="1217">
        <v>861354.66</v>
      </c>
      <c r="F35" s="1217">
        <v>36643071.189999998</v>
      </c>
      <c r="G35" s="1217">
        <v>37389129.189999998</v>
      </c>
      <c r="H35" s="724"/>
      <c r="I35" s="724"/>
      <c r="J35" s="721"/>
      <c r="K35" s="721"/>
    </row>
    <row r="36" spans="1:11">
      <c r="A36" s="117">
        <f t="shared" si="3"/>
        <v>18</v>
      </c>
      <c r="B36" s="722" t="s">
        <v>214</v>
      </c>
      <c r="C36" s="720">
        <v>2015</v>
      </c>
      <c r="D36" s="1217">
        <v>110629.18</v>
      </c>
      <c r="E36" s="1217">
        <v>1631418.75</v>
      </c>
      <c r="F36" s="1217">
        <v>38013785.870000005</v>
      </c>
      <c r="G36" s="1217">
        <v>38420161.939999998</v>
      </c>
      <c r="H36" s="724"/>
      <c r="I36" s="724"/>
      <c r="J36" s="721"/>
      <c r="K36" s="721"/>
    </row>
    <row r="37" spans="1:11">
      <c r="A37" s="117">
        <f t="shared" si="3"/>
        <v>19</v>
      </c>
      <c r="B37" s="719" t="s">
        <v>202</v>
      </c>
      <c r="C37" s="720">
        <v>2015</v>
      </c>
      <c r="D37" s="1217">
        <v>191950.49</v>
      </c>
      <c r="E37" s="1217">
        <v>2033419.94</v>
      </c>
      <c r="F37" s="1217">
        <v>38720960.969999999</v>
      </c>
      <c r="G37" s="1217">
        <v>42611402.399999999</v>
      </c>
      <c r="H37" s="724"/>
      <c r="I37" s="724"/>
      <c r="J37" s="721"/>
      <c r="K37" s="721"/>
    </row>
    <row r="38" spans="1:11">
      <c r="A38" s="117">
        <f t="shared" si="3"/>
        <v>20</v>
      </c>
      <c r="B38" s="722" t="s">
        <v>203</v>
      </c>
      <c r="C38" s="720">
        <v>2015</v>
      </c>
      <c r="D38" s="1217">
        <v>218821.15</v>
      </c>
      <c r="E38" s="1217">
        <v>0</v>
      </c>
      <c r="F38" s="1217">
        <v>39599179.859999999</v>
      </c>
      <c r="G38" s="1217">
        <v>44003190.200000003</v>
      </c>
      <c r="H38" s="724"/>
      <c r="I38" s="724"/>
      <c r="J38" s="721"/>
      <c r="K38" s="721"/>
    </row>
    <row r="39" spans="1:11">
      <c r="A39" s="117">
        <f t="shared" si="3"/>
        <v>21</v>
      </c>
      <c r="B39" s="722" t="s">
        <v>204</v>
      </c>
      <c r="C39" s="720">
        <v>2015</v>
      </c>
      <c r="D39" s="1217">
        <v>1646069.62</v>
      </c>
      <c r="E39" s="1217">
        <v>0</v>
      </c>
      <c r="F39" s="1217">
        <v>39695503.479999997</v>
      </c>
      <c r="G39" s="1217">
        <v>46201393.759999998</v>
      </c>
      <c r="H39" s="724"/>
      <c r="I39" s="724"/>
      <c r="J39" s="721"/>
      <c r="K39" s="721"/>
    </row>
    <row r="40" spans="1:11">
      <c r="A40" s="117">
        <f t="shared" si="3"/>
        <v>22</v>
      </c>
      <c r="B40" s="719" t="s">
        <v>205</v>
      </c>
      <c r="C40" s="720">
        <v>2015</v>
      </c>
      <c r="D40" s="1217">
        <v>2327457.12</v>
      </c>
      <c r="E40" s="1217">
        <v>0</v>
      </c>
      <c r="F40" s="1217">
        <v>39714574.399999999</v>
      </c>
      <c r="G40" s="1217">
        <v>48006362.810000002</v>
      </c>
      <c r="H40" s="724"/>
      <c r="I40" s="724"/>
      <c r="J40" s="721"/>
      <c r="K40" s="721"/>
    </row>
    <row r="41" spans="1:11">
      <c r="A41" s="117">
        <f t="shared" si="3"/>
        <v>23</v>
      </c>
      <c r="B41" s="722" t="s">
        <v>206</v>
      </c>
      <c r="C41" s="720">
        <v>2015</v>
      </c>
      <c r="D41" s="1217">
        <v>4035918.63</v>
      </c>
      <c r="E41" s="1217">
        <v>0</v>
      </c>
      <c r="F41" s="1217">
        <v>39842565.589999996</v>
      </c>
      <c r="G41" s="1217">
        <v>49065921.619999997</v>
      </c>
      <c r="H41" s="724"/>
      <c r="I41" s="724"/>
      <c r="J41" s="721"/>
      <c r="K41" s="721"/>
    </row>
    <row r="42" spans="1:11">
      <c r="A42" s="117">
        <f t="shared" si="3"/>
        <v>24</v>
      </c>
      <c r="B42" s="722" t="s">
        <v>207</v>
      </c>
      <c r="C42" s="720">
        <v>2015</v>
      </c>
      <c r="D42" s="1217">
        <v>5546413.21</v>
      </c>
      <c r="E42" s="1217">
        <v>0</v>
      </c>
      <c r="F42" s="1217">
        <v>39913865.009999998</v>
      </c>
      <c r="G42" s="1217">
        <v>49723659.890000001</v>
      </c>
      <c r="H42" s="724"/>
      <c r="I42" s="724"/>
      <c r="J42" s="721"/>
      <c r="K42" s="721"/>
    </row>
    <row r="43" spans="1:11">
      <c r="A43" s="117">
        <f t="shared" si="3"/>
        <v>25</v>
      </c>
      <c r="B43" s="719" t="s">
        <v>208</v>
      </c>
      <c r="C43" s="720">
        <v>2015</v>
      </c>
      <c r="D43" s="1217">
        <v>5738649.3300000001</v>
      </c>
      <c r="E43" s="1217">
        <v>0</v>
      </c>
      <c r="F43" s="1217">
        <v>40011731.32</v>
      </c>
      <c r="G43" s="1217">
        <v>50500771.289999999</v>
      </c>
      <c r="H43" s="724"/>
      <c r="I43" s="724"/>
      <c r="J43" s="721"/>
      <c r="K43" s="721"/>
    </row>
    <row r="44" spans="1:11">
      <c r="A44" s="117">
        <f t="shared" si="3"/>
        <v>26</v>
      </c>
      <c r="B44" s="719" t="s">
        <v>209</v>
      </c>
      <c r="C44" s="720">
        <v>2015</v>
      </c>
      <c r="D44" s="1217">
        <v>6565172.6299999999</v>
      </c>
      <c r="E44" s="1217">
        <v>0</v>
      </c>
      <c r="F44" s="1217">
        <v>39921232.32</v>
      </c>
      <c r="G44" s="1217">
        <v>50993980.039999999</v>
      </c>
      <c r="H44" s="724"/>
      <c r="I44" s="724"/>
      <c r="J44" s="721"/>
      <c r="K44" s="721"/>
    </row>
    <row r="45" spans="1:11">
      <c r="A45" s="117">
        <f t="shared" si="3"/>
        <v>27</v>
      </c>
      <c r="B45" s="719" t="s">
        <v>199</v>
      </c>
      <c r="C45" s="720">
        <v>2015</v>
      </c>
      <c r="D45" s="123">
        <v>6769086.5099999998</v>
      </c>
      <c r="E45" s="123">
        <v>0</v>
      </c>
      <c r="F45" s="123">
        <v>2844116.01</v>
      </c>
      <c r="G45" s="123">
        <v>52084175.729999997</v>
      </c>
      <c r="H45" s="724"/>
      <c r="I45" s="724"/>
      <c r="J45" s="721"/>
      <c r="K45" s="721"/>
    </row>
    <row r="46" spans="1:11">
      <c r="A46" s="117">
        <f t="shared" si="3"/>
        <v>28</v>
      </c>
      <c r="B46" s="719"/>
      <c r="C46" s="723" t="s">
        <v>598</v>
      </c>
      <c r="D46" s="582">
        <f>SUM(D33:D45)/13</f>
        <v>2561180.597692308</v>
      </c>
      <c r="E46" s="582">
        <f>SUM(E33:E45)/13</f>
        <v>443475.07</v>
      </c>
      <c r="F46" s="582">
        <f>SUM(F33:F45)/13</f>
        <v>35833148.962307684</v>
      </c>
      <c r="G46" s="582">
        <f>SUM(G33:G45)/13</f>
        <v>44730230.869230777</v>
      </c>
      <c r="H46" s="725" t="s">
        <v>86</v>
      </c>
      <c r="I46" s="725" t="s">
        <v>86</v>
      </c>
      <c r="J46" s="721"/>
      <c r="K46" s="721"/>
    </row>
    <row r="48" spans="1:11">
      <c r="B48" s="726" t="s">
        <v>2332</v>
      </c>
    </row>
    <row r="49" spans="1:13">
      <c r="B49" s="726"/>
      <c r="D49" s="754" t="s">
        <v>394</v>
      </c>
      <c r="E49" s="754" t="s">
        <v>378</v>
      </c>
      <c r="F49" s="754" t="s">
        <v>379</v>
      </c>
      <c r="G49" s="754" t="s">
        <v>380</v>
      </c>
      <c r="H49" s="754" t="s">
        <v>381</v>
      </c>
      <c r="I49" s="754" t="s">
        <v>382</v>
      </c>
      <c r="J49" s="754" t="s">
        <v>383</v>
      </c>
      <c r="K49" s="754" t="s">
        <v>596</v>
      </c>
    </row>
    <row r="50" spans="1:13" s="755" customFormat="1">
      <c r="A50" s="954"/>
      <c r="D50" s="523" t="s">
        <v>235</v>
      </c>
      <c r="E50" s="523" t="s">
        <v>235</v>
      </c>
      <c r="F50" s="523" t="s">
        <v>235</v>
      </c>
      <c r="G50" s="523" t="s">
        <v>235</v>
      </c>
      <c r="H50" s="523" t="s">
        <v>235</v>
      </c>
      <c r="I50" s="523" t="s">
        <v>235</v>
      </c>
      <c r="J50" s="523" t="s">
        <v>235</v>
      </c>
      <c r="K50" s="523" t="s">
        <v>235</v>
      </c>
      <c r="L50" s="954"/>
    </row>
    <row r="51" spans="1:13">
      <c r="G51" s="645" t="s">
        <v>2333</v>
      </c>
      <c r="K51" s="756"/>
    </row>
    <row r="52" spans="1:13">
      <c r="A52" s="756"/>
      <c r="B52" s="756"/>
      <c r="C52" s="756"/>
      <c r="D52" s="756" t="s">
        <v>217</v>
      </c>
      <c r="E52" s="756" t="s">
        <v>2316</v>
      </c>
      <c r="F52" s="756" t="s">
        <v>2334</v>
      </c>
      <c r="G52" s="756" t="s">
        <v>215</v>
      </c>
      <c r="H52" s="756" t="s">
        <v>2335</v>
      </c>
      <c r="I52" s="757" t="s">
        <v>2336</v>
      </c>
      <c r="J52" s="756" t="s">
        <v>217</v>
      </c>
      <c r="K52" s="756" t="s">
        <v>18</v>
      </c>
    </row>
    <row r="53" spans="1:13">
      <c r="A53" s="1008" t="s">
        <v>360</v>
      </c>
      <c r="B53" s="718" t="s">
        <v>211</v>
      </c>
      <c r="C53" s="718" t="s">
        <v>212</v>
      </c>
      <c r="D53" s="754" t="s">
        <v>2337</v>
      </c>
      <c r="E53" s="754" t="s">
        <v>2317</v>
      </c>
      <c r="F53" s="754" t="s">
        <v>2338</v>
      </c>
      <c r="G53" s="754" t="s">
        <v>2339</v>
      </c>
      <c r="H53" s="754" t="s">
        <v>2340</v>
      </c>
      <c r="I53" s="754" t="s">
        <v>2341</v>
      </c>
      <c r="J53" s="754" t="s">
        <v>2342</v>
      </c>
      <c r="K53" s="3" t="s">
        <v>2343</v>
      </c>
    </row>
    <row r="54" spans="1:13">
      <c r="A54" s="117">
        <f>A46+1</f>
        <v>29</v>
      </c>
      <c r="B54" s="719" t="s">
        <v>199</v>
      </c>
      <c r="C54" s="720">
        <v>2015</v>
      </c>
      <c r="D54" s="763" t="s">
        <v>86</v>
      </c>
      <c r="E54" s="763" t="s">
        <v>86</v>
      </c>
      <c r="F54" s="763" t="s">
        <v>86</v>
      </c>
      <c r="G54" s="763" t="s">
        <v>86</v>
      </c>
      <c r="H54" s="763" t="s">
        <v>86</v>
      </c>
      <c r="I54" s="763" t="s">
        <v>86</v>
      </c>
      <c r="J54" s="7">
        <f>D25</f>
        <v>296606972.98000002</v>
      </c>
      <c r="K54" s="763" t="s">
        <v>86</v>
      </c>
    </row>
    <row r="55" spans="1:13">
      <c r="A55" s="117">
        <f>A54+1</f>
        <v>30</v>
      </c>
      <c r="B55" s="719" t="s">
        <v>200</v>
      </c>
      <c r="C55" s="720">
        <v>2016</v>
      </c>
      <c r="D55" s="7">
        <f t="shared" ref="D55:K64" si="4">D89+D122+D153+D186+D217+D250+D281+D314+D345+D378</f>
        <v>10674686.260000002</v>
      </c>
      <c r="E55" s="7">
        <f t="shared" si="4"/>
        <v>800601.46950000001</v>
      </c>
      <c r="F55" s="7">
        <f t="shared" si="4"/>
        <v>11475287.729500003</v>
      </c>
      <c r="G55" s="7">
        <f t="shared" si="4"/>
        <v>11400758.169999998</v>
      </c>
      <c r="H55" s="7">
        <f t="shared" si="4"/>
        <v>9581618.0399999991</v>
      </c>
      <c r="I55" s="7">
        <f t="shared" si="4"/>
        <v>136435.50974999985</v>
      </c>
      <c r="J55" s="7">
        <f t="shared" si="4"/>
        <v>296545067.02974999</v>
      </c>
      <c r="K55" s="7">
        <f t="shared" si="4"/>
        <v>-61905.950249982066</v>
      </c>
      <c r="L55" s="951"/>
      <c r="M55" s="7"/>
    </row>
    <row r="56" spans="1:13">
      <c r="A56" s="117">
        <f t="shared" ref="A56:A79" si="5">A55+1</f>
        <v>31</v>
      </c>
      <c r="B56" s="722" t="s">
        <v>201</v>
      </c>
      <c r="C56" s="720">
        <v>2016</v>
      </c>
      <c r="D56" s="7">
        <f t="shared" si="4"/>
        <v>14883312.990000004</v>
      </c>
      <c r="E56" s="7">
        <f t="shared" si="4"/>
        <v>1116248.4742500004</v>
      </c>
      <c r="F56" s="7">
        <f t="shared" si="4"/>
        <v>15999561.464250004</v>
      </c>
      <c r="G56" s="7">
        <f t="shared" si="4"/>
        <v>3282070.55</v>
      </c>
      <c r="H56" s="7">
        <f t="shared" si="4"/>
        <v>0</v>
      </c>
      <c r="I56" s="7">
        <f t="shared" si="4"/>
        <v>246155.29124999998</v>
      </c>
      <c r="J56" s="7">
        <f t="shared" si="4"/>
        <v>309016402.65275002</v>
      </c>
      <c r="K56" s="7">
        <f t="shared" si="4"/>
        <v>12409429.672750011</v>
      </c>
      <c r="L56" s="951"/>
      <c r="M56" s="7"/>
    </row>
    <row r="57" spans="1:13">
      <c r="A57" s="117">
        <f t="shared" si="5"/>
        <v>32</v>
      </c>
      <c r="B57" s="722" t="s">
        <v>214</v>
      </c>
      <c r="C57" s="720">
        <v>2016</v>
      </c>
      <c r="D57" s="7">
        <f t="shared" si="4"/>
        <v>16958475.57</v>
      </c>
      <c r="E57" s="7">
        <f t="shared" si="4"/>
        <v>1271885.6677499998</v>
      </c>
      <c r="F57" s="7">
        <f t="shared" si="4"/>
        <v>18230361.237749998</v>
      </c>
      <c r="G57" s="7">
        <f t="shared" si="4"/>
        <v>1078326.79</v>
      </c>
      <c r="H57" s="7">
        <f t="shared" si="4"/>
        <v>0</v>
      </c>
      <c r="I57" s="7">
        <f t="shared" si="4"/>
        <v>80874.509250000003</v>
      </c>
      <c r="J57" s="7">
        <f t="shared" si="4"/>
        <v>326087562.59125</v>
      </c>
      <c r="K57" s="7">
        <f t="shared" si="4"/>
        <v>29480589.611250024</v>
      </c>
      <c r="L57" s="951"/>
      <c r="M57" s="7"/>
    </row>
    <row r="58" spans="1:13">
      <c r="A58" s="117">
        <f t="shared" si="5"/>
        <v>33</v>
      </c>
      <c r="B58" s="719" t="s">
        <v>202</v>
      </c>
      <c r="C58" s="720">
        <v>2016</v>
      </c>
      <c r="D58" s="7">
        <f t="shared" si="4"/>
        <v>17636672.444444448</v>
      </c>
      <c r="E58" s="7">
        <f t="shared" si="4"/>
        <v>1322750.4333333336</v>
      </c>
      <c r="F58" s="7">
        <f t="shared" si="4"/>
        <v>18959422.877777781</v>
      </c>
      <c r="G58" s="7">
        <f t="shared" si="4"/>
        <v>2056443.6744444442</v>
      </c>
      <c r="H58" s="7">
        <f t="shared" si="4"/>
        <v>210499.23</v>
      </c>
      <c r="I58" s="7">
        <f t="shared" si="4"/>
        <v>138445.83333333331</v>
      </c>
      <c r="J58" s="7">
        <f t="shared" si="4"/>
        <v>342852095.96125001</v>
      </c>
      <c r="K58" s="7">
        <f t="shared" si="4"/>
        <v>46245122.981250055</v>
      </c>
      <c r="L58" s="951"/>
      <c r="M58" s="7"/>
    </row>
    <row r="59" spans="1:13">
      <c r="A59" s="117">
        <f t="shared" si="5"/>
        <v>34</v>
      </c>
      <c r="B59" s="722" t="s">
        <v>203</v>
      </c>
      <c r="C59" s="720">
        <v>2016</v>
      </c>
      <c r="D59" s="7">
        <f t="shared" si="4"/>
        <v>15210716.736111112</v>
      </c>
      <c r="E59" s="7">
        <f t="shared" si="4"/>
        <v>1140803.7552083335</v>
      </c>
      <c r="F59" s="7">
        <f t="shared" si="4"/>
        <v>16351520.491319448</v>
      </c>
      <c r="G59" s="7">
        <f t="shared" si="4"/>
        <v>2318944.4444444445</v>
      </c>
      <c r="H59" s="7">
        <f t="shared" si="4"/>
        <v>0</v>
      </c>
      <c r="I59" s="7">
        <f t="shared" si="4"/>
        <v>173920.83333333334</v>
      </c>
      <c r="J59" s="7">
        <f t="shared" si="4"/>
        <v>356710751.17479175</v>
      </c>
      <c r="K59" s="7">
        <f t="shared" si="4"/>
        <v>60103778.194791779</v>
      </c>
      <c r="L59" s="951"/>
      <c r="M59" s="7"/>
    </row>
    <row r="60" spans="1:13">
      <c r="A60" s="117">
        <f t="shared" si="5"/>
        <v>35</v>
      </c>
      <c r="B60" s="722" t="s">
        <v>1663</v>
      </c>
      <c r="C60" s="720">
        <v>2016</v>
      </c>
      <c r="D60" s="7">
        <f t="shared" si="4"/>
        <v>16516477.736111112</v>
      </c>
      <c r="E60" s="7">
        <f t="shared" si="4"/>
        <v>1238735.8302083334</v>
      </c>
      <c r="F60" s="7">
        <f t="shared" si="4"/>
        <v>17755213.566319447</v>
      </c>
      <c r="G60" s="7">
        <f t="shared" si="4"/>
        <v>1785944.4444444443</v>
      </c>
      <c r="H60" s="7">
        <f t="shared" si="4"/>
        <v>0</v>
      </c>
      <c r="I60" s="7">
        <f t="shared" si="4"/>
        <v>133945.83333333331</v>
      </c>
      <c r="J60" s="7">
        <f t="shared" si="4"/>
        <v>372546074.46333349</v>
      </c>
      <c r="K60" s="7">
        <f t="shared" si="4"/>
        <v>75939101.483333498</v>
      </c>
      <c r="L60" s="951"/>
      <c r="M60" s="7"/>
    </row>
    <row r="61" spans="1:13">
      <c r="A61" s="117">
        <f t="shared" si="5"/>
        <v>36</v>
      </c>
      <c r="B61" s="719" t="s">
        <v>205</v>
      </c>
      <c r="C61" s="720">
        <v>2016</v>
      </c>
      <c r="D61" s="7">
        <f t="shared" si="4"/>
        <v>16492033.736111112</v>
      </c>
      <c r="E61" s="7">
        <f t="shared" si="4"/>
        <v>1236902.5302083334</v>
      </c>
      <c r="F61" s="7">
        <f t="shared" si="4"/>
        <v>17728936.266319446</v>
      </c>
      <c r="G61" s="7">
        <f t="shared" si="4"/>
        <v>1758944.4444444443</v>
      </c>
      <c r="H61" s="7">
        <f t="shared" si="4"/>
        <v>0</v>
      </c>
      <c r="I61" s="7">
        <f t="shared" si="4"/>
        <v>131920.83333333331</v>
      </c>
      <c r="J61" s="7">
        <f t="shared" si="4"/>
        <v>388384145.45187521</v>
      </c>
      <c r="K61" s="7">
        <f t="shared" si="4"/>
        <v>91777172.47187525</v>
      </c>
      <c r="L61" s="951"/>
      <c r="M61" s="7"/>
    </row>
    <row r="62" spans="1:13">
      <c r="A62" s="117">
        <f t="shared" si="5"/>
        <v>37</v>
      </c>
      <c r="B62" s="722" t="s">
        <v>206</v>
      </c>
      <c r="C62" s="720">
        <v>2016</v>
      </c>
      <c r="D62" s="7">
        <f t="shared" si="4"/>
        <v>15032209.736111112</v>
      </c>
      <c r="E62" s="7">
        <f t="shared" si="4"/>
        <v>1127415.7302083333</v>
      </c>
      <c r="F62" s="7">
        <f t="shared" si="4"/>
        <v>16159625.466319446</v>
      </c>
      <c r="G62" s="7">
        <f t="shared" si="4"/>
        <v>1634644.4444444445</v>
      </c>
      <c r="H62" s="7">
        <f t="shared" si="4"/>
        <v>0</v>
      </c>
      <c r="I62" s="7">
        <f t="shared" si="4"/>
        <v>122598.33333333333</v>
      </c>
      <c r="J62" s="7">
        <f t="shared" si="4"/>
        <v>402786528.14041692</v>
      </c>
      <c r="K62" s="7">
        <f t="shared" si="4"/>
        <v>106179555.16041698</v>
      </c>
      <c r="L62" s="951"/>
      <c r="M62" s="7"/>
    </row>
    <row r="63" spans="1:13">
      <c r="A63" s="117">
        <f t="shared" si="5"/>
        <v>38</v>
      </c>
      <c r="B63" s="722" t="s">
        <v>207</v>
      </c>
      <c r="C63" s="720">
        <v>2016</v>
      </c>
      <c r="D63" s="7">
        <f t="shared" si="4"/>
        <v>13416513.736111112</v>
      </c>
      <c r="E63" s="7">
        <f t="shared" si="4"/>
        <v>1006238.5302083334</v>
      </c>
      <c r="F63" s="7">
        <f t="shared" si="4"/>
        <v>14422752.266319446</v>
      </c>
      <c r="G63" s="7">
        <f t="shared" si="4"/>
        <v>1631444.4444444443</v>
      </c>
      <c r="H63" s="7">
        <f t="shared" si="4"/>
        <v>0</v>
      </c>
      <c r="I63" s="7">
        <f t="shared" si="4"/>
        <v>122358.33333333331</v>
      </c>
      <c r="J63" s="7">
        <f t="shared" si="4"/>
        <v>415455477.6289587</v>
      </c>
      <c r="K63" s="7">
        <f t="shared" si="4"/>
        <v>118848504.6489587</v>
      </c>
      <c r="L63" s="951"/>
      <c r="M63" s="7"/>
    </row>
    <row r="64" spans="1:13">
      <c r="A64" s="117">
        <f t="shared" si="5"/>
        <v>39</v>
      </c>
      <c r="B64" s="719" t="s">
        <v>210</v>
      </c>
      <c r="C64" s="720">
        <v>2016</v>
      </c>
      <c r="D64" s="7">
        <f t="shared" si="4"/>
        <v>9779687.7361111119</v>
      </c>
      <c r="E64" s="7">
        <f t="shared" si="4"/>
        <v>733476.58020833333</v>
      </c>
      <c r="F64" s="7">
        <f t="shared" si="4"/>
        <v>10513164.316319443</v>
      </c>
      <c r="G64" s="7">
        <f t="shared" si="4"/>
        <v>322116773.22444445</v>
      </c>
      <c r="H64" s="7">
        <f t="shared" si="4"/>
        <v>225327976.69000003</v>
      </c>
      <c r="I64" s="7">
        <f t="shared" si="4"/>
        <v>7259159.7400833312</v>
      </c>
      <c r="J64" s="7">
        <f t="shared" si="4"/>
        <v>96592708.980750367</v>
      </c>
      <c r="K64" s="7">
        <f t="shared" si="4"/>
        <v>-200014263.99924961</v>
      </c>
      <c r="L64" s="951"/>
      <c r="M64" s="7"/>
    </row>
    <row r="65" spans="1:13">
      <c r="A65" s="117">
        <f t="shared" si="5"/>
        <v>40</v>
      </c>
      <c r="B65" s="719" t="s">
        <v>209</v>
      </c>
      <c r="C65" s="720">
        <v>2016</v>
      </c>
      <c r="D65" s="7">
        <f t="shared" ref="D65:K74" si="6">D99+D132+D163+D196+D227+D260+D291+D324+D355+D388</f>
        <v>9330908.7361111119</v>
      </c>
      <c r="E65" s="7">
        <f t="shared" si="6"/>
        <v>699818.15520833328</v>
      </c>
      <c r="F65" s="7">
        <f t="shared" si="6"/>
        <v>10030726.891319444</v>
      </c>
      <c r="G65" s="7">
        <f t="shared" si="6"/>
        <v>4401444.444444444</v>
      </c>
      <c r="H65" s="7">
        <f t="shared" si="6"/>
        <v>0</v>
      </c>
      <c r="I65" s="7">
        <f t="shared" si="6"/>
        <v>330108.33333333331</v>
      </c>
      <c r="J65" s="7">
        <f t="shared" si="6"/>
        <v>101891883.09429204</v>
      </c>
      <c r="K65" s="7">
        <f t="shared" si="6"/>
        <v>-194715089.88570791</v>
      </c>
      <c r="L65" s="951"/>
      <c r="M65" s="7"/>
    </row>
    <row r="66" spans="1:13">
      <c r="A66" s="117">
        <f t="shared" si="5"/>
        <v>41</v>
      </c>
      <c r="B66" s="719" t="s">
        <v>199</v>
      </c>
      <c r="C66" s="720">
        <v>2016</v>
      </c>
      <c r="D66" s="7">
        <f t="shared" si="6"/>
        <v>16918087.13611111</v>
      </c>
      <c r="E66" s="7">
        <f t="shared" si="6"/>
        <v>1268856.5352083333</v>
      </c>
      <c r="F66" s="7">
        <f t="shared" si="6"/>
        <v>18186943.671319444</v>
      </c>
      <c r="G66" s="7">
        <f t="shared" si="6"/>
        <v>10929482.844444444</v>
      </c>
      <c r="H66" s="7">
        <f t="shared" si="6"/>
        <v>0</v>
      </c>
      <c r="I66" s="7">
        <f t="shared" si="6"/>
        <v>819711.21333333326</v>
      </c>
      <c r="J66" s="7">
        <f t="shared" si="6"/>
        <v>108329632.70783371</v>
      </c>
      <c r="K66" s="7">
        <f t="shared" si="6"/>
        <v>-188277340.27216628</v>
      </c>
      <c r="L66" s="951"/>
      <c r="M66" s="7"/>
    </row>
    <row r="67" spans="1:13">
      <c r="A67" s="117">
        <f t="shared" si="5"/>
        <v>42</v>
      </c>
      <c r="B67" s="719" t="s">
        <v>200</v>
      </c>
      <c r="C67" s="720">
        <v>2017</v>
      </c>
      <c r="D67" s="7">
        <f t="shared" si="6"/>
        <v>3814752.8141025645</v>
      </c>
      <c r="E67" s="7">
        <f t="shared" si="6"/>
        <v>286106.4610576923</v>
      </c>
      <c r="F67" s="7">
        <f t="shared" si="6"/>
        <v>4100859.2751602568</v>
      </c>
      <c r="G67" s="7">
        <f t="shared" si="6"/>
        <v>0</v>
      </c>
      <c r="H67" s="7">
        <f t="shared" si="6"/>
        <v>0</v>
      </c>
      <c r="I67" s="7">
        <f t="shared" si="6"/>
        <v>0</v>
      </c>
      <c r="J67" s="7">
        <f t="shared" si="6"/>
        <v>112430491.98299396</v>
      </c>
      <c r="K67" s="7">
        <f t="shared" si="6"/>
        <v>-184176480.997006</v>
      </c>
      <c r="L67" s="951"/>
      <c r="M67" s="7"/>
    </row>
    <row r="68" spans="1:13">
      <c r="A68" s="117">
        <f t="shared" si="5"/>
        <v>43</v>
      </c>
      <c r="B68" s="722" t="s">
        <v>201</v>
      </c>
      <c r="C68" s="720">
        <v>2017</v>
      </c>
      <c r="D68" s="7">
        <f t="shared" si="6"/>
        <v>16163543.506410256</v>
      </c>
      <c r="E68" s="7">
        <f t="shared" si="6"/>
        <v>1212265.7629807692</v>
      </c>
      <c r="F68" s="7">
        <f t="shared" si="6"/>
        <v>17375809.269391023</v>
      </c>
      <c r="G68" s="7">
        <f t="shared" si="6"/>
        <v>35027942.540000007</v>
      </c>
      <c r="H68" s="7">
        <f t="shared" si="6"/>
        <v>6558587.2800000003</v>
      </c>
      <c r="I68" s="7">
        <f t="shared" si="6"/>
        <v>2135201.6445000004</v>
      </c>
      <c r="J68" s="7">
        <f t="shared" si="6"/>
        <v>92643157.067884982</v>
      </c>
      <c r="K68" s="7">
        <f t="shared" si="6"/>
        <v>-203963815.91211504</v>
      </c>
      <c r="L68" s="951"/>
      <c r="M68" s="7"/>
    </row>
    <row r="69" spans="1:13">
      <c r="A69" s="117">
        <f t="shared" si="5"/>
        <v>44</v>
      </c>
      <c r="B69" s="722" t="s">
        <v>214</v>
      </c>
      <c r="C69" s="720">
        <v>2017</v>
      </c>
      <c r="D69" s="7">
        <f t="shared" si="6"/>
        <v>7163543.506410257</v>
      </c>
      <c r="E69" s="7">
        <f t="shared" si="6"/>
        <v>537265.76298076927</v>
      </c>
      <c r="F69" s="7">
        <f t="shared" si="6"/>
        <v>7700809.2693910263</v>
      </c>
      <c r="G69" s="7">
        <f t="shared" si="6"/>
        <v>100000</v>
      </c>
      <c r="H69" s="7">
        <f t="shared" si="6"/>
        <v>0</v>
      </c>
      <c r="I69" s="7">
        <f t="shared" si="6"/>
        <v>7500</v>
      </c>
      <c r="J69" s="7">
        <f t="shared" si="6"/>
        <v>100236466.337276</v>
      </c>
      <c r="K69" s="7">
        <f t="shared" si="6"/>
        <v>-196370506.64272401</v>
      </c>
      <c r="L69" s="951"/>
      <c r="M69" s="7"/>
    </row>
    <row r="70" spans="1:13">
      <c r="A70" s="117">
        <f t="shared" si="5"/>
        <v>45</v>
      </c>
      <c r="B70" s="719" t="s">
        <v>202</v>
      </c>
      <c r="C70" s="720">
        <v>2017</v>
      </c>
      <c r="D70" s="7">
        <f t="shared" si="6"/>
        <v>8063543.506410257</v>
      </c>
      <c r="E70" s="7">
        <f t="shared" si="6"/>
        <v>604765.76298076927</v>
      </c>
      <c r="F70" s="7">
        <f t="shared" si="6"/>
        <v>8668309.2693910263</v>
      </c>
      <c r="G70" s="7">
        <f t="shared" si="6"/>
        <v>0</v>
      </c>
      <c r="H70" s="7">
        <f t="shared" si="6"/>
        <v>0</v>
      </c>
      <c r="I70" s="7">
        <f t="shared" si="6"/>
        <v>0</v>
      </c>
      <c r="J70" s="7">
        <f t="shared" si="6"/>
        <v>108904775.60666703</v>
      </c>
      <c r="K70" s="7">
        <f t="shared" si="6"/>
        <v>-187702197.37333298</v>
      </c>
      <c r="L70" s="951"/>
      <c r="M70" s="7"/>
    </row>
    <row r="71" spans="1:13">
      <c r="A71" s="117">
        <f t="shared" si="5"/>
        <v>46</v>
      </c>
      <c r="B71" s="722" t="s">
        <v>203</v>
      </c>
      <c r="C71" s="720">
        <v>2017</v>
      </c>
      <c r="D71" s="7">
        <f t="shared" si="6"/>
        <v>17198776.083333332</v>
      </c>
      <c r="E71" s="7">
        <f t="shared" si="6"/>
        <v>1289908.20625</v>
      </c>
      <c r="F71" s="7">
        <f t="shared" si="6"/>
        <v>18488684.289583333</v>
      </c>
      <c r="G71" s="7">
        <f t="shared" si="6"/>
        <v>0</v>
      </c>
      <c r="H71" s="7">
        <f t="shared" si="6"/>
        <v>0</v>
      </c>
      <c r="I71" s="7">
        <f t="shared" si="6"/>
        <v>0</v>
      </c>
      <c r="J71" s="7">
        <f t="shared" si="6"/>
        <v>127393459.89625035</v>
      </c>
      <c r="K71" s="7">
        <f t="shared" si="6"/>
        <v>-169213513.08374965</v>
      </c>
      <c r="L71" s="951"/>
      <c r="M71" s="7"/>
    </row>
    <row r="72" spans="1:13">
      <c r="A72" s="117">
        <f t="shared" si="5"/>
        <v>47</v>
      </c>
      <c r="B72" s="722" t="s">
        <v>1663</v>
      </c>
      <c r="C72" s="720">
        <v>2017</v>
      </c>
      <c r="D72" s="7">
        <f t="shared" si="6"/>
        <v>27198776.083333332</v>
      </c>
      <c r="E72" s="7">
        <f t="shared" si="6"/>
        <v>2039908.20625</v>
      </c>
      <c r="F72" s="7">
        <f t="shared" si="6"/>
        <v>29238684.289583333</v>
      </c>
      <c r="G72" s="7">
        <f t="shared" si="6"/>
        <v>0</v>
      </c>
      <c r="H72" s="7">
        <f t="shared" si="6"/>
        <v>0</v>
      </c>
      <c r="I72" s="7">
        <f t="shared" si="6"/>
        <v>0</v>
      </c>
      <c r="J72" s="7">
        <f t="shared" si="6"/>
        <v>156632144.18583369</v>
      </c>
      <c r="K72" s="7">
        <f t="shared" si="6"/>
        <v>-139974828.7941663</v>
      </c>
      <c r="L72" s="951"/>
      <c r="M72" s="7"/>
    </row>
    <row r="73" spans="1:13">
      <c r="A73" s="117">
        <f t="shared" si="5"/>
        <v>48</v>
      </c>
      <c r="B73" s="719" t="s">
        <v>205</v>
      </c>
      <c r="C73" s="720">
        <v>2017</v>
      </c>
      <c r="D73" s="7">
        <f t="shared" si="6"/>
        <v>37166776.083333336</v>
      </c>
      <c r="E73" s="7">
        <f t="shared" si="6"/>
        <v>2787508.2062499998</v>
      </c>
      <c r="F73" s="7">
        <f t="shared" si="6"/>
        <v>39954284.289583333</v>
      </c>
      <c r="G73" s="7">
        <f t="shared" si="6"/>
        <v>0</v>
      </c>
      <c r="H73" s="7">
        <f t="shared" si="6"/>
        <v>0</v>
      </c>
      <c r="I73" s="7">
        <f t="shared" si="6"/>
        <v>0</v>
      </c>
      <c r="J73" s="7">
        <f t="shared" si="6"/>
        <v>196586428.47541705</v>
      </c>
      <c r="K73" s="7">
        <f t="shared" si="6"/>
        <v>-100020544.50458297</v>
      </c>
      <c r="L73" s="951"/>
      <c r="M73" s="7"/>
    </row>
    <row r="74" spans="1:13">
      <c r="A74" s="117">
        <f t="shared" si="5"/>
        <v>49</v>
      </c>
      <c r="B74" s="722" t="s">
        <v>206</v>
      </c>
      <c r="C74" s="720">
        <v>2017</v>
      </c>
      <c r="D74" s="7">
        <f t="shared" si="6"/>
        <v>37166776.083333336</v>
      </c>
      <c r="E74" s="7">
        <f t="shared" si="6"/>
        <v>2787508.2062499998</v>
      </c>
      <c r="F74" s="7">
        <f t="shared" si="6"/>
        <v>39954284.289583333</v>
      </c>
      <c r="G74" s="7">
        <f t="shared" si="6"/>
        <v>0</v>
      </c>
      <c r="H74" s="7">
        <f t="shared" si="6"/>
        <v>0</v>
      </c>
      <c r="I74" s="7">
        <f t="shared" si="6"/>
        <v>0</v>
      </c>
      <c r="J74" s="7">
        <f t="shared" si="6"/>
        <v>236540712.76500037</v>
      </c>
      <c r="K74" s="7">
        <f t="shared" si="6"/>
        <v>-60066260.214999616</v>
      </c>
      <c r="L74" s="951"/>
      <c r="M74" s="7"/>
    </row>
    <row r="75" spans="1:13">
      <c r="A75" s="117">
        <f t="shared" si="5"/>
        <v>50</v>
      </c>
      <c r="B75" s="722" t="s">
        <v>207</v>
      </c>
      <c r="C75" s="720">
        <v>2017</v>
      </c>
      <c r="D75" s="7">
        <f t="shared" ref="D75:K75" si="7">D109+D142+D173+D206+D237+D270+D301+D334+D365+D398</f>
        <v>37131776.083333336</v>
      </c>
      <c r="E75" s="7">
        <f t="shared" si="7"/>
        <v>2784883.2062499998</v>
      </c>
      <c r="F75" s="7">
        <f t="shared" si="7"/>
        <v>39916659.289583333</v>
      </c>
      <c r="G75" s="7">
        <f t="shared" si="7"/>
        <v>0</v>
      </c>
      <c r="H75" s="7">
        <f t="shared" si="7"/>
        <v>0</v>
      </c>
      <c r="I75" s="7">
        <f t="shared" si="7"/>
        <v>0</v>
      </c>
      <c r="J75" s="7">
        <f t="shared" si="7"/>
        <v>276457372.05458373</v>
      </c>
      <c r="K75" s="527">
        <f t="shared" si="7"/>
        <v>-20149600.925416291</v>
      </c>
      <c r="L75" s="951"/>
      <c r="M75" s="7"/>
    </row>
    <row r="76" spans="1:13">
      <c r="A76" s="117">
        <f t="shared" si="5"/>
        <v>51</v>
      </c>
      <c r="B76" s="722" t="s">
        <v>210</v>
      </c>
      <c r="C76" s="720">
        <v>2017</v>
      </c>
      <c r="D76" s="7">
        <f>D110+D143+D174+D207+D238+D271+D302+D335+D366</f>
        <v>33976776.083333336</v>
      </c>
      <c r="E76" s="7">
        <f>E110+E143+E174+E207+E238+E271+E302+E335+E366+E399</f>
        <v>2548258.2062499998</v>
      </c>
      <c r="F76" s="7">
        <f t="shared" ref="F76:K78" si="8">F110+F143+F174+F207+F238+F271+F302+F335+F366+F399</f>
        <v>36525034.289583333</v>
      </c>
      <c r="G76" s="7">
        <f t="shared" si="8"/>
        <v>0</v>
      </c>
      <c r="H76" s="7">
        <f t="shared" si="8"/>
        <v>0</v>
      </c>
      <c r="I76" s="7">
        <f t="shared" si="8"/>
        <v>0</v>
      </c>
      <c r="J76" s="7">
        <f t="shared" si="8"/>
        <v>312982406.34416705</v>
      </c>
      <c r="K76" s="527">
        <f t="shared" si="8"/>
        <v>16375433.364167035</v>
      </c>
      <c r="L76" s="951"/>
      <c r="M76" s="7"/>
    </row>
    <row r="77" spans="1:13">
      <c r="A77" s="117">
        <f t="shared" si="5"/>
        <v>52</v>
      </c>
      <c r="B77" s="722" t="s">
        <v>209</v>
      </c>
      <c r="C77" s="720">
        <v>2017</v>
      </c>
      <c r="D77" s="7">
        <f>D111+D144+D175+D208+D239+D272+D303+D336+D367</f>
        <v>15714776.083333334</v>
      </c>
      <c r="E77" s="7">
        <f>E111+E144+E175+E208+E239+E272+E303+E336+E367+E400</f>
        <v>1178608.20625</v>
      </c>
      <c r="F77" s="7">
        <f t="shared" si="8"/>
        <v>16893384.289583333</v>
      </c>
      <c r="G77" s="7">
        <f t="shared" si="8"/>
        <v>0</v>
      </c>
      <c r="H77" s="7">
        <f t="shared" si="8"/>
        <v>0</v>
      </c>
      <c r="I77" s="7">
        <f t="shared" si="8"/>
        <v>0</v>
      </c>
      <c r="J77" s="7">
        <f t="shared" si="8"/>
        <v>329875790.63375038</v>
      </c>
      <c r="K77" s="527">
        <f t="shared" si="8"/>
        <v>33268817.65375036</v>
      </c>
      <c r="L77" s="951"/>
      <c r="M77" s="7"/>
    </row>
    <row r="78" spans="1:13">
      <c r="A78" s="117">
        <f t="shared" si="5"/>
        <v>53</v>
      </c>
      <c r="B78" s="722" t="s">
        <v>199</v>
      </c>
      <c r="C78" s="720">
        <v>2017</v>
      </c>
      <c r="D78" s="7">
        <f>D112+D145+D176+D209+D240+D273+D304+D337+D368+D401</f>
        <v>15743776.083333334</v>
      </c>
      <c r="E78" s="7">
        <f>E112+E145+E176+E209+E240+E273+E304+E337+E368+E401</f>
        <v>1180783.20625</v>
      </c>
      <c r="F78" s="7">
        <f t="shared" si="8"/>
        <v>16924559.289583333</v>
      </c>
      <c r="G78" s="7">
        <f t="shared" si="8"/>
        <v>0</v>
      </c>
      <c r="H78" s="7">
        <f t="shared" si="8"/>
        <v>0</v>
      </c>
      <c r="I78" s="7">
        <f t="shared" si="8"/>
        <v>0</v>
      </c>
      <c r="J78" s="7">
        <f t="shared" si="8"/>
        <v>346800349.9233337</v>
      </c>
      <c r="K78" s="98">
        <f>K112+K145+K176+K209+K240+K273+K304+K337+K368+K401</f>
        <v>50193376.943333685</v>
      </c>
      <c r="L78" s="952"/>
      <c r="M78" s="7"/>
    </row>
    <row r="79" spans="1:13">
      <c r="A79" s="117">
        <f t="shared" si="5"/>
        <v>54</v>
      </c>
      <c r="C79" s="758" t="s">
        <v>1838</v>
      </c>
      <c r="K79" s="79">
        <f>AVERAGE(K66:K78)</f>
        <v>-103852112.36607756</v>
      </c>
      <c r="L79" s="955"/>
    </row>
    <row r="81" spans="1:11">
      <c r="B81" s="726" t="s">
        <v>2344</v>
      </c>
    </row>
    <row r="82" spans="1:11" s="759" customFormat="1">
      <c r="B82" s="760" t="s">
        <v>2345</v>
      </c>
      <c r="D82" s="1438" t="s">
        <v>249</v>
      </c>
      <c r="E82" s="1438"/>
    </row>
    <row r="83" spans="1:11" s="754" customFormat="1">
      <c r="D83" s="754" t="s">
        <v>394</v>
      </c>
      <c r="E83" s="754" t="s">
        <v>378</v>
      </c>
      <c r="F83" s="754" t="s">
        <v>379</v>
      </c>
      <c r="G83" s="754" t="s">
        <v>380</v>
      </c>
      <c r="H83" s="754" t="s">
        <v>381</v>
      </c>
      <c r="I83" s="754" t="s">
        <v>382</v>
      </c>
      <c r="J83" s="754" t="s">
        <v>383</v>
      </c>
      <c r="K83" s="754" t="s">
        <v>596</v>
      </c>
    </row>
    <row r="84" spans="1:11" s="759" customFormat="1" ht="25.9" customHeight="1">
      <c r="D84" s="761"/>
      <c r="E84" s="762" t="s">
        <v>2594</v>
      </c>
      <c r="F84" s="763" t="s">
        <v>2346</v>
      </c>
      <c r="G84" s="528"/>
      <c r="H84" s="761"/>
      <c r="I84" s="762" t="s">
        <v>2595</v>
      </c>
      <c r="J84" s="762" t="s">
        <v>2347</v>
      </c>
      <c r="K84" s="762" t="s">
        <v>2348</v>
      </c>
    </row>
    <row r="85" spans="1:11" s="759" customFormat="1">
      <c r="D85" s="761"/>
      <c r="E85" s="764"/>
      <c r="F85" s="764"/>
      <c r="G85" s="645" t="str">
        <f>G51</f>
        <v>Unloaded</v>
      </c>
      <c r="H85" s="761"/>
      <c r="I85" s="764"/>
      <c r="J85" s="764"/>
      <c r="K85" s="645"/>
    </row>
    <row r="86" spans="1:11" s="756" customFormat="1">
      <c r="D86" s="756" t="str">
        <f>D$52</f>
        <v>Forecast</v>
      </c>
      <c r="E86" s="756" t="str">
        <f t="shared" ref="E86:J86" si="9">E$52</f>
        <v>Corporate</v>
      </c>
      <c r="F86" s="756" t="str">
        <f t="shared" si="9"/>
        <v xml:space="preserve">Total </v>
      </c>
      <c r="G86" s="645" t="str">
        <f>G52</f>
        <v>Total</v>
      </c>
      <c r="H86" s="756" t="str">
        <f t="shared" si="9"/>
        <v>Prior Period</v>
      </c>
      <c r="I86" s="756" t="str">
        <f t="shared" si="9"/>
        <v>Over Heads</v>
      </c>
      <c r="J86" s="756" t="str">
        <f t="shared" si="9"/>
        <v>Forecast</v>
      </c>
      <c r="K86" s="645" t="str">
        <f>K$52</f>
        <v>Forecast Period</v>
      </c>
    </row>
    <row r="87" spans="1:11" s="759" customFormat="1">
      <c r="A87" s="1008" t="s">
        <v>360</v>
      </c>
      <c r="B87" s="718" t="s">
        <v>211</v>
      </c>
      <c r="C87" s="718" t="s">
        <v>212</v>
      </c>
      <c r="D87" s="754" t="str">
        <f>D$53</f>
        <v>Expenditures</v>
      </c>
      <c r="E87" s="754" t="str">
        <f t="shared" ref="E87:J87" si="10">E$53</f>
        <v>Overheads</v>
      </c>
      <c r="F87" s="754" t="str">
        <f t="shared" si="10"/>
        <v>CWIP Exp</v>
      </c>
      <c r="G87" s="3" t="str">
        <f>G53</f>
        <v>Plant Adds</v>
      </c>
      <c r="H87" s="754" t="str">
        <f t="shared" si="10"/>
        <v>CWIP Closed</v>
      </c>
      <c r="I87" s="754" t="str">
        <f t="shared" si="10"/>
        <v>Closed to PIS</v>
      </c>
      <c r="J87" s="754" t="str">
        <f t="shared" si="10"/>
        <v>Period CWIP</v>
      </c>
      <c r="K87" s="754" t="str">
        <f>K$53</f>
        <v>Incremental CWIP</v>
      </c>
    </row>
    <row r="88" spans="1:11" s="759" customFormat="1">
      <c r="A88" s="117">
        <f>A79+1</f>
        <v>55</v>
      </c>
      <c r="B88" s="719" t="s">
        <v>199</v>
      </c>
      <c r="C88" s="720">
        <v>2015</v>
      </c>
      <c r="D88" s="763" t="s">
        <v>86</v>
      </c>
      <c r="E88" s="763" t="s">
        <v>86</v>
      </c>
      <c r="F88" s="763" t="s">
        <v>86</v>
      </c>
      <c r="G88" s="763" t="s">
        <v>86</v>
      </c>
      <c r="H88" s="763" t="s">
        <v>86</v>
      </c>
      <c r="I88" s="763" t="s">
        <v>86</v>
      </c>
      <c r="J88" s="64">
        <f>E25</f>
        <v>225689500.47</v>
      </c>
      <c r="K88" s="763" t="s">
        <v>86</v>
      </c>
    </row>
    <row r="89" spans="1:11" s="759" customFormat="1">
      <c r="A89" s="117">
        <f>A88+1</f>
        <v>56</v>
      </c>
      <c r="B89" s="719" t="s">
        <v>200</v>
      </c>
      <c r="C89" s="720">
        <v>2016</v>
      </c>
      <c r="D89" s="1217">
        <v>10337896.73</v>
      </c>
      <c r="E89" s="64">
        <f>D89*'16-PlantAdditions'!$E$103</f>
        <v>775342.25474999996</v>
      </c>
      <c r="F89" s="64">
        <f>E89+D89</f>
        <v>11113238.984750001</v>
      </c>
      <c r="G89" s="1217">
        <v>2254405.1399999997</v>
      </c>
      <c r="H89" s="1217">
        <v>361523.78</v>
      </c>
      <c r="I89" s="64">
        <f>(G89-H89)*'16-PlantAdditions'!$E$103</f>
        <v>141966.10199999996</v>
      </c>
      <c r="J89" s="64">
        <f>J88+F89-G89-I89</f>
        <v>234406368.21275002</v>
      </c>
      <c r="K89" s="64">
        <f>J89-$J$88</f>
        <v>8716867.7427500188</v>
      </c>
    </row>
    <row r="90" spans="1:11" s="759" customFormat="1">
      <c r="A90" s="117">
        <f t="shared" ref="A90:A108" si="11">A89+1</f>
        <v>57</v>
      </c>
      <c r="B90" s="722" t="s">
        <v>201</v>
      </c>
      <c r="C90" s="720">
        <v>2016</v>
      </c>
      <c r="D90" s="1217">
        <v>14251567.420000002</v>
      </c>
      <c r="E90" s="64">
        <f>D90*'16-PlantAdditions'!$E$103</f>
        <v>1068867.5565000002</v>
      </c>
      <c r="F90" s="64">
        <f t="shared" ref="F90:F112" si="12">E90+D90</f>
        <v>15320434.976500003</v>
      </c>
      <c r="G90" s="1217">
        <v>3367223.86</v>
      </c>
      <c r="H90" s="1217">
        <v>0</v>
      </c>
      <c r="I90" s="64">
        <f>(G90-H90)*'16-PlantAdditions'!$E$103</f>
        <v>252541.78949999998</v>
      </c>
      <c r="J90" s="64">
        <f t="shared" ref="J90:J108" si="13">J89+F90-G90-I90</f>
        <v>246107037.53975001</v>
      </c>
      <c r="K90" s="64">
        <f t="shared" ref="K90:K112" si="14">J90-$J$88</f>
        <v>20417537.069750011</v>
      </c>
    </row>
    <row r="91" spans="1:11" s="759" customFormat="1">
      <c r="A91" s="117">
        <f t="shared" si="11"/>
        <v>58</v>
      </c>
      <c r="B91" s="722" t="s">
        <v>214</v>
      </c>
      <c r="C91" s="720">
        <v>2016</v>
      </c>
      <c r="D91" s="1217">
        <v>13267607.35</v>
      </c>
      <c r="E91" s="64">
        <f>D91*'16-PlantAdditions'!$E$103</f>
        <v>995070.5512499999</v>
      </c>
      <c r="F91" s="64">
        <f t="shared" si="12"/>
        <v>14262677.901249999</v>
      </c>
      <c r="G91" s="1217">
        <v>1028114.1900000001</v>
      </c>
      <c r="H91" s="1217">
        <v>0</v>
      </c>
      <c r="I91" s="64">
        <f>(G91-H91)*'16-PlantAdditions'!$E$103</f>
        <v>77108.564249999996</v>
      </c>
      <c r="J91" s="64">
        <f t="shared" si="13"/>
        <v>259264492.68675002</v>
      </c>
      <c r="K91" s="64">
        <f t="shared" si="14"/>
        <v>33574992.216750026</v>
      </c>
    </row>
    <row r="92" spans="1:11" s="759" customFormat="1">
      <c r="A92" s="117">
        <f t="shared" si="11"/>
        <v>59</v>
      </c>
      <c r="B92" s="719" t="s">
        <v>202</v>
      </c>
      <c r="C92" s="720">
        <v>2016</v>
      </c>
      <c r="D92" s="1217">
        <v>12821444.444444446</v>
      </c>
      <c r="E92" s="64">
        <f>D92*'16-PlantAdditions'!$E$103</f>
        <v>961608.33333333337</v>
      </c>
      <c r="F92" s="64">
        <f t="shared" si="12"/>
        <v>13783052.77777778</v>
      </c>
      <c r="G92" s="1217">
        <v>1823944.4444444443</v>
      </c>
      <c r="H92" s="1217">
        <v>0</v>
      </c>
      <c r="I92" s="64">
        <f>(G92-H92)*'16-PlantAdditions'!$E$103</f>
        <v>136795.83333333331</v>
      </c>
      <c r="J92" s="64">
        <f t="shared" si="13"/>
        <v>271086805.18675005</v>
      </c>
      <c r="K92" s="64">
        <f t="shared" si="14"/>
        <v>45397304.716750056</v>
      </c>
    </row>
    <row r="93" spans="1:11" s="759" customFormat="1">
      <c r="A93" s="117">
        <f t="shared" si="11"/>
        <v>60</v>
      </c>
      <c r="B93" s="722" t="s">
        <v>203</v>
      </c>
      <c r="C93" s="720">
        <v>2016</v>
      </c>
      <c r="D93" s="1217">
        <v>13373944.444444446</v>
      </c>
      <c r="E93" s="64">
        <f>D93*'16-PlantAdditions'!$E$103</f>
        <v>1003045.8333333334</v>
      </c>
      <c r="F93" s="64">
        <f t="shared" si="12"/>
        <v>14376990.27777778</v>
      </c>
      <c r="G93" s="1217">
        <v>2268944.4444444445</v>
      </c>
      <c r="H93" s="1217">
        <v>0</v>
      </c>
      <c r="I93" s="64">
        <f>(G93-H93)*'16-PlantAdditions'!$E$103</f>
        <v>170170.83333333334</v>
      </c>
      <c r="J93" s="64">
        <f t="shared" si="13"/>
        <v>283024680.18675011</v>
      </c>
      <c r="K93" s="64">
        <f t="shared" si="14"/>
        <v>57335179.716750115</v>
      </c>
    </row>
    <row r="94" spans="1:11" s="759" customFormat="1">
      <c r="A94" s="117">
        <f t="shared" si="11"/>
        <v>61</v>
      </c>
      <c r="B94" s="722" t="s">
        <v>1663</v>
      </c>
      <c r="C94" s="720">
        <v>2016</v>
      </c>
      <c r="D94" s="1217">
        <v>14066944.444444446</v>
      </c>
      <c r="E94" s="64">
        <f>D94*'16-PlantAdditions'!$E$103</f>
        <v>1055020.8333333335</v>
      </c>
      <c r="F94" s="64">
        <f t="shared" si="12"/>
        <v>15121965.27777778</v>
      </c>
      <c r="G94" s="1217">
        <v>1731944.4444444443</v>
      </c>
      <c r="H94" s="1217">
        <v>0</v>
      </c>
      <c r="I94" s="64">
        <f>(G94-H94)*'16-PlantAdditions'!$E$103</f>
        <v>129895.83333333331</v>
      </c>
      <c r="J94" s="64">
        <f t="shared" si="13"/>
        <v>296284805.18675017</v>
      </c>
      <c r="K94" s="64">
        <f t="shared" si="14"/>
        <v>70595304.716750175</v>
      </c>
    </row>
    <row r="95" spans="1:11" s="759" customFormat="1">
      <c r="A95" s="117">
        <f t="shared" si="11"/>
        <v>62</v>
      </c>
      <c r="B95" s="719" t="s">
        <v>205</v>
      </c>
      <c r="C95" s="720">
        <v>2016</v>
      </c>
      <c r="D95" s="1217">
        <v>12186944.444444446</v>
      </c>
      <c r="E95" s="64">
        <f>D95*'16-PlantAdditions'!$E$103</f>
        <v>914020.83333333337</v>
      </c>
      <c r="F95" s="64">
        <f t="shared" si="12"/>
        <v>13100965.27777778</v>
      </c>
      <c r="G95" s="1217">
        <v>1731944.4444444443</v>
      </c>
      <c r="H95" s="1217">
        <v>0</v>
      </c>
      <c r="I95" s="64">
        <f>(G95-H95)*'16-PlantAdditions'!$E$103</f>
        <v>129895.83333333331</v>
      </c>
      <c r="J95" s="64">
        <f t="shared" si="13"/>
        <v>307523930.18675023</v>
      </c>
      <c r="K95" s="64">
        <f t="shared" si="14"/>
        <v>81834429.716750234</v>
      </c>
    </row>
    <row r="96" spans="1:11" s="759" customFormat="1">
      <c r="A96" s="117">
        <f t="shared" si="11"/>
        <v>63</v>
      </c>
      <c r="B96" s="722" t="s">
        <v>206</v>
      </c>
      <c r="C96" s="720">
        <v>2016</v>
      </c>
      <c r="D96" s="1217">
        <v>10539644.444444444</v>
      </c>
      <c r="E96" s="64">
        <f>D96*'16-PlantAdditions'!$E$103</f>
        <v>790473.33333333326</v>
      </c>
      <c r="F96" s="64">
        <f t="shared" si="12"/>
        <v>11330117.777777778</v>
      </c>
      <c r="G96" s="1217">
        <v>1634644.4444444445</v>
      </c>
      <c r="H96" s="1217">
        <v>0</v>
      </c>
      <c r="I96" s="64">
        <f>(G96-H96)*'16-PlantAdditions'!$E$103</f>
        <v>122598.33333333333</v>
      </c>
      <c r="J96" s="64">
        <f t="shared" si="13"/>
        <v>317096805.18675029</v>
      </c>
      <c r="K96" s="64">
        <f t="shared" si="14"/>
        <v>91407304.716750294</v>
      </c>
    </row>
    <row r="97" spans="1:11" s="759" customFormat="1">
      <c r="A97" s="117">
        <f t="shared" si="11"/>
        <v>64</v>
      </c>
      <c r="B97" s="722" t="s">
        <v>207</v>
      </c>
      <c r="C97" s="720">
        <v>2016</v>
      </c>
      <c r="D97" s="1217">
        <v>8417444.4444444459</v>
      </c>
      <c r="E97" s="64">
        <f>D97*'16-PlantAdditions'!$E$103</f>
        <v>631308.33333333337</v>
      </c>
      <c r="F97" s="64">
        <f t="shared" si="12"/>
        <v>9048752.7777777798</v>
      </c>
      <c r="G97" s="1217">
        <v>1631444.4444444443</v>
      </c>
      <c r="H97" s="1217">
        <v>0</v>
      </c>
      <c r="I97" s="64">
        <f>(G97-H97)*'16-PlantAdditions'!$E$103</f>
        <v>122358.33333333331</v>
      </c>
      <c r="J97" s="64">
        <f t="shared" si="13"/>
        <v>324391755.18675035</v>
      </c>
      <c r="K97" s="64">
        <f t="shared" si="14"/>
        <v>98702254.716750354</v>
      </c>
    </row>
    <row r="98" spans="1:11" s="759" customFormat="1">
      <c r="A98" s="117">
        <f t="shared" si="11"/>
        <v>65</v>
      </c>
      <c r="B98" s="719" t="s">
        <v>210</v>
      </c>
      <c r="C98" s="720">
        <v>2016</v>
      </c>
      <c r="D98" s="1217">
        <v>4636444.444444444</v>
      </c>
      <c r="E98" s="64">
        <f>D98*'16-PlantAdditions'!$E$103</f>
        <v>347733.33333333331</v>
      </c>
      <c r="F98" s="64">
        <f t="shared" si="12"/>
        <v>4984177.7777777771</v>
      </c>
      <c r="G98" s="1217">
        <v>322116773.22444445</v>
      </c>
      <c r="H98" s="1217">
        <v>225327976.69000003</v>
      </c>
      <c r="I98" s="64">
        <f>(G98-H98)*'16-PlantAdditions'!$E$103</f>
        <v>7259159.7400833312</v>
      </c>
      <c r="J98" s="64">
        <f t="shared" si="13"/>
        <v>3.6321580410003662E-7</v>
      </c>
      <c r="K98" s="64">
        <f t="shared" si="14"/>
        <v>-225689500.46999964</v>
      </c>
    </row>
    <row r="99" spans="1:11" s="759" customFormat="1">
      <c r="A99" s="117">
        <f t="shared" si="11"/>
        <v>66</v>
      </c>
      <c r="B99" s="719" t="s">
        <v>209</v>
      </c>
      <c r="C99" s="720">
        <v>2016</v>
      </c>
      <c r="D99" s="1217">
        <v>4401444.444444444</v>
      </c>
      <c r="E99" s="64">
        <f>D99*'16-PlantAdditions'!$E$103</f>
        <v>330108.33333333331</v>
      </c>
      <c r="F99" s="64">
        <f t="shared" si="12"/>
        <v>4731552.7777777771</v>
      </c>
      <c r="G99" s="1217">
        <v>4401444.444444444</v>
      </c>
      <c r="H99" s="1217">
        <v>0</v>
      </c>
      <c r="I99" s="64">
        <f>(G99-H99)*'16-PlantAdditions'!$E$103</f>
        <v>330108.33333333331</v>
      </c>
      <c r="J99" s="64">
        <f t="shared" si="13"/>
        <v>3.6292476579546928E-7</v>
      </c>
      <c r="K99" s="64">
        <f t="shared" si="14"/>
        <v>-225689500.46999964</v>
      </c>
    </row>
    <row r="100" spans="1:11" s="759" customFormat="1">
      <c r="A100" s="117">
        <f t="shared" si="11"/>
        <v>67</v>
      </c>
      <c r="B100" s="719" t="s">
        <v>199</v>
      </c>
      <c r="C100" s="720">
        <v>2016</v>
      </c>
      <c r="D100" s="1217">
        <v>10929482.844444444</v>
      </c>
      <c r="E100" s="64">
        <f>D100*'16-PlantAdditions'!$E$103</f>
        <v>819711.21333333326</v>
      </c>
      <c r="F100" s="64">
        <f t="shared" si="12"/>
        <v>11749194.057777777</v>
      </c>
      <c r="G100" s="1217">
        <v>10929482.844444444</v>
      </c>
      <c r="H100" s="1217">
        <v>0</v>
      </c>
      <c r="I100" s="64">
        <f>(G100-H100)*'16-PlantAdditions'!$E$103</f>
        <v>819711.21333333326</v>
      </c>
      <c r="J100" s="64">
        <f t="shared" si="13"/>
        <v>3.6286655813455582E-7</v>
      </c>
      <c r="K100" s="64">
        <f t="shared" si="14"/>
        <v>-225689500.46999964</v>
      </c>
    </row>
    <row r="101" spans="1:11" s="759" customFormat="1">
      <c r="A101" s="117">
        <f t="shared" si="11"/>
        <v>68</v>
      </c>
      <c r="B101" s="719" t="s">
        <v>200</v>
      </c>
      <c r="C101" s="720">
        <v>2017</v>
      </c>
      <c r="D101" s="1217">
        <v>0</v>
      </c>
      <c r="E101" s="64">
        <f>D101*'16-PlantAdditions'!$E$103</f>
        <v>0</v>
      </c>
      <c r="F101" s="64">
        <f t="shared" si="12"/>
        <v>0</v>
      </c>
      <c r="G101" s="1217">
        <v>0</v>
      </c>
      <c r="H101" s="1217">
        <v>0</v>
      </c>
      <c r="I101" s="64">
        <f>(G101-H101)*'16-PlantAdditions'!$E$103</f>
        <v>0</v>
      </c>
      <c r="J101" s="64">
        <f t="shared" si="13"/>
        <v>3.6286655813455582E-7</v>
      </c>
      <c r="K101" s="64">
        <f t="shared" si="14"/>
        <v>-225689500.46999964</v>
      </c>
    </row>
    <row r="102" spans="1:11" s="759" customFormat="1">
      <c r="A102" s="117">
        <f t="shared" si="11"/>
        <v>69</v>
      </c>
      <c r="B102" s="722" t="s">
        <v>201</v>
      </c>
      <c r="C102" s="720">
        <v>2017</v>
      </c>
      <c r="D102" s="1217">
        <v>0</v>
      </c>
      <c r="E102" s="64">
        <f>D102*'16-PlantAdditions'!$E$103</f>
        <v>0</v>
      </c>
      <c r="F102" s="64">
        <f t="shared" si="12"/>
        <v>0</v>
      </c>
      <c r="G102" s="1217">
        <v>0</v>
      </c>
      <c r="H102" s="1217">
        <v>0</v>
      </c>
      <c r="I102" s="64">
        <f>(G102-H102)*'16-PlantAdditions'!$E$103</f>
        <v>0</v>
      </c>
      <c r="J102" s="64">
        <f t="shared" si="13"/>
        <v>3.6286655813455582E-7</v>
      </c>
      <c r="K102" s="64">
        <f t="shared" si="14"/>
        <v>-225689500.46999964</v>
      </c>
    </row>
    <row r="103" spans="1:11" s="759" customFormat="1">
      <c r="A103" s="117">
        <f t="shared" si="11"/>
        <v>70</v>
      </c>
      <c r="B103" s="722" t="s">
        <v>214</v>
      </c>
      <c r="C103" s="720">
        <v>2017</v>
      </c>
      <c r="D103" s="1217">
        <v>0</v>
      </c>
      <c r="E103" s="64">
        <f>D103*'16-PlantAdditions'!$E$103</f>
        <v>0</v>
      </c>
      <c r="F103" s="64">
        <f t="shared" si="12"/>
        <v>0</v>
      </c>
      <c r="G103" s="1217">
        <v>0</v>
      </c>
      <c r="H103" s="1217">
        <v>0</v>
      </c>
      <c r="I103" s="64">
        <f>(G103-H103)*'16-PlantAdditions'!$E$103</f>
        <v>0</v>
      </c>
      <c r="J103" s="64">
        <f t="shared" si="13"/>
        <v>3.6286655813455582E-7</v>
      </c>
      <c r="K103" s="64">
        <f t="shared" si="14"/>
        <v>-225689500.46999964</v>
      </c>
    </row>
    <row r="104" spans="1:11" s="759" customFormat="1">
      <c r="A104" s="117">
        <f t="shared" si="11"/>
        <v>71</v>
      </c>
      <c r="B104" s="719" t="s">
        <v>202</v>
      </c>
      <c r="C104" s="720">
        <v>2017</v>
      </c>
      <c r="D104" s="1217">
        <v>0</v>
      </c>
      <c r="E104" s="64">
        <f>D104*'16-PlantAdditions'!$E$103</f>
        <v>0</v>
      </c>
      <c r="F104" s="64">
        <f t="shared" si="12"/>
        <v>0</v>
      </c>
      <c r="G104" s="1217">
        <v>0</v>
      </c>
      <c r="H104" s="1217">
        <v>0</v>
      </c>
      <c r="I104" s="64">
        <f>(G104-H104)*'16-PlantAdditions'!$E$103</f>
        <v>0</v>
      </c>
      <c r="J104" s="64">
        <f t="shared" si="13"/>
        <v>3.6286655813455582E-7</v>
      </c>
      <c r="K104" s="64">
        <f t="shared" si="14"/>
        <v>-225689500.46999964</v>
      </c>
    </row>
    <row r="105" spans="1:11" s="759" customFormat="1">
      <c r="A105" s="117">
        <f t="shared" si="11"/>
        <v>72</v>
      </c>
      <c r="B105" s="722" t="s">
        <v>203</v>
      </c>
      <c r="C105" s="720">
        <v>2017</v>
      </c>
      <c r="D105" s="1217">
        <v>0</v>
      </c>
      <c r="E105" s="64">
        <f>D105*'16-PlantAdditions'!$E$103</f>
        <v>0</v>
      </c>
      <c r="F105" s="64">
        <f t="shared" si="12"/>
        <v>0</v>
      </c>
      <c r="G105" s="1217">
        <v>0</v>
      </c>
      <c r="H105" s="1217">
        <v>0</v>
      </c>
      <c r="I105" s="64">
        <f>(G105-H105)*'16-PlantAdditions'!$E$103</f>
        <v>0</v>
      </c>
      <c r="J105" s="64">
        <f t="shared" si="13"/>
        <v>3.6286655813455582E-7</v>
      </c>
      <c r="K105" s="64">
        <f t="shared" si="14"/>
        <v>-225689500.46999964</v>
      </c>
    </row>
    <row r="106" spans="1:11" s="759" customFormat="1">
      <c r="A106" s="117">
        <f t="shared" si="11"/>
        <v>73</v>
      </c>
      <c r="B106" s="722" t="s">
        <v>1663</v>
      </c>
      <c r="C106" s="720">
        <v>2017</v>
      </c>
      <c r="D106" s="1217">
        <v>0</v>
      </c>
      <c r="E106" s="64">
        <f>D106*'16-PlantAdditions'!$E$103</f>
        <v>0</v>
      </c>
      <c r="F106" s="64">
        <f t="shared" si="12"/>
        <v>0</v>
      </c>
      <c r="G106" s="1217">
        <v>0</v>
      </c>
      <c r="H106" s="1217">
        <v>0</v>
      </c>
      <c r="I106" s="64">
        <f>(G106-H106)*'16-PlantAdditions'!$E$103</f>
        <v>0</v>
      </c>
      <c r="J106" s="64">
        <f t="shared" si="13"/>
        <v>3.6286655813455582E-7</v>
      </c>
      <c r="K106" s="64">
        <f t="shared" si="14"/>
        <v>-225689500.46999964</v>
      </c>
    </row>
    <row r="107" spans="1:11" s="759" customFormat="1">
      <c r="A107" s="117">
        <f t="shared" si="11"/>
        <v>74</v>
      </c>
      <c r="B107" s="719" t="s">
        <v>205</v>
      </c>
      <c r="C107" s="720">
        <v>2017</v>
      </c>
      <c r="D107" s="1217">
        <v>0</v>
      </c>
      <c r="E107" s="64">
        <f>D107*'16-PlantAdditions'!$E$103</f>
        <v>0</v>
      </c>
      <c r="F107" s="64">
        <f t="shared" si="12"/>
        <v>0</v>
      </c>
      <c r="G107" s="1217">
        <v>0</v>
      </c>
      <c r="H107" s="1217">
        <v>0</v>
      </c>
      <c r="I107" s="64">
        <f>(G107-H107)*'16-PlantAdditions'!$E$103</f>
        <v>0</v>
      </c>
      <c r="J107" s="64">
        <f t="shared" si="13"/>
        <v>3.6286655813455582E-7</v>
      </c>
      <c r="K107" s="64">
        <f t="shared" si="14"/>
        <v>-225689500.46999964</v>
      </c>
    </row>
    <row r="108" spans="1:11" s="759" customFormat="1">
      <c r="A108" s="117">
        <f t="shared" si="11"/>
        <v>75</v>
      </c>
      <c r="B108" s="722" t="s">
        <v>206</v>
      </c>
      <c r="C108" s="720">
        <v>2017</v>
      </c>
      <c r="D108" s="1217">
        <v>0</v>
      </c>
      <c r="E108" s="64">
        <f>D108*'16-PlantAdditions'!$E$103</f>
        <v>0</v>
      </c>
      <c r="F108" s="64">
        <f t="shared" si="12"/>
        <v>0</v>
      </c>
      <c r="G108" s="1217">
        <v>0</v>
      </c>
      <c r="H108" s="1217">
        <v>0</v>
      </c>
      <c r="I108" s="64">
        <f>(G108-H108)*'16-PlantAdditions'!$E$103</f>
        <v>0</v>
      </c>
      <c r="J108" s="64">
        <f t="shared" si="13"/>
        <v>3.6286655813455582E-7</v>
      </c>
      <c r="K108" s="64">
        <f t="shared" si="14"/>
        <v>-225689500.46999964</v>
      </c>
    </row>
    <row r="109" spans="1:11" s="759" customFormat="1">
      <c r="A109" s="117">
        <f>A108+1</f>
        <v>76</v>
      </c>
      <c r="B109" s="722" t="s">
        <v>207</v>
      </c>
      <c r="C109" s="720">
        <v>2017</v>
      </c>
      <c r="D109" s="1217">
        <v>0</v>
      </c>
      <c r="E109" s="64">
        <f>D109*'16-PlantAdditions'!$E$103</f>
        <v>0</v>
      </c>
      <c r="F109" s="64">
        <f t="shared" si="12"/>
        <v>0</v>
      </c>
      <c r="G109" s="1217">
        <v>0</v>
      </c>
      <c r="H109" s="1217">
        <v>0</v>
      </c>
      <c r="I109" s="64">
        <f>(G109-H109)*'16-PlantAdditions'!$E$103</f>
        <v>0</v>
      </c>
      <c r="J109" s="64">
        <f>J108+F109-G109-I109</f>
        <v>3.6286655813455582E-7</v>
      </c>
      <c r="K109" s="64">
        <f t="shared" si="14"/>
        <v>-225689500.46999964</v>
      </c>
    </row>
    <row r="110" spans="1:11" s="759" customFormat="1">
      <c r="A110" s="117">
        <f t="shared" ref="A110:A113" si="15">A109+1</f>
        <v>77</v>
      </c>
      <c r="B110" s="722" t="s">
        <v>210</v>
      </c>
      <c r="C110" s="720">
        <v>2017</v>
      </c>
      <c r="D110" s="1217">
        <v>0</v>
      </c>
      <c r="E110" s="64">
        <f>D110*'16-PlantAdditions'!$E$103</f>
        <v>0</v>
      </c>
      <c r="F110" s="64">
        <f t="shared" si="12"/>
        <v>0</v>
      </c>
      <c r="G110" s="1217">
        <v>0</v>
      </c>
      <c r="H110" s="1217">
        <v>0</v>
      </c>
      <c r="I110" s="64">
        <f>(G110-H110)*'16-PlantAdditions'!$E$103</f>
        <v>0</v>
      </c>
      <c r="J110" s="64">
        <f t="shared" ref="J110:J112" si="16">J109+F110-G110-I110</f>
        <v>3.6286655813455582E-7</v>
      </c>
      <c r="K110" s="64">
        <f t="shared" si="14"/>
        <v>-225689500.46999964</v>
      </c>
    </row>
    <row r="111" spans="1:11" s="759" customFormat="1">
      <c r="A111" s="117">
        <f t="shared" si="15"/>
        <v>78</v>
      </c>
      <c r="B111" s="722" t="s">
        <v>209</v>
      </c>
      <c r="C111" s="720">
        <v>2017</v>
      </c>
      <c r="D111" s="1217">
        <v>0</v>
      </c>
      <c r="E111" s="64">
        <f>D111*'16-PlantAdditions'!$E$103</f>
        <v>0</v>
      </c>
      <c r="F111" s="64">
        <f t="shared" si="12"/>
        <v>0</v>
      </c>
      <c r="G111" s="1217">
        <v>0</v>
      </c>
      <c r="H111" s="1217">
        <v>0</v>
      </c>
      <c r="I111" s="64">
        <f>(G111-H111)*'16-PlantAdditions'!$E$103</f>
        <v>0</v>
      </c>
      <c r="J111" s="64">
        <f t="shared" si="16"/>
        <v>3.6286655813455582E-7</v>
      </c>
      <c r="K111" s="64">
        <f t="shared" si="14"/>
        <v>-225689500.46999964</v>
      </c>
    </row>
    <row r="112" spans="1:11" s="759" customFormat="1">
      <c r="A112" s="117">
        <f t="shared" si="15"/>
        <v>79</v>
      </c>
      <c r="B112" s="722" t="s">
        <v>199</v>
      </c>
      <c r="C112" s="720">
        <v>2017</v>
      </c>
      <c r="D112" s="1217">
        <v>0</v>
      </c>
      <c r="E112" s="64">
        <f>D112*'16-PlantAdditions'!$E$103</f>
        <v>0</v>
      </c>
      <c r="F112" s="64">
        <f t="shared" si="12"/>
        <v>0</v>
      </c>
      <c r="G112" s="1217">
        <v>0</v>
      </c>
      <c r="H112" s="1217">
        <v>0</v>
      </c>
      <c r="I112" s="64">
        <f>(G112-H112)*'16-PlantAdditions'!$E$103</f>
        <v>0</v>
      </c>
      <c r="J112" s="64">
        <f t="shared" si="16"/>
        <v>3.6286655813455582E-7</v>
      </c>
      <c r="K112" s="118">
        <f t="shared" si="14"/>
        <v>-225689500.46999964</v>
      </c>
    </row>
    <row r="113" spans="1:11" s="759" customFormat="1">
      <c r="A113" s="117">
        <f t="shared" si="15"/>
        <v>80</v>
      </c>
      <c r="B113"/>
      <c r="C113" s="758" t="s">
        <v>1838</v>
      </c>
      <c r="D113"/>
      <c r="E113"/>
      <c r="F113"/>
      <c r="G113"/>
      <c r="H113"/>
      <c r="I113"/>
      <c r="J113"/>
      <c r="K113" s="79">
        <f>AVERAGE(K100:K112)</f>
        <v>-225689500.46999964</v>
      </c>
    </row>
    <row r="114" spans="1:11" s="759" customFormat="1">
      <c r="A114" s="117"/>
      <c r="B114"/>
      <c r="C114" s="758"/>
      <c r="D114"/>
      <c r="E114"/>
      <c r="F114"/>
      <c r="G114"/>
      <c r="H114"/>
      <c r="I114"/>
      <c r="J114"/>
      <c r="K114" s="79"/>
    </row>
    <row r="115" spans="1:11" s="759" customFormat="1">
      <c r="B115" s="760" t="s">
        <v>2349</v>
      </c>
      <c r="D115" s="1438" t="s">
        <v>2350</v>
      </c>
      <c r="E115" s="1438"/>
    </row>
    <row r="116" spans="1:11" s="759" customFormat="1">
      <c r="A116" s="754"/>
      <c r="B116" s="754"/>
      <c r="C116" s="754"/>
      <c r="D116" s="754" t="s">
        <v>394</v>
      </c>
      <c r="E116" s="754" t="s">
        <v>378</v>
      </c>
      <c r="F116" s="754" t="s">
        <v>379</v>
      </c>
      <c r="G116" s="754" t="s">
        <v>380</v>
      </c>
      <c r="H116" s="754" t="s">
        <v>381</v>
      </c>
      <c r="I116" s="754" t="s">
        <v>382</v>
      </c>
      <c r="J116" s="754" t="s">
        <v>383</v>
      </c>
      <c r="K116" s="754" t="s">
        <v>596</v>
      </c>
    </row>
    <row r="117" spans="1:11" s="759" customFormat="1" ht="38.25">
      <c r="D117" s="761"/>
      <c r="E117" s="762" t="s">
        <v>2594</v>
      </c>
      <c r="F117" s="763" t="s">
        <v>2346</v>
      </c>
      <c r="G117" s="528"/>
      <c r="H117" s="761"/>
      <c r="I117" s="762" t="s">
        <v>2595</v>
      </c>
      <c r="J117" s="762" t="s">
        <v>2347</v>
      </c>
      <c r="K117" s="762" t="s">
        <v>2348</v>
      </c>
    </row>
    <row r="118" spans="1:11" s="759" customFormat="1">
      <c r="D118" s="761"/>
      <c r="E118" s="761"/>
      <c r="F118" s="761"/>
      <c r="G118" s="645" t="str">
        <f>G51</f>
        <v>Unloaded</v>
      </c>
      <c r="H118" s="761"/>
      <c r="I118" s="761"/>
    </row>
    <row r="119" spans="1:11" s="759" customFormat="1">
      <c r="A119" s="756"/>
      <c r="B119" s="756"/>
      <c r="C119" s="756"/>
      <c r="D119" s="756" t="str">
        <f>D$52</f>
        <v>Forecast</v>
      </c>
      <c r="E119" s="756" t="str">
        <f t="shared" ref="E119:J119" si="17">E$52</f>
        <v>Corporate</v>
      </c>
      <c r="F119" s="756" t="str">
        <f t="shared" si="17"/>
        <v xml:space="preserve">Total </v>
      </c>
      <c r="G119" s="645" t="str">
        <f>G52</f>
        <v>Total</v>
      </c>
      <c r="H119" s="756" t="str">
        <f t="shared" si="17"/>
        <v>Prior Period</v>
      </c>
      <c r="I119" s="756" t="str">
        <f t="shared" si="17"/>
        <v>Over Heads</v>
      </c>
      <c r="J119" s="756" t="str">
        <f t="shared" si="17"/>
        <v>Forecast</v>
      </c>
      <c r="K119" s="645" t="str">
        <f>K$52</f>
        <v>Forecast Period</v>
      </c>
    </row>
    <row r="120" spans="1:11" s="759" customFormat="1">
      <c r="A120" s="1008" t="s">
        <v>360</v>
      </c>
      <c r="B120" s="718" t="s">
        <v>211</v>
      </c>
      <c r="C120" s="718" t="s">
        <v>212</v>
      </c>
      <c r="D120" s="754" t="str">
        <f>D$53</f>
        <v>Expenditures</v>
      </c>
      <c r="E120" s="754" t="str">
        <f t="shared" ref="E120:J120" si="18">E$53</f>
        <v>Overheads</v>
      </c>
      <c r="F120" s="754" t="str">
        <f t="shared" si="18"/>
        <v>CWIP Exp</v>
      </c>
      <c r="G120" s="3" t="str">
        <f>G53</f>
        <v>Plant Adds</v>
      </c>
      <c r="H120" s="754" t="str">
        <f t="shared" si="18"/>
        <v>CWIP Closed</v>
      </c>
      <c r="I120" s="754" t="str">
        <f t="shared" si="18"/>
        <v>Closed to PIS</v>
      </c>
      <c r="J120" s="754" t="str">
        <f t="shared" si="18"/>
        <v>Period CWIP</v>
      </c>
      <c r="K120" s="754" t="str">
        <f>K$53</f>
        <v>Incremental CWIP</v>
      </c>
    </row>
    <row r="121" spans="1:11" s="759" customFormat="1">
      <c r="A121" s="117">
        <f>A113+1</f>
        <v>81</v>
      </c>
      <c r="B121" s="719" t="s">
        <v>199</v>
      </c>
      <c r="C121" s="720">
        <v>2015</v>
      </c>
      <c r="D121" s="763" t="s">
        <v>86</v>
      </c>
      <c r="E121" s="763" t="s">
        <v>86</v>
      </c>
      <c r="F121" s="763" t="s">
        <v>86</v>
      </c>
      <c r="G121" s="763" t="s">
        <v>86</v>
      </c>
      <c r="H121" s="763" t="s">
        <v>86</v>
      </c>
      <c r="I121" s="763" t="s">
        <v>86</v>
      </c>
      <c r="J121" s="64">
        <f>F25</f>
        <v>0</v>
      </c>
      <c r="K121" s="763" t="s">
        <v>86</v>
      </c>
    </row>
    <row r="122" spans="1:11" s="759" customFormat="1">
      <c r="A122" s="117">
        <f>A121+1</f>
        <v>82</v>
      </c>
      <c r="B122" s="719" t="s">
        <v>200</v>
      </c>
      <c r="C122" s="720">
        <v>2016</v>
      </c>
      <c r="D122" s="1217">
        <v>-4980.3600000000006</v>
      </c>
      <c r="E122" s="64">
        <f>D122*'16-PlantAdditions'!$E$103</f>
        <v>-373.52700000000004</v>
      </c>
      <c r="F122" s="64">
        <f>E122+D122</f>
        <v>-5353.8870000000006</v>
      </c>
      <c r="G122" s="1217">
        <v>-4980.3600000000006</v>
      </c>
      <c r="H122" s="1217">
        <v>0</v>
      </c>
      <c r="I122" s="64">
        <f>(G122-H122)*'16-PlantAdditions'!$E$103</f>
        <v>-373.52700000000004</v>
      </c>
      <c r="J122" s="64">
        <f>J121+F122-G122-I122</f>
        <v>0</v>
      </c>
      <c r="K122" s="534">
        <f>J122-$J$121</f>
        <v>0</v>
      </c>
    </row>
    <row r="123" spans="1:11" s="759" customFormat="1">
      <c r="A123" s="117">
        <f t="shared" ref="A123:A146" si="19">A122+1</f>
        <v>83</v>
      </c>
      <c r="B123" s="722" t="s">
        <v>201</v>
      </c>
      <c r="C123" s="720">
        <v>2016</v>
      </c>
      <c r="D123" s="1217">
        <v>-28594.419999999995</v>
      </c>
      <c r="E123" s="64">
        <f>D123*'16-PlantAdditions'!$E$103</f>
        <v>-2144.5814999999993</v>
      </c>
      <c r="F123" s="64">
        <f t="shared" ref="F123:F145" si="20">E123+D123</f>
        <v>-30739.001499999995</v>
      </c>
      <c r="G123" s="1217">
        <v>-28594.419999999995</v>
      </c>
      <c r="H123" s="1217">
        <v>0</v>
      </c>
      <c r="I123" s="64">
        <f>(G123-H123)*'16-PlantAdditions'!$E$103</f>
        <v>-2144.5814999999993</v>
      </c>
      <c r="J123" s="64">
        <f t="shared" ref="J123:J145" si="21">J122+F123-G123-I123</f>
        <v>0</v>
      </c>
      <c r="K123" s="534">
        <f t="shared" ref="K123:K145" si="22">J123-$J$121</f>
        <v>0</v>
      </c>
    </row>
    <row r="124" spans="1:11" s="759" customFormat="1">
      <c r="A124" s="117">
        <f t="shared" si="19"/>
        <v>84</v>
      </c>
      <c r="B124" s="722" t="s">
        <v>214</v>
      </c>
      <c r="C124" s="720">
        <v>2016</v>
      </c>
      <c r="D124" s="1217">
        <v>6166.3899999999994</v>
      </c>
      <c r="E124" s="64">
        <f>D124*'16-PlantAdditions'!$E$103</f>
        <v>462.47924999999992</v>
      </c>
      <c r="F124" s="64">
        <f t="shared" si="20"/>
        <v>6628.8692499999997</v>
      </c>
      <c r="G124" s="1217">
        <v>6166.3899999999994</v>
      </c>
      <c r="H124" s="1217">
        <v>0</v>
      </c>
      <c r="I124" s="64">
        <f>(G124-H124)*'16-PlantAdditions'!$E$103</f>
        <v>462.47924999999992</v>
      </c>
      <c r="J124" s="64">
        <f t="shared" si="21"/>
        <v>0</v>
      </c>
      <c r="K124" s="534">
        <f t="shared" si="22"/>
        <v>0</v>
      </c>
    </row>
    <row r="125" spans="1:11" s="759" customFormat="1">
      <c r="A125" s="117">
        <f t="shared" si="19"/>
        <v>85</v>
      </c>
      <c r="B125" s="719" t="s">
        <v>202</v>
      </c>
      <c r="C125" s="720">
        <v>2016</v>
      </c>
      <c r="D125" s="1217">
        <v>0</v>
      </c>
      <c r="E125" s="64">
        <f>D125*'16-PlantAdditions'!$E$103</f>
        <v>0</v>
      </c>
      <c r="F125" s="64">
        <f t="shared" si="20"/>
        <v>0</v>
      </c>
      <c r="G125" s="1217">
        <v>0</v>
      </c>
      <c r="H125" s="1217">
        <v>0</v>
      </c>
      <c r="I125" s="64">
        <f>(G125-H125)*'16-PlantAdditions'!$E$103</f>
        <v>0</v>
      </c>
      <c r="J125" s="64">
        <f t="shared" si="21"/>
        <v>0</v>
      </c>
      <c r="K125" s="534">
        <f t="shared" si="22"/>
        <v>0</v>
      </c>
    </row>
    <row r="126" spans="1:11" s="759" customFormat="1">
      <c r="A126" s="117">
        <f t="shared" si="19"/>
        <v>86</v>
      </c>
      <c r="B126" s="722" t="s">
        <v>203</v>
      </c>
      <c r="C126" s="720">
        <v>2016</v>
      </c>
      <c r="D126" s="1217">
        <v>0</v>
      </c>
      <c r="E126" s="64">
        <f>D126*'16-PlantAdditions'!$E$103</f>
        <v>0</v>
      </c>
      <c r="F126" s="64">
        <f t="shared" si="20"/>
        <v>0</v>
      </c>
      <c r="G126" s="1217">
        <v>0</v>
      </c>
      <c r="H126" s="1217">
        <v>0</v>
      </c>
      <c r="I126" s="64">
        <f>(G126-H126)*'16-PlantAdditions'!$E$103</f>
        <v>0</v>
      </c>
      <c r="J126" s="64">
        <f t="shared" si="21"/>
        <v>0</v>
      </c>
      <c r="K126" s="534">
        <f t="shared" si="22"/>
        <v>0</v>
      </c>
    </row>
    <row r="127" spans="1:11" s="759" customFormat="1">
      <c r="A127" s="117">
        <f t="shared" si="19"/>
        <v>87</v>
      </c>
      <c r="B127" s="722" t="s">
        <v>1663</v>
      </c>
      <c r="C127" s="720">
        <v>2016</v>
      </c>
      <c r="D127" s="1217">
        <v>0</v>
      </c>
      <c r="E127" s="64">
        <f>D127*'16-PlantAdditions'!$E$103</f>
        <v>0</v>
      </c>
      <c r="F127" s="64">
        <f t="shared" si="20"/>
        <v>0</v>
      </c>
      <c r="G127" s="1217">
        <v>0</v>
      </c>
      <c r="H127" s="1217">
        <v>0</v>
      </c>
      <c r="I127" s="64">
        <f>(G127-H127)*'16-PlantAdditions'!$E$103</f>
        <v>0</v>
      </c>
      <c r="J127" s="64">
        <f t="shared" si="21"/>
        <v>0</v>
      </c>
      <c r="K127" s="534">
        <f t="shared" si="22"/>
        <v>0</v>
      </c>
    </row>
    <row r="128" spans="1:11" s="759" customFormat="1">
      <c r="A128" s="117">
        <f t="shared" si="19"/>
        <v>88</v>
      </c>
      <c r="B128" s="719" t="s">
        <v>205</v>
      </c>
      <c r="C128" s="720">
        <v>2016</v>
      </c>
      <c r="D128" s="1217">
        <v>0</v>
      </c>
      <c r="E128" s="64">
        <f>D128*'16-PlantAdditions'!$E$103</f>
        <v>0</v>
      </c>
      <c r="F128" s="64">
        <f t="shared" si="20"/>
        <v>0</v>
      </c>
      <c r="G128" s="1217">
        <v>0</v>
      </c>
      <c r="H128" s="1217">
        <v>0</v>
      </c>
      <c r="I128" s="64">
        <f>(G128-H128)*'16-PlantAdditions'!$E$103</f>
        <v>0</v>
      </c>
      <c r="J128" s="64">
        <f t="shared" si="21"/>
        <v>0</v>
      </c>
      <c r="K128" s="534">
        <f t="shared" si="22"/>
        <v>0</v>
      </c>
    </row>
    <row r="129" spans="1:11" s="759" customFormat="1">
      <c r="A129" s="117">
        <f t="shared" si="19"/>
        <v>89</v>
      </c>
      <c r="B129" s="722" t="s">
        <v>206</v>
      </c>
      <c r="C129" s="720">
        <v>2016</v>
      </c>
      <c r="D129" s="1217">
        <v>0</v>
      </c>
      <c r="E129" s="64">
        <f>D129*'16-PlantAdditions'!$E$103</f>
        <v>0</v>
      </c>
      <c r="F129" s="64">
        <f t="shared" si="20"/>
        <v>0</v>
      </c>
      <c r="G129" s="1217">
        <v>0</v>
      </c>
      <c r="H129" s="1217">
        <v>0</v>
      </c>
      <c r="I129" s="64">
        <f>(G129-H129)*'16-PlantAdditions'!$E$103</f>
        <v>0</v>
      </c>
      <c r="J129" s="64">
        <f t="shared" si="21"/>
        <v>0</v>
      </c>
      <c r="K129" s="534">
        <f t="shared" si="22"/>
        <v>0</v>
      </c>
    </row>
    <row r="130" spans="1:11" s="759" customFormat="1">
      <c r="A130" s="117">
        <f t="shared" si="19"/>
        <v>90</v>
      </c>
      <c r="B130" s="722" t="s">
        <v>207</v>
      </c>
      <c r="C130" s="720">
        <v>2016</v>
      </c>
      <c r="D130" s="1217">
        <v>0</v>
      </c>
      <c r="E130" s="64">
        <f>D130*'16-PlantAdditions'!$E$103</f>
        <v>0</v>
      </c>
      <c r="F130" s="64">
        <f t="shared" si="20"/>
        <v>0</v>
      </c>
      <c r="G130" s="1217">
        <v>0</v>
      </c>
      <c r="H130" s="1217">
        <v>0</v>
      </c>
      <c r="I130" s="64">
        <f>(G130-H130)*'16-PlantAdditions'!$E$103</f>
        <v>0</v>
      </c>
      <c r="J130" s="64">
        <f t="shared" si="21"/>
        <v>0</v>
      </c>
      <c r="K130" s="534">
        <f t="shared" si="22"/>
        <v>0</v>
      </c>
    </row>
    <row r="131" spans="1:11" s="759" customFormat="1">
      <c r="A131" s="117">
        <f t="shared" si="19"/>
        <v>91</v>
      </c>
      <c r="B131" s="719" t="s">
        <v>210</v>
      </c>
      <c r="C131" s="720">
        <v>2016</v>
      </c>
      <c r="D131" s="1217">
        <v>0</v>
      </c>
      <c r="E131" s="64">
        <f>D131*'16-PlantAdditions'!$E$103</f>
        <v>0</v>
      </c>
      <c r="F131" s="64">
        <f t="shared" si="20"/>
        <v>0</v>
      </c>
      <c r="G131" s="1217">
        <v>0</v>
      </c>
      <c r="H131" s="1217">
        <v>0</v>
      </c>
      <c r="I131" s="64">
        <f>(G131-H131)*'16-PlantAdditions'!$E$103</f>
        <v>0</v>
      </c>
      <c r="J131" s="64">
        <f t="shared" si="21"/>
        <v>0</v>
      </c>
      <c r="K131" s="534">
        <f t="shared" si="22"/>
        <v>0</v>
      </c>
    </row>
    <row r="132" spans="1:11" s="759" customFormat="1">
      <c r="A132" s="117">
        <f t="shared" si="19"/>
        <v>92</v>
      </c>
      <c r="B132" s="719" t="s">
        <v>209</v>
      </c>
      <c r="C132" s="720">
        <v>2016</v>
      </c>
      <c r="D132" s="1217">
        <v>0</v>
      </c>
      <c r="E132" s="64">
        <f>D132*'16-PlantAdditions'!$E$103</f>
        <v>0</v>
      </c>
      <c r="F132" s="64">
        <f t="shared" si="20"/>
        <v>0</v>
      </c>
      <c r="G132" s="1217">
        <v>0</v>
      </c>
      <c r="H132" s="1217">
        <v>0</v>
      </c>
      <c r="I132" s="64">
        <f>(G132-H132)*'16-PlantAdditions'!$E$103</f>
        <v>0</v>
      </c>
      <c r="J132" s="64">
        <f t="shared" si="21"/>
        <v>0</v>
      </c>
      <c r="K132" s="534">
        <f t="shared" si="22"/>
        <v>0</v>
      </c>
    </row>
    <row r="133" spans="1:11" s="759" customFormat="1">
      <c r="A133" s="117">
        <f t="shared" si="19"/>
        <v>93</v>
      </c>
      <c r="B133" s="719" t="s">
        <v>199</v>
      </c>
      <c r="C133" s="720">
        <v>2016</v>
      </c>
      <c r="D133" s="1217">
        <v>0</v>
      </c>
      <c r="E133" s="64">
        <f>D133*'16-PlantAdditions'!$E$103</f>
        <v>0</v>
      </c>
      <c r="F133" s="64">
        <f t="shared" si="20"/>
        <v>0</v>
      </c>
      <c r="G133" s="1217">
        <v>0</v>
      </c>
      <c r="H133" s="1217">
        <v>0</v>
      </c>
      <c r="I133" s="64">
        <f>(G133-H133)*'16-PlantAdditions'!$E$103</f>
        <v>0</v>
      </c>
      <c r="J133" s="64">
        <f t="shared" si="21"/>
        <v>0</v>
      </c>
      <c r="K133" s="534">
        <f t="shared" si="22"/>
        <v>0</v>
      </c>
    </row>
    <row r="134" spans="1:11" s="759" customFormat="1">
      <c r="A134" s="117">
        <f t="shared" si="19"/>
        <v>94</v>
      </c>
      <c r="B134" s="719" t="s">
        <v>200</v>
      </c>
      <c r="C134" s="720">
        <v>2017</v>
      </c>
      <c r="D134" s="1217">
        <v>0</v>
      </c>
      <c r="E134" s="64">
        <f>D134*'16-PlantAdditions'!$E$103</f>
        <v>0</v>
      </c>
      <c r="F134" s="64">
        <f t="shared" si="20"/>
        <v>0</v>
      </c>
      <c r="G134" s="1217">
        <v>0</v>
      </c>
      <c r="H134" s="1217">
        <v>0</v>
      </c>
      <c r="I134" s="64">
        <f>(G134-H134)*'16-PlantAdditions'!$E$103</f>
        <v>0</v>
      </c>
      <c r="J134" s="64">
        <f t="shared" si="21"/>
        <v>0</v>
      </c>
      <c r="K134" s="534">
        <f t="shared" si="22"/>
        <v>0</v>
      </c>
    </row>
    <row r="135" spans="1:11" s="759" customFormat="1">
      <c r="A135" s="117">
        <f t="shared" si="19"/>
        <v>95</v>
      </c>
      <c r="B135" s="722" t="s">
        <v>201</v>
      </c>
      <c r="C135" s="720">
        <v>2017</v>
      </c>
      <c r="D135" s="1217">
        <v>0</v>
      </c>
      <c r="E135" s="64">
        <f>D135*'16-PlantAdditions'!$E$103</f>
        <v>0</v>
      </c>
      <c r="F135" s="64">
        <f t="shared" si="20"/>
        <v>0</v>
      </c>
      <c r="G135" s="1217">
        <v>0</v>
      </c>
      <c r="H135" s="1217">
        <v>0</v>
      </c>
      <c r="I135" s="64">
        <f>(G135-H135)*'16-PlantAdditions'!$E$103</f>
        <v>0</v>
      </c>
      <c r="J135" s="64">
        <f t="shared" si="21"/>
        <v>0</v>
      </c>
      <c r="K135" s="534">
        <f t="shared" si="22"/>
        <v>0</v>
      </c>
    </row>
    <row r="136" spans="1:11" s="759" customFormat="1">
      <c r="A136" s="117">
        <f t="shared" si="19"/>
        <v>96</v>
      </c>
      <c r="B136" s="722" t="s">
        <v>214</v>
      </c>
      <c r="C136" s="720">
        <v>2017</v>
      </c>
      <c r="D136" s="1217">
        <v>0</v>
      </c>
      <c r="E136" s="64">
        <f>D136*'16-PlantAdditions'!$E$103</f>
        <v>0</v>
      </c>
      <c r="F136" s="64">
        <f t="shared" si="20"/>
        <v>0</v>
      </c>
      <c r="G136" s="1217">
        <v>0</v>
      </c>
      <c r="H136" s="1217">
        <v>0</v>
      </c>
      <c r="I136" s="64">
        <f>(G136-H136)*'16-PlantAdditions'!$E$103</f>
        <v>0</v>
      </c>
      <c r="J136" s="64">
        <f t="shared" si="21"/>
        <v>0</v>
      </c>
      <c r="K136" s="534">
        <f t="shared" si="22"/>
        <v>0</v>
      </c>
    </row>
    <row r="137" spans="1:11" s="759" customFormat="1">
      <c r="A137" s="117">
        <f t="shared" si="19"/>
        <v>97</v>
      </c>
      <c r="B137" s="719" t="s">
        <v>202</v>
      </c>
      <c r="C137" s="720">
        <v>2017</v>
      </c>
      <c r="D137" s="1217">
        <v>0</v>
      </c>
      <c r="E137" s="64">
        <f>D137*'16-PlantAdditions'!$E$103</f>
        <v>0</v>
      </c>
      <c r="F137" s="64">
        <f t="shared" si="20"/>
        <v>0</v>
      </c>
      <c r="G137" s="1217">
        <v>0</v>
      </c>
      <c r="H137" s="1217">
        <v>0</v>
      </c>
      <c r="I137" s="64">
        <f>(G137-H137)*'16-PlantAdditions'!$E$103</f>
        <v>0</v>
      </c>
      <c r="J137" s="64">
        <f t="shared" si="21"/>
        <v>0</v>
      </c>
      <c r="K137" s="534">
        <f t="shared" si="22"/>
        <v>0</v>
      </c>
    </row>
    <row r="138" spans="1:11" s="759" customFormat="1">
      <c r="A138" s="117">
        <f t="shared" si="19"/>
        <v>98</v>
      </c>
      <c r="B138" s="722" t="s">
        <v>203</v>
      </c>
      <c r="C138" s="720">
        <v>2017</v>
      </c>
      <c r="D138" s="1217">
        <v>0</v>
      </c>
      <c r="E138" s="64">
        <f>D138*'16-PlantAdditions'!$E$103</f>
        <v>0</v>
      </c>
      <c r="F138" s="64">
        <f t="shared" si="20"/>
        <v>0</v>
      </c>
      <c r="G138" s="1217">
        <v>0</v>
      </c>
      <c r="H138" s="1217">
        <v>0</v>
      </c>
      <c r="I138" s="64">
        <f>(G138-H138)*'16-PlantAdditions'!$E$103</f>
        <v>0</v>
      </c>
      <c r="J138" s="64">
        <f t="shared" si="21"/>
        <v>0</v>
      </c>
      <c r="K138" s="534">
        <f t="shared" si="22"/>
        <v>0</v>
      </c>
    </row>
    <row r="139" spans="1:11" s="759" customFormat="1">
      <c r="A139" s="117">
        <f t="shared" si="19"/>
        <v>99</v>
      </c>
      <c r="B139" s="722" t="s">
        <v>1663</v>
      </c>
      <c r="C139" s="720">
        <v>2017</v>
      </c>
      <c r="D139" s="1217">
        <v>0</v>
      </c>
      <c r="E139" s="64">
        <f>D139*'16-PlantAdditions'!$E$103</f>
        <v>0</v>
      </c>
      <c r="F139" s="64">
        <f t="shared" si="20"/>
        <v>0</v>
      </c>
      <c r="G139" s="1217">
        <v>0</v>
      </c>
      <c r="H139" s="1217">
        <v>0</v>
      </c>
      <c r="I139" s="64">
        <f>(G139-H139)*'16-PlantAdditions'!$E$103</f>
        <v>0</v>
      </c>
      <c r="J139" s="64">
        <f t="shared" si="21"/>
        <v>0</v>
      </c>
      <c r="K139" s="534">
        <f t="shared" si="22"/>
        <v>0</v>
      </c>
    </row>
    <row r="140" spans="1:11" s="759" customFormat="1">
      <c r="A140" s="117">
        <f t="shared" si="19"/>
        <v>100</v>
      </c>
      <c r="B140" s="719" t="s">
        <v>205</v>
      </c>
      <c r="C140" s="720">
        <v>2017</v>
      </c>
      <c r="D140" s="1217">
        <v>0</v>
      </c>
      <c r="E140" s="64">
        <f>D140*'16-PlantAdditions'!$E$103</f>
        <v>0</v>
      </c>
      <c r="F140" s="64">
        <f t="shared" si="20"/>
        <v>0</v>
      </c>
      <c r="G140" s="1217">
        <v>0</v>
      </c>
      <c r="H140" s="1217">
        <v>0</v>
      </c>
      <c r="I140" s="64">
        <f>(G140-H140)*'16-PlantAdditions'!$E$103</f>
        <v>0</v>
      </c>
      <c r="J140" s="64">
        <f t="shared" si="21"/>
        <v>0</v>
      </c>
      <c r="K140" s="534">
        <f t="shared" si="22"/>
        <v>0</v>
      </c>
    </row>
    <row r="141" spans="1:11" s="759" customFormat="1">
      <c r="A141" s="117">
        <f t="shared" si="19"/>
        <v>101</v>
      </c>
      <c r="B141" s="722" t="s">
        <v>206</v>
      </c>
      <c r="C141" s="720">
        <v>2017</v>
      </c>
      <c r="D141" s="1217">
        <v>0</v>
      </c>
      <c r="E141" s="64">
        <f>D141*'16-PlantAdditions'!$E$103</f>
        <v>0</v>
      </c>
      <c r="F141" s="64">
        <f t="shared" si="20"/>
        <v>0</v>
      </c>
      <c r="G141" s="1217">
        <v>0</v>
      </c>
      <c r="H141" s="1217">
        <v>0</v>
      </c>
      <c r="I141" s="64">
        <f>(G141-H141)*'16-PlantAdditions'!$E$103</f>
        <v>0</v>
      </c>
      <c r="J141" s="64">
        <f t="shared" si="21"/>
        <v>0</v>
      </c>
      <c r="K141" s="534">
        <f t="shared" si="22"/>
        <v>0</v>
      </c>
    </row>
    <row r="142" spans="1:11" s="759" customFormat="1">
      <c r="A142" s="117">
        <f t="shared" si="19"/>
        <v>102</v>
      </c>
      <c r="B142" s="722" t="s">
        <v>207</v>
      </c>
      <c r="C142" s="720">
        <v>2017</v>
      </c>
      <c r="D142" s="1217">
        <v>0</v>
      </c>
      <c r="E142" s="64">
        <f>D142*'16-PlantAdditions'!$E$103</f>
        <v>0</v>
      </c>
      <c r="F142" s="64">
        <f t="shared" si="20"/>
        <v>0</v>
      </c>
      <c r="G142" s="1217">
        <v>0</v>
      </c>
      <c r="H142" s="1217">
        <v>0</v>
      </c>
      <c r="I142" s="64">
        <f>(G142-H142)*'16-PlantAdditions'!$E$103</f>
        <v>0</v>
      </c>
      <c r="J142" s="64">
        <f t="shared" si="21"/>
        <v>0</v>
      </c>
      <c r="K142" s="534">
        <f t="shared" si="22"/>
        <v>0</v>
      </c>
    </row>
    <row r="143" spans="1:11" s="759" customFormat="1">
      <c r="A143" s="117">
        <f t="shared" si="19"/>
        <v>103</v>
      </c>
      <c r="B143" s="722" t="s">
        <v>210</v>
      </c>
      <c r="C143" s="720">
        <v>2017</v>
      </c>
      <c r="D143" s="1217">
        <v>0</v>
      </c>
      <c r="E143" s="64">
        <f>D143*'16-PlantAdditions'!$E$103</f>
        <v>0</v>
      </c>
      <c r="F143" s="64">
        <f t="shared" si="20"/>
        <v>0</v>
      </c>
      <c r="G143" s="1217">
        <v>0</v>
      </c>
      <c r="H143" s="1217">
        <v>0</v>
      </c>
      <c r="I143" s="64">
        <f>(G143-H143)*'16-PlantAdditions'!$E$103</f>
        <v>0</v>
      </c>
      <c r="J143" s="64">
        <f t="shared" si="21"/>
        <v>0</v>
      </c>
      <c r="K143" s="534">
        <f t="shared" si="22"/>
        <v>0</v>
      </c>
    </row>
    <row r="144" spans="1:11" s="759" customFormat="1">
      <c r="A144" s="117">
        <f t="shared" si="19"/>
        <v>104</v>
      </c>
      <c r="B144" s="722" t="s">
        <v>209</v>
      </c>
      <c r="C144" s="720">
        <v>2017</v>
      </c>
      <c r="D144" s="1217">
        <v>0</v>
      </c>
      <c r="E144" s="64">
        <f>D144*'16-PlantAdditions'!$E$103</f>
        <v>0</v>
      </c>
      <c r="F144" s="64">
        <f t="shared" si="20"/>
        <v>0</v>
      </c>
      <c r="G144" s="1217">
        <v>0</v>
      </c>
      <c r="H144" s="1217">
        <v>0</v>
      </c>
      <c r="I144" s="64">
        <f>(G144-H144)*'16-PlantAdditions'!$E$103</f>
        <v>0</v>
      </c>
      <c r="J144" s="64">
        <f t="shared" si="21"/>
        <v>0</v>
      </c>
      <c r="K144" s="534">
        <f t="shared" si="22"/>
        <v>0</v>
      </c>
    </row>
    <row r="145" spans="1:11" s="759" customFormat="1">
      <c r="A145" s="117">
        <f t="shared" si="19"/>
        <v>105</v>
      </c>
      <c r="B145" s="722" t="s">
        <v>199</v>
      </c>
      <c r="C145" s="720">
        <v>2017</v>
      </c>
      <c r="D145" s="1217">
        <v>0</v>
      </c>
      <c r="E145" s="64">
        <f>D145*'16-PlantAdditions'!$E$103</f>
        <v>0</v>
      </c>
      <c r="F145" s="64">
        <f t="shared" si="20"/>
        <v>0</v>
      </c>
      <c r="G145" s="1217">
        <v>0</v>
      </c>
      <c r="H145" s="1217">
        <v>0</v>
      </c>
      <c r="I145" s="64">
        <f>(G145-H145)*'16-PlantAdditions'!$E$103</f>
        <v>0</v>
      </c>
      <c r="J145" s="64">
        <f t="shared" si="21"/>
        <v>0</v>
      </c>
      <c r="K145" s="118">
        <f t="shared" si="22"/>
        <v>0</v>
      </c>
    </row>
    <row r="146" spans="1:11" s="759" customFormat="1">
      <c r="A146" s="117">
        <f t="shared" si="19"/>
        <v>106</v>
      </c>
      <c r="B146"/>
      <c r="C146" s="758" t="s">
        <v>1838</v>
      </c>
      <c r="D146"/>
      <c r="E146"/>
      <c r="F146"/>
      <c r="G146"/>
      <c r="H146"/>
      <c r="I146"/>
      <c r="J146"/>
      <c r="K146" s="79">
        <f>AVERAGE(K133:K145)</f>
        <v>0</v>
      </c>
    </row>
    <row r="147" spans="1:11" s="759" customFormat="1">
      <c r="A147" s="117"/>
      <c r="B147"/>
      <c r="C147" s="758"/>
      <c r="D147"/>
      <c r="E147"/>
      <c r="F147"/>
      <c r="G147"/>
      <c r="H147"/>
      <c r="I147"/>
      <c r="J147"/>
      <c r="K147" s="79"/>
    </row>
    <row r="148" spans="1:11" s="759" customFormat="1">
      <c r="B148" s="760" t="s">
        <v>2351</v>
      </c>
      <c r="D148" s="1438" t="s">
        <v>2352</v>
      </c>
      <c r="E148" s="1438"/>
    </row>
    <row r="149" spans="1:11" s="759" customFormat="1">
      <c r="D149" s="761"/>
      <c r="E149" s="761"/>
      <c r="F149" s="761"/>
      <c r="G149" s="645" t="str">
        <f>G51</f>
        <v>Unloaded</v>
      </c>
      <c r="H149" s="761"/>
      <c r="I149" s="761"/>
    </row>
    <row r="150" spans="1:11" s="759" customFormat="1">
      <c r="A150" s="756"/>
      <c r="B150" s="756"/>
      <c r="C150" s="756"/>
      <c r="D150" s="756" t="str">
        <f>D$52</f>
        <v>Forecast</v>
      </c>
      <c r="E150" s="756" t="str">
        <f t="shared" ref="E150:J150" si="23">E$52</f>
        <v>Corporate</v>
      </c>
      <c r="F150" s="756" t="str">
        <f t="shared" si="23"/>
        <v xml:space="preserve">Total </v>
      </c>
      <c r="G150" s="645" t="str">
        <f>G52</f>
        <v>Total</v>
      </c>
      <c r="H150" s="756" t="str">
        <f t="shared" si="23"/>
        <v>Prior Period</v>
      </c>
      <c r="I150" s="756" t="str">
        <f t="shared" si="23"/>
        <v>Over Heads</v>
      </c>
      <c r="J150" s="756" t="str">
        <f t="shared" si="23"/>
        <v>Forecast</v>
      </c>
      <c r="K150" s="645" t="str">
        <f>K$52</f>
        <v>Forecast Period</v>
      </c>
    </row>
    <row r="151" spans="1:11" s="759" customFormat="1">
      <c r="A151" s="1008" t="s">
        <v>360</v>
      </c>
      <c r="B151" s="718" t="s">
        <v>211</v>
      </c>
      <c r="C151" s="718" t="s">
        <v>212</v>
      </c>
      <c r="D151" s="754" t="str">
        <f>D$53</f>
        <v>Expenditures</v>
      </c>
      <c r="E151" s="754" t="str">
        <f t="shared" ref="E151:J151" si="24">E$53</f>
        <v>Overheads</v>
      </c>
      <c r="F151" s="754" t="str">
        <f t="shared" si="24"/>
        <v>CWIP Exp</v>
      </c>
      <c r="G151" s="3" t="str">
        <f>G53</f>
        <v>Plant Adds</v>
      </c>
      <c r="H151" s="754" t="str">
        <f t="shared" si="24"/>
        <v>CWIP Closed</v>
      </c>
      <c r="I151" s="754" t="str">
        <f t="shared" si="24"/>
        <v>Closed to PIS</v>
      </c>
      <c r="J151" s="754" t="str">
        <f t="shared" si="24"/>
        <v>Period CWIP</v>
      </c>
      <c r="K151" s="754" t="str">
        <f>K$53</f>
        <v>Incremental CWIP</v>
      </c>
    </row>
    <row r="152" spans="1:11" s="759" customFormat="1">
      <c r="A152" s="117">
        <f>A146+1</f>
        <v>107</v>
      </c>
      <c r="B152" s="719" t="s">
        <v>199</v>
      </c>
      <c r="C152" s="720">
        <v>2015</v>
      </c>
      <c r="D152" s="763" t="s">
        <v>86</v>
      </c>
      <c r="E152" s="763" t="s">
        <v>86</v>
      </c>
      <c r="F152" s="763" t="s">
        <v>86</v>
      </c>
      <c r="G152" s="763" t="s">
        <v>86</v>
      </c>
      <c r="H152" s="763" t="s">
        <v>86</v>
      </c>
      <c r="I152" s="763" t="s">
        <v>86</v>
      </c>
      <c r="J152" s="64">
        <f>G25</f>
        <v>0</v>
      </c>
      <c r="K152" s="763" t="s">
        <v>86</v>
      </c>
    </row>
    <row r="153" spans="1:11" s="759" customFormat="1">
      <c r="A153" s="117">
        <f>A152+1</f>
        <v>108</v>
      </c>
      <c r="B153" s="719" t="s">
        <v>200</v>
      </c>
      <c r="C153" s="720">
        <v>2016</v>
      </c>
      <c r="D153" s="1217">
        <v>0</v>
      </c>
      <c r="E153" s="64">
        <f>D153*'16-PlantAdditions'!$E$103</f>
        <v>0</v>
      </c>
      <c r="F153" s="64">
        <f>E153+D153</f>
        <v>0</v>
      </c>
      <c r="G153" s="1217">
        <v>0</v>
      </c>
      <c r="H153" s="1217">
        <v>0</v>
      </c>
      <c r="I153" s="64">
        <f>(G153-H153)*'16-PlantAdditions'!$E$103</f>
        <v>0</v>
      </c>
      <c r="J153" s="64">
        <f>J152+F153-G153-I153</f>
        <v>0</v>
      </c>
      <c r="K153" s="64">
        <f>J153-$J$152</f>
        <v>0</v>
      </c>
    </row>
    <row r="154" spans="1:11" s="759" customFormat="1">
      <c r="A154" s="117">
        <f t="shared" ref="A154:A177" si="25">A153+1</f>
        <v>109</v>
      </c>
      <c r="B154" s="722" t="s">
        <v>201</v>
      </c>
      <c r="C154" s="720">
        <v>2016</v>
      </c>
      <c r="D154" s="1217">
        <v>0</v>
      </c>
      <c r="E154" s="64">
        <f>D154*'16-PlantAdditions'!$E$103</f>
        <v>0</v>
      </c>
      <c r="F154" s="64">
        <f t="shared" ref="F154:F176" si="26">E154+D154</f>
        <v>0</v>
      </c>
      <c r="G154" s="1217">
        <v>0</v>
      </c>
      <c r="H154" s="1217">
        <v>0</v>
      </c>
      <c r="I154" s="64">
        <f>(G154-H154)*'16-PlantAdditions'!$E$103</f>
        <v>0</v>
      </c>
      <c r="J154" s="64">
        <f t="shared" ref="J154:J173" si="27">J153+F154-G154-I154</f>
        <v>0</v>
      </c>
      <c r="K154" s="64">
        <f t="shared" ref="K154:K176" si="28">J154-$J$152</f>
        <v>0</v>
      </c>
    </row>
    <row r="155" spans="1:11" s="759" customFormat="1">
      <c r="A155" s="117">
        <f t="shared" si="25"/>
        <v>110</v>
      </c>
      <c r="B155" s="722" t="s">
        <v>214</v>
      </c>
      <c r="C155" s="720">
        <v>2016</v>
      </c>
      <c r="D155" s="1217">
        <v>0</v>
      </c>
      <c r="E155" s="64">
        <f>D155*'16-PlantAdditions'!$E$103</f>
        <v>0</v>
      </c>
      <c r="F155" s="64">
        <f t="shared" si="26"/>
        <v>0</v>
      </c>
      <c r="G155" s="1217">
        <v>0</v>
      </c>
      <c r="H155" s="1217">
        <v>0</v>
      </c>
      <c r="I155" s="64">
        <f>(G155-H155)*'16-PlantAdditions'!$E$103</f>
        <v>0</v>
      </c>
      <c r="J155" s="64">
        <f t="shared" si="27"/>
        <v>0</v>
      </c>
      <c r="K155" s="64">
        <f t="shared" si="28"/>
        <v>0</v>
      </c>
    </row>
    <row r="156" spans="1:11" s="759" customFormat="1">
      <c r="A156" s="117">
        <f t="shared" si="25"/>
        <v>111</v>
      </c>
      <c r="B156" s="719" t="s">
        <v>202</v>
      </c>
      <c r="C156" s="720">
        <v>2016</v>
      </c>
      <c r="D156" s="1217">
        <v>-24000</v>
      </c>
      <c r="E156" s="64">
        <f>D156*'16-PlantAdditions'!$E$103</f>
        <v>-1800</v>
      </c>
      <c r="F156" s="64">
        <f t="shared" si="26"/>
        <v>-25800</v>
      </c>
      <c r="G156" s="1217">
        <v>-24000</v>
      </c>
      <c r="H156" s="1217">
        <v>0</v>
      </c>
      <c r="I156" s="64">
        <f>(G156-H156)*'16-PlantAdditions'!$E$103</f>
        <v>-1800</v>
      </c>
      <c r="J156" s="64">
        <f t="shared" si="27"/>
        <v>0</v>
      </c>
      <c r="K156" s="64">
        <f t="shared" si="28"/>
        <v>0</v>
      </c>
    </row>
    <row r="157" spans="1:11" s="759" customFormat="1">
      <c r="A157" s="117">
        <f t="shared" si="25"/>
        <v>112</v>
      </c>
      <c r="B157" s="722" t="s">
        <v>203</v>
      </c>
      <c r="C157" s="720">
        <v>2016</v>
      </c>
      <c r="D157" s="1217">
        <v>0</v>
      </c>
      <c r="E157" s="64">
        <f>D157*'16-PlantAdditions'!$E$103</f>
        <v>0</v>
      </c>
      <c r="F157" s="64">
        <f t="shared" si="26"/>
        <v>0</v>
      </c>
      <c r="G157" s="1217">
        <v>0</v>
      </c>
      <c r="H157" s="1217">
        <v>0</v>
      </c>
      <c r="I157" s="64">
        <f>(G157-H157)*'16-PlantAdditions'!$E$103</f>
        <v>0</v>
      </c>
      <c r="J157" s="64">
        <f t="shared" si="27"/>
        <v>0</v>
      </c>
      <c r="K157" s="64">
        <f t="shared" si="28"/>
        <v>0</v>
      </c>
    </row>
    <row r="158" spans="1:11" s="759" customFormat="1">
      <c r="A158" s="117">
        <f t="shared" si="25"/>
        <v>113</v>
      </c>
      <c r="B158" s="722" t="s">
        <v>1663</v>
      </c>
      <c r="C158" s="720">
        <v>2016</v>
      </c>
      <c r="D158" s="1217">
        <v>0</v>
      </c>
      <c r="E158" s="64">
        <f>D158*'16-PlantAdditions'!$E$103</f>
        <v>0</v>
      </c>
      <c r="F158" s="64">
        <f t="shared" si="26"/>
        <v>0</v>
      </c>
      <c r="G158" s="1217">
        <v>0</v>
      </c>
      <c r="H158" s="1217">
        <v>0</v>
      </c>
      <c r="I158" s="64">
        <f>(G158-H158)*'16-PlantAdditions'!$E$103</f>
        <v>0</v>
      </c>
      <c r="J158" s="64">
        <f t="shared" si="27"/>
        <v>0</v>
      </c>
      <c r="K158" s="64">
        <f t="shared" si="28"/>
        <v>0</v>
      </c>
    </row>
    <row r="159" spans="1:11" s="759" customFormat="1">
      <c r="A159" s="117">
        <f t="shared" si="25"/>
        <v>114</v>
      </c>
      <c r="B159" s="719" t="s">
        <v>205</v>
      </c>
      <c r="C159" s="720">
        <v>2016</v>
      </c>
      <c r="D159" s="1217">
        <v>0</v>
      </c>
      <c r="E159" s="64">
        <f>D159*'16-PlantAdditions'!$E$103</f>
        <v>0</v>
      </c>
      <c r="F159" s="64">
        <f t="shared" si="26"/>
        <v>0</v>
      </c>
      <c r="G159" s="1217">
        <v>0</v>
      </c>
      <c r="H159" s="1217">
        <v>0</v>
      </c>
      <c r="I159" s="64">
        <f>(G159-H159)*'16-PlantAdditions'!$E$103</f>
        <v>0</v>
      </c>
      <c r="J159" s="64">
        <f t="shared" si="27"/>
        <v>0</v>
      </c>
      <c r="K159" s="64">
        <f t="shared" si="28"/>
        <v>0</v>
      </c>
    </row>
    <row r="160" spans="1:11" s="759" customFormat="1">
      <c r="A160" s="117">
        <f t="shared" si="25"/>
        <v>115</v>
      </c>
      <c r="B160" s="722" t="s">
        <v>206</v>
      </c>
      <c r="C160" s="720">
        <v>2016</v>
      </c>
      <c r="D160" s="1217">
        <v>0</v>
      </c>
      <c r="E160" s="64">
        <f>D160*'16-PlantAdditions'!$E$103</f>
        <v>0</v>
      </c>
      <c r="F160" s="64">
        <f t="shared" si="26"/>
        <v>0</v>
      </c>
      <c r="G160" s="1217">
        <v>0</v>
      </c>
      <c r="H160" s="1217">
        <v>0</v>
      </c>
      <c r="I160" s="64">
        <f>(G160-H160)*'16-PlantAdditions'!$E$103</f>
        <v>0</v>
      </c>
      <c r="J160" s="64">
        <f t="shared" si="27"/>
        <v>0</v>
      </c>
      <c r="K160" s="64">
        <f t="shared" si="28"/>
        <v>0</v>
      </c>
    </row>
    <row r="161" spans="1:11" s="759" customFormat="1">
      <c r="A161" s="117">
        <f t="shared" si="25"/>
        <v>116</v>
      </c>
      <c r="B161" s="722" t="s">
        <v>207</v>
      </c>
      <c r="C161" s="720">
        <v>2016</v>
      </c>
      <c r="D161" s="1217">
        <v>0</v>
      </c>
      <c r="E161" s="64">
        <f>D161*'16-PlantAdditions'!$E$103</f>
        <v>0</v>
      </c>
      <c r="F161" s="64">
        <f t="shared" si="26"/>
        <v>0</v>
      </c>
      <c r="G161" s="1217">
        <v>0</v>
      </c>
      <c r="H161" s="1217">
        <v>0</v>
      </c>
      <c r="I161" s="64">
        <f>(G161-H161)*'16-PlantAdditions'!$E$103</f>
        <v>0</v>
      </c>
      <c r="J161" s="64">
        <f t="shared" si="27"/>
        <v>0</v>
      </c>
      <c r="K161" s="64">
        <f t="shared" si="28"/>
        <v>0</v>
      </c>
    </row>
    <row r="162" spans="1:11" s="759" customFormat="1">
      <c r="A162" s="117">
        <f t="shared" si="25"/>
        <v>117</v>
      </c>
      <c r="B162" s="719" t="s">
        <v>210</v>
      </c>
      <c r="C162" s="720">
        <v>2016</v>
      </c>
      <c r="D162" s="1217">
        <v>0</v>
      </c>
      <c r="E162" s="64">
        <f>D162*'16-PlantAdditions'!$E$103</f>
        <v>0</v>
      </c>
      <c r="F162" s="64">
        <f t="shared" si="26"/>
        <v>0</v>
      </c>
      <c r="G162" s="1217">
        <v>0</v>
      </c>
      <c r="H162" s="1217">
        <v>0</v>
      </c>
      <c r="I162" s="64">
        <f>(G162-H162)*'16-PlantAdditions'!$E$103</f>
        <v>0</v>
      </c>
      <c r="J162" s="64">
        <f t="shared" si="27"/>
        <v>0</v>
      </c>
      <c r="K162" s="64">
        <f t="shared" si="28"/>
        <v>0</v>
      </c>
    </row>
    <row r="163" spans="1:11" s="759" customFormat="1">
      <c r="A163" s="117">
        <f t="shared" si="25"/>
        <v>118</v>
      </c>
      <c r="B163" s="719" t="s">
        <v>209</v>
      </c>
      <c r="C163" s="720">
        <v>2016</v>
      </c>
      <c r="D163" s="1217">
        <v>0</v>
      </c>
      <c r="E163" s="64">
        <f>D163*'16-PlantAdditions'!$E$103</f>
        <v>0</v>
      </c>
      <c r="F163" s="64">
        <f t="shared" si="26"/>
        <v>0</v>
      </c>
      <c r="G163" s="1217">
        <v>0</v>
      </c>
      <c r="H163" s="1217">
        <v>0</v>
      </c>
      <c r="I163" s="64">
        <f>(G163-H163)*'16-PlantAdditions'!$E$103</f>
        <v>0</v>
      </c>
      <c r="J163" s="64">
        <f t="shared" si="27"/>
        <v>0</v>
      </c>
      <c r="K163" s="64">
        <f t="shared" si="28"/>
        <v>0</v>
      </c>
    </row>
    <row r="164" spans="1:11" s="759" customFormat="1">
      <c r="A164" s="117">
        <f t="shared" si="25"/>
        <v>119</v>
      </c>
      <c r="B164" s="719" t="s">
        <v>199</v>
      </c>
      <c r="C164" s="720">
        <v>2016</v>
      </c>
      <c r="D164" s="1217">
        <v>0</v>
      </c>
      <c r="E164" s="64">
        <f>D164*'16-PlantAdditions'!$E$103</f>
        <v>0</v>
      </c>
      <c r="F164" s="64">
        <f t="shared" si="26"/>
        <v>0</v>
      </c>
      <c r="G164" s="1217">
        <v>0</v>
      </c>
      <c r="H164" s="1217">
        <v>0</v>
      </c>
      <c r="I164" s="64">
        <f>(G164-H164)*'16-PlantAdditions'!$E$103</f>
        <v>0</v>
      </c>
      <c r="J164" s="64">
        <f t="shared" si="27"/>
        <v>0</v>
      </c>
      <c r="K164" s="64">
        <f t="shared" si="28"/>
        <v>0</v>
      </c>
    </row>
    <row r="165" spans="1:11" s="759" customFormat="1">
      <c r="A165" s="117">
        <f t="shared" si="25"/>
        <v>120</v>
      </c>
      <c r="B165" s="719" t="s">
        <v>200</v>
      </c>
      <c r="C165" s="720">
        <v>2017</v>
      </c>
      <c r="D165" s="1217">
        <v>0</v>
      </c>
      <c r="E165" s="64">
        <f>D165*'16-PlantAdditions'!$E$103</f>
        <v>0</v>
      </c>
      <c r="F165" s="64">
        <f t="shared" si="26"/>
        <v>0</v>
      </c>
      <c r="G165" s="1217">
        <v>0</v>
      </c>
      <c r="H165" s="1217">
        <v>0</v>
      </c>
      <c r="I165" s="64">
        <f>(G165-H165)*'16-PlantAdditions'!$E$103</f>
        <v>0</v>
      </c>
      <c r="J165" s="64">
        <f t="shared" si="27"/>
        <v>0</v>
      </c>
      <c r="K165" s="64">
        <f t="shared" si="28"/>
        <v>0</v>
      </c>
    </row>
    <row r="166" spans="1:11" s="759" customFormat="1">
      <c r="A166" s="117">
        <f t="shared" si="25"/>
        <v>121</v>
      </c>
      <c r="B166" s="722" t="s">
        <v>201</v>
      </c>
      <c r="C166" s="720">
        <v>2017</v>
      </c>
      <c r="D166" s="1217">
        <v>0</v>
      </c>
      <c r="E166" s="64">
        <f>D166*'16-PlantAdditions'!$E$103</f>
        <v>0</v>
      </c>
      <c r="F166" s="64">
        <f t="shared" si="26"/>
        <v>0</v>
      </c>
      <c r="G166" s="1217">
        <v>0</v>
      </c>
      <c r="H166" s="1217">
        <v>0</v>
      </c>
      <c r="I166" s="64">
        <f>(G166-H166)*'16-PlantAdditions'!$E$103</f>
        <v>0</v>
      </c>
      <c r="J166" s="64">
        <f t="shared" si="27"/>
        <v>0</v>
      </c>
      <c r="K166" s="64">
        <f t="shared" si="28"/>
        <v>0</v>
      </c>
    </row>
    <row r="167" spans="1:11" s="759" customFormat="1">
      <c r="A167" s="117">
        <f t="shared" si="25"/>
        <v>122</v>
      </c>
      <c r="B167" s="722" t="s">
        <v>214</v>
      </c>
      <c r="C167" s="720">
        <v>2017</v>
      </c>
      <c r="D167" s="1217">
        <v>0</v>
      </c>
      <c r="E167" s="64">
        <f>D167*'16-PlantAdditions'!$E$103</f>
        <v>0</v>
      </c>
      <c r="F167" s="64">
        <f t="shared" si="26"/>
        <v>0</v>
      </c>
      <c r="G167" s="1217">
        <v>0</v>
      </c>
      <c r="H167" s="1217">
        <v>0</v>
      </c>
      <c r="I167" s="64">
        <f>(G167-H167)*'16-PlantAdditions'!$E$103</f>
        <v>0</v>
      </c>
      <c r="J167" s="64">
        <f t="shared" si="27"/>
        <v>0</v>
      </c>
      <c r="K167" s="64">
        <f t="shared" si="28"/>
        <v>0</v>
      </c>
    </row>
    <row r="168" spans="1:11" s="759" customFormat="1">
      <c r="A168" s="117">
        <f t="shared" si="25"/>
        <v>123</v>
      </c>
      <c r="B168" s="719" t="s">
        <v>202</v>
      </c>
      <c r="C168" s="720">
        <v>2017</v>
      </c>
      <c r="D168" s="1217">
        <v>0</v>
      </c>
      <c r="E168" s="64">
        <f>D168*'16-PlantAdditions'!$E$103</f>
        <v>0</v>
      </c>
      <c r="F168" s="64">
        <f t="shared" si="26"/>
        <v>0</v>
      </c>
      <c r="G168" s="1217">
        <v>0</v>
      </c>
      <c r="H168" s="1217">
        <v>0</v>
      </c>
      <c r="I168" s="64">
        <f>(G168-H168)*'16-PlantAdditions'!$E$103</f>
        <v>0</v>
      </c>
      <c r="J168" s="64">
        <f t="shared" si="27"/>
        <v>0</v>
      </c>
      <c r="K168" s="64">
        <f t="shared" si="28"/>
        <v>0</v>
      </c>
    </row>
    <row r="169" spans="1:11" s="759" customFormat="1">
      <c r="A169" s="117">
        <f t="shared" si="25"/>
        <v>124</v>
      </c>
      <c r="B169" s="722" t="s">
        <v>203</v>
      </c>
      <c r="C169" s="720">
        <v>2017</v>
      </c>
      <c r="D169" s="1217">
        <v>0</v>
      </c>
      <c r="E169" s="64">
        <f>D169*'16-PlantAdditions'!$E$103</f>
        <v>0</v>
      </c>
      <c r="F169" s="64">
        <f t="shared" si="26"/>
        <v>0</v>
      </c>
      <c r="G169" s="1217">
        <v>0</v>
      </c>
      <c r="H169" s="1217">
        <v>0</v>
      </c>
      <c r="I169" s="64">
        <f>(G169-H169)*'16-PlantAdditions'!$E$103</f>
        <v>0</v>
      </c>
      <c r="J169" s="64">
        <f t="shared" si="27"/>
        <v>0</v>
      </c>
      <c r="K169" s="64">
        <f t="shared" si="28"/>
        <v>0</v>
      </c>
    </row>
    <row r="170" spans="1:11" s="759" customFormat="1">
      <c r="A170" s="117">
        <f t="shared" si="25"/>
        <v>125</v>
      </c>
      <c r="B170" s="722" t="s">
        <v>1663</v>
      </c>
      <c r="C170" s="720">
        <v>2017</v>
      </c>
      <c r="D170" s="1217">
        <v>0</v>
      </c>
      <c r="E170" s="64">
        <f>D170*'16-PlantAdditions'!$E$103</f>
        <v>0</v>
      </c>
      <c r="F170" s="64">
        <f t="shared" si="26"/>
        <v>0</v>
      </c>
      <c r="G170" s="1217">
        <v>0</v>
      </c>
      <c r="H170" s="1217">
        <v>0</v>
      </c>
      <c r="I170" s="64">
        <f>(G170-H170)*'16-PlantAdditions'!$E$103</f>
        <v>0</v>
      </c>
      <c r="J170" s="64">
        <f t="shared" si="27"/>
        <v>0</v>
      </c>
      <c r="K170" s="64">
        <f t="shared" si="28"/>
        <v>0</v>
      </c>
    </row>
    <row r="171" spans="1:11" s="759" customFormat="1">
      <c r="A171" s="117">
        <f t="shared" si="25"/>
        <v>126</v>
      </c>
      <c r="B171" s="719" t="s">
        <v>205</v>
      </c>
      <c r="C171" s="720">
        <v>2017</v>
      </c>
      <c r="D171" s="1217">
        <v>0</v>
      </c>
      <c r="E171" s="64">
        <f>D171*'16-PlantAdditions'!$E$103</f>
        <v>0</v>
      </c>
      <c r="F171" s="64">
        <f t="shared" si="26"/>
        <v>0</v>
      </c>
      <c r="G171" s="1217">
        <v>0</v>
      </c>
      <c r="H171" s="1217">
        <v>0</v>
      </c>
      <c r="I171" s="64">
        <f>(G171-H171)*'16-PlantAdditions'!$E$103</f>
        <v>0</v>
      </c>
      <c r="J171" s="64">
        <f t="shared" si="27"/>
        <v>0</v>
      </c>
      <c r="K171" s="64">
        <f t="shared" si="28"/>
        <v>0</v>
      </c>
    </row>
    <row r="172" spans="1:11" s="759" customFormat="1">
      <c r="A172" s="117">
        <f t="shared" si="25"/>
        <v>127</v>
      </c>
      <c r="B172" s="722" t="s">
        <v>206</v>
      </c>
      <c r="C172" s="720">
        <v>2017</v>
      </c>
      <c r="D172" s="1217">
        <v>0</v>
      </c>
      <c r="E172" s="64">
        <f>D172*'16-PlantAdditions'!$E$103</f>
        <v>0</v>
      </c>
      <c r="F172" s="64">
        <f t="shared" si="26"/>
        <v>0</v>
      </c>
      <c r="G172" s="1217">
        <v>0</v>
      </c>
      <c r="H172" s="1217">
        <v>0</v>
      </c>
      <c r="I172" s="64">
        <f>(G172-H172)*'16-PlantAdditions'!$E$103</f>
        <v>0</v>
      </c>
      <c r="J172" s="64">
        <f t="shared" si="27"/>
        <v>0</v>
      </c>
      <c r="K172" s="64">
        <f t="shared" si="28"/>
        <v>0</v>
      </c>
    </row>
    <row r="173" spans="1:11" s="759" customFormat="1">
      <c r="A173" s="117">
        <f t="shared" si="25"/>
        <v>128</v>
      </c>
      <c r="B173" s="722" t="s">
        <v>207</v>
      </c>
      <c r="C173" s="720">
        <v>2017</v>
      </c>
      <c r="D173" s="1217">
        <v>0</v>
      </c>
      <c r="E173" s="64">
        <f>D173*'16-PlantAdditions'!$E$103</f>
        <v>0</v>
      </c>
      <c r="F173" s="64">
        <f t="shared" si="26"/>
        <v>0</v>
      </c>
      <c r="G173" s="1217">
        <v>0</v>
      </c>
      <c r="H173" s="1217">
        <v>0</v>
      </c>
      <c r="I173" s="64">
        <f>(G173-H173)*'16-PlantAdditions'!$E$103</f>
        <v>0</v>
      </c>
      <c r="J173" s="64">
        <f t="shared" si="27"/>
        <v>0</v>
      </c>
      <c r="K173" s="64">
        <f t="shared" si="28"/>
        <v>0</v>
      </c>
    </row>
    <row r="174" spans="1:11" s="759" customFormat="1">
      <c r="A174" s="117">
        <f t="shared" si="25"/>
        <v>129</v>
      </c>
      <c r="B174" s="722" t="s">
        <v>210</v>
      </c>
      <c r="C174" s="720">
        <v>2017</v>
      </c>
      <c r="D174" s="1217">
        <v>0</v>
      </c>
      <c r="E174" s="64">
        <f>D174*'16-PlantAdditions'!$E$103</f>
        <v>0</v>
      </c>
      <c r="F174" s="64">
        <f t="shared" si="26"/>
        <v>0</v>
      </c>
      <c r="G174" s="1217">
        <v>0</v>
      </c>
      <c r="H174" s="1217">
        <v>0</v>
      </c>
      <c r="I174" s="64">
        <f>(G174-H174)*'16-PlantAdditions'!$E$103</f>
        <v>0</v>
      </c>
      <c r="J174" s="64">
        <f t="shared" ref="J174:J176" si="29">J173+F174-G174-I174</f>
        <v>0</v>
      </c>
      <c r="K174" s="64">
        <f t="shared" si="28"/>
        <v>0</v>
      </c>
    </row>
    <row r="175" spans="1:11" s="759" customFormat="1">
      <c r="A175" s="117">
        <f t="shared" si="25"/>
        <v>130</v>
      </c>
      <c r="B175" s="722" t="s">
        <v>209</v>
      </c>
      <c r="C175" s="720">
        <v>2017</v>
      </c>
      <c r="D175" s="1217">
        <v>0</v>
      </c>
      <c r="E175" s="64">
        <f>D175*'16-PlantAdditions'!$E$103</f>
        <v>0</v>
      </c>
      <c r="F175" s="64">
        <f t="shared" si="26"/>
        <v>0</v>
      </c>
      <c r="G175" s="1217">
        <v>0</v>
      </c>
      <c r="H175" s="1217">
        <v>0</v>
      </c>
      <c r="I175" s="64">
        <f>(G175-H175)*'16-PlantAdditions'!$E$103</f>
        <v>0</v>
      </c>
      <c r="J175" s="64">
        <f t="shared" si="29"/>
        <v>0</v>
      </c>
      <c r="K175" s="64">
        <f t="shared" si="28"/>
        <v>0</v>
      </c>
    </row>
    <row r="176" spans="1:11" s="759" customFormat="1">
      <c r="A176" s="117">
        <f t="shared" si="25"/>
        <v>131</v>
      </c>
      <c r="B176" s="722" t="s">
        <v>199</v>
      </c>
      <c r="C176" s="720">
        <v>2017</v>
      </c>
      <c r="D176" s="1217">
        <v>0</v>
      </c>
      <c r="E176" s="64">
        <f>D176*'16-PlantAdditions'!$E$103</f>
        <v>0</v>
      </c>
      <c r="F176" s="64">
        <f t="shared" si="26"/>
        <v>0</v>
      </c>
      <c r="G176" s="1217">
        <v>0</v>
      </c>
      <c r="H176" s="1217">
        <v>0</v>
      </c>
      <c r="I176" s="64">
        <f>(G176-H176)*'16-PlantAdditions'!$E$103</f>
        <v>0</v>
      </c>
      <c r="J176" s="64">
        <f t="shared" si="29"/>
        <v>0</v>
      </c>
      <c r="K176" s="118">
        <f t="shared" si="28"/>
        <v>0</v>
      </c>
    </row>
    <row r="177" spans="1:11" s="759" customFormat="1">
      <c r="A177" s="117">
        <f t="shared" si="25"/>
        <v>132</v>
      </c>
      <c r="B177"/>
      <c r="C177" s="758" t="s">
        <v>1838</v>
      </c>
      <c r="D177"/>
      <c r="E177"/>
      <c r="F177"/>
      <c r="G177"/>
      <c r="H177"/>
      <c r="I177"/>
      <c r="J177"/>
      <c r="K177" s="79">
        <f>AVERAGE(K164:K176)</f>
        <v>0</v>
      </c>
    </row>
    <row r="178" spans="1:11" s="759" customFormat="1">
      <c r="A178" s="117"/>
      <c r="B178"/>
      <c r="C178" s="758"/>
      <c r="D178"/>
      <c r="E178"/>
      <c r="F178"/>
      <c r="G178"/>
      <c r="H178"/>
      <c r="I178"/>
      <c r="J178"/>
      <c r="K178" s="79"/>
    </row>
    <row r="179" spans="1:11" s="759" customFormat="1">
      <c r="B179" s="760" t="s">
        <v>2353</v>
      </c>
      <c r="D179" s="1438" t="s">
        <v>2354</v>
      </c>
      <c r="E179" s="1438"/>
    </row>
    <row r="180" spans="1:11" s="759" customFormat="1">
      <c r="A180" s="754"/>
      <c r="B180" s="754"/>
      <c r="C180" s="754"/>
      <c r="D180" s="754" t="s">
        <v>394</v>
      </c>
      <c r="E180" s="754" t="s">
        <v>378</v>
      </c>
      <c r="F180" s="754" t="s">
        <v>379</v>
      </c>
      <c r="G180" s="754" t="s">
        <v>380</v>
      </c>
      <c r="H180" s="754" t="s">
        <v>381</v>
      </c>
      <c r="I180" s="754" t="s">
        <v>382</v>
      </c>
      <c r="J180" s="754" t="s">
        <v>383</v>
      </c>
      <c r="K180" s="754" t="s">
        <v>596</v>
      </c>
    </row>
    <row r="181" spans="1:11" s="759" customFormat="1" ht="38.25">
      <c r="D181" s="761"/>
      <c r="E181" s="762" t="s">
        <v>2594</v>
      </c>
      <c r="F181" s="763" t="s">
        <v>2346</v>
      </c>
      <c r="G181" s="528"/>
      <c r="H181" s="761"/>
      <c r="I181" s="762" t="s">
        <v>2595</v>
      </c>
      <c r="J181" s="762" t="s">
        <v>2347</v>
      </c>
      <c r="K181" s="762" t="s">
        <v>2348</v>
      </c>
    </row>
    <row r="182" spans="1:11" s="759" customFormat="1">
      <c r="D182" s="761"/>
      <c r="E182" s="762"/>
      <c r="F182" s="763"/>
      <c r="G182" s="4" t="str">
        <f>G51</f>
        <v>Unloaded</v>
      </c>
      <c r="H182" s="761"/>
      <c r="I182" s="762"/>
      <c r="J182" s="762"/>
      <c r="K182" s="762"/>
    </row>
    <row r="183" spans="1:11" s="759" customFormat="1">
      <c r="A183" s="756"/>
      <c r="B183" s="756"/>
      <c r="C183" s="756"/>
      <c r="D183" s="756" t="str">
        <f>D$52</f>
        <v>Forecast</v>
      </c>
      <c r="E183" s="756" t="str">
        <f t="shared" ref="E183:J183" si="30">E$52</f>
        <v>Corporate</v>
      </c>
      <c r="F183" s="756" t="str">
        <f t="shared" si="30"/>
        <v xml:space="preserve">Total </v>
      </c>
      <c r="G183" s="4" t="str">
        <f>G52</f>
        <v>Total</v>
      </c>
      <c r="H183" s="756" t="str">
        <f t="shared" si="30"/>
        <v>Prior Period</v>
      </c>
      <c r="I183" s="756" t="str">
        <f t="shared" si="30"/>
        <v>Over Heads</v>
      </c>
      <c r="J183" s="756" t="str">
        <f t="shared" si="30"/>
        <v>Forecast</v>
      </c>
      <c r="K183" s="645" t="str">
        <f>K$52</f>
        <v>Forecast Period</v>
      </c>
    </row>
    <row r="184" spans="1:11" s="759" customFormat="1">
      <c r="A184" s="1008" t="s">
        <v>360</v>
      </c>
      <c r="B184" s="718" t="s">
        <v>211</v>
      </c>
      <c r="C184" s="718" t="s">
        <v>212</v>
      </c>
      <c r="D184" s="754" t="str">
        <f>D$53</f>
        <v>Expenditures</v>
      </c>
      <c r="E184" s="754" t="str">
        <f t="shared" ref="E184:J184" si="31">E$53</f>
        <v>Overheads</v>
      </c>
      <c r="F184" s="754" t="str">
        <f t="shared" si="31"/>
        <v>CWIP Exp</v>
      </c>
      <c r="G184" s="91" t="str">
        <f>G53</f>
        <v>Plant Adds</v>
      </c>
      <c r="H184" s="754" t="str">
        <f t="shared" si="31"/>
        <v>CWIP Closed</v>
      </c>
      <c r="I184" s="754" t="str">
        <f t="shared" si="31"/>
        <v>Closed to PIS</v>
      </c>
      <c r="J184" s="754" t="str">
        <f t="shared" si="31"/>
        <v>Period CWIP</v>
      </c>
      <c r="K184" s="754" t="str">
        <f>K$53</f>
        <v>Incremental CWIP</v>
      </c>
    </row>
    <row r="185" spans="1:11" s="759" customFormat="1">
      <c r="A185" s="117">
        <f>A177+1</f>
        <v>133</v>
      </c>
      <c r="B185" s="719" t="s">
        <v>199</v>
      </c>
      <c r="C185" s="720">
        <v>2015</v>
      </c>
      <c r="D185" s="763" t="s">
        <v>86</v>
      </c>
      <c r="E185" s="763" t="s">
        <v>86</v>
      </c>
      <c r="F185" s="763" t="s">
        <v>86</v>
      </c>
      <c r="G185" s="763" t="s">
        <v>86</v>
      </c>
      <c r="H185" s="763" t="s">
        <v>86</v>
      </c>
      <c r="I185" s="763" t="s">
        <v>86</v>
      </c>
      <c r="J185" s="64">
        <f>H25</f>
        <v>0</v>
      </c>
      <c r="K185" s="763" t="s">
        <v>86</v>
      </c>
    </row>
    <row r="186" spans="1:11" s="759" customFormat="1">
      <c r="A186" s="117">
        <f>A185+1</f>
        <v>134</v>
      </c>
      <c r="B186" s="719" t="s">
        <v>200</v>
      </c>
      <c r="C186" s="720">
        <v>2016</v>
      </c>
      <c r="D186" s="1217">
        <v>0</v>
      </c>
      <c r="E186" s="64">
        <f>D186*'16-PlantAdditions'!$E$103</f>
        <v>0</v>
      </c>
      <c r="F186" s="64">
        <f>E186+D186</f>
        <v>0</v>
      </c>
      <c r="G186" s="1217">
        <v>0</v>
      </c>
      <c r="H186" s="1217">
        <v>0</v>
      </c>
      <c r="I186" s="64">
        <f>(G186-H186)*'16-PlantAdditions'!$E$103</f>
        <v>0</v>
      </c>
      <c r="J186" s="64">
        <f>J185+F186-G186-I186</f>
        <v>0</v>
      </c>
      <c r="K186" s="64">
        <f>J186-$J$185</f>
        <v>0</v>
      </c>
    </row>
    <row r="187" spans="1:11" s="759" customFormat="1">
      <c r="A187" s="117">
        <f t="shared" ref="A187:A210" si="32">A186+1</f>
        <v>135</v>
      </c>
      <c r="B187" s="722" t="s">
        <v>201</v>
      </c>
      <c r="C187" s="720">
        <v>2016</v>
      </c>
      <c r="D187" s="1217">
        <v>0</v>
      </c>
      <c r="E187" s="64">
        <f>D187*'16-PlantAdditions'!$E$103</f>
        <v>0</v>
      </c>
      <c r="F187" s="64">
        <f t="shared" ref="F187:F206" si="33">E187+D187</f>
        <v>0</v>
      </c>
      <c r="G187" s="1217">
        <v>0</v>
      </c>
      <c r="H187" s="1217">
        <v>0</v>
      </c>
      <c r="I187" s="64">
        <f>(G187-H187)*'16-PlantAdditions'!$E$103</f>
        <v>0</v>
      </c>
      <c r="J187" s="64">
        <f t="shared" ref="J187:J206" si="34">J186+F187-G187-I187</f>
        <v>0</v>
      </c>
      <c r="K187" s="64">
        <f t="shared" ref="K187:K209" si="35">J187-$J$185</f>
        <v>0</v>
      </c>
    </row>
    <row r="188" spans="1:11" s="759" customFormat="1">
      <c r="A188" s="117">
        <f t="shared" si="32"/>
        <v>136</v>
      </c>
      <c r="B188" s="722" t="s">
        <v>214</v>
      </c>
      <c r="C188" s="720">
        <v>2016</v>
      </c>
      <c r="D188" s="1217">
        <v>0</v>
      </c>
      <c r="E188" s="64">
        <f>D188*'16-PlantAdditions'!$E$103</f>
        <v>0</v>
      </c>
      <c r="F188" s="64">
        <f t="shared" si="33"/>
        <v>0</v>
      </c>
      <c r="G188" s="1217">
        <v>0</v>
      </c>
      <c r="H188" s="1217">
        <v>0</v>
      </c>
      <c r="I188" s="64">
        <f>(G188-H188)*'16-PlantAdditions'!$E$103</f>
        <v>0</v>
      </c>
      <c r="J188" s="64">
        <f t="shared" si="34"/>
        <v>0</v>
      </c>
      <c r="K188" s="64">
        <f t="shared" si="35"/>
        <v>0</v>
      </c>
    </row>
    <row r="189" spans="1:11" s="759" customFormat="1">
      <c r="A189" s="117">
        <f t="shared" si="32"/>
        <v>137</v>
      </c>
      <c r="B189" s="719" t="s">
        <v>202</v>
      </c>
      <c r="C189" s="720">
        <v>2016</v>
      </c>
      <c r="D189" s="1217">
        <v>0</v>
      </c>
      <c r="E189" s="64">
        <f>D189*'16-PlantAdditions'!$E$103</f>
        <v>0</v>
      </c>
      <c r="F189" s="64">
        <f t="shared" si="33"/>
        <v>0</v>
      </c>
      <c r="G189" s="1217">
        <v>0</v>
      </c>
      <c r="H189" s="1217">
        <v>0</v>
      </c>
      <c r="I189" s="64">
        <f>(G189-H189)*'16-PlantAdditions'!$E$103</f>
        <v>0</v>
      </c>
      <c r="J189" s="64">
        <f t="shared" si="34"/>
        <v>0</v>
      </c>
      <c r="K189" s="64">
        <f t="shared" si="35"/>
        <v>0</v>
      </c>
    </row>
    <row r="190" spans="1:11" s="759" customFormat="1">
      <c r="A190" s="117">
        <f t="shared" si="32"/>
        <v>138</v>
      </c>
      <c r="B190" s="722" t="s">
        <v>203</v>
      </c>
      <c r="C190" s="720">
        <v>2016</v>
      </c>
      <c r="D190" s="1217">
        <v>0</v>
      </c>
      <c r="E190" s="64">
        <f>D190*'16-PlantAdditions'!$E$103</f>
        <v>0</v>
      </c>
      <c r="F190" s="64">
        <f t="shared" si="33"/>
        <v>0</v>
      </c>
      <c r="G190" s="1217">
        <v>0</v>
      </c>
      <c r="H190" s="1217">
        <v>0</v>
      </c>
      <c r="I190" s="64">
        <f>(G190-H190)*'16-PlantAdditions'!$E$103</f>
        <v>0</v>
      </c>
      <c r="J190" s="64">
        <f t="shared" si="34"/>
        <v>0</v>
      </c>
      <c r="K190" s="64">
        <f t="shared" si="35"/>
        <v>0</v>
      </c>
    </row>
    <row r="191" spans="1:11" s="759" customFormat="1">
      <c r="A191" s="117">
        <f t="shared" si="32"/>
        <v>139</v>
      </c>
      <c r="B191" s="722" t="s">
        <v>1663</v>
      </c>
      <c r="C191" s="720">
        <v>2016</v>
      </c>
      <c r="D191" s="1217">
        <v>0</v>
      </c>
      <c r="E191" s="64">
        <f>D191*'16-PlantAdditions'!$E$103</f>
        <v>0</v>
      </c>
      <c r="F191" s="64">
        <f t="shared" si="33"/>
        <v>0</v>
      </c>
      <c r="G191" s="1217">
        <v>0</v>
      </c>
      <c r="H191" s="1217">
        <v>0</v>
      </c>
      <c r="I191" s="64">
        <f>(G191-H191)*'16-PlantAdditions'!$E$103</f>
        <v>0</v>
      </c>
      <c r="J191" s="64">
        <f t="shared" si="34"/>
        <v>0</v>
      </c>
      <c r="K191" s="64">
        <f t="shared" si="35"/>
        <v>0</v>
      </c>
    </row>
    <row r="192" spans="1:11" s="759" customFormat="1">
      <c r="A192" s="117">
        <f t="shared" si="32"/>
        <v>140</v>
      </c>
      <c r="B192" s="719" t="s">
        <v>205</v>
      </c>
      <c r="C192" s="720">
        <v>2016</v>
      </c>
      <c r="D192" s="1217">
        <v>0</v>
      </c>
      <c r="E192" s="64">
        <f>D192*'16-PlantAdditions'!$E$103</f>
        <v>0</v>
      </c>
      <c r="F192" s="64">
        <f t="shared" si="33"/>
        <v>0</v>
      </c>
      <c r="G192" s="1217">
        <v>0</v>
      </c>
      <c r="H192" s="1217">
        <v>0</v>
      </c>
      <c r="I192" s="64">
        <f>(G192-H192)*'16-PlantAdditions'!$E$103</f>
        <v>0</v>
      </c>
      <c r="J192" s="64">
        <f t="shared" si="34"/>
        <v>0</v>
      </c>
      <c r="K192" s="64">
        <f t="shared" si="35"/>
        <v>0</v>
      </c>
    </row>
    <row r="193" spans="1:11" s="759" customFormat="1">
      <c r="A193" s="117">
        <f t="shared" si="32"/>
        <v>141</v>
      </c>
      <c r="B193" s="722" t="s">
        <v>206</v>
      </c>
      <c r="C193" s="720">
        <v>2016</v>
      </c>
      <c r="D193" s="1217">
        <v>0</v>
      </c>
      <c r="E193" s="64">
        <f>D193*'16-PlantAdditions'!$E$103</f>
        <v>0</v>
      </c>
      <c r="F193" s="64">
        <f t="shared" si="33"/>
        <v>0</v>
      </c>
      <c r="G193" s="1217">
        <v>0</v>
      </c>
      <c r="H193" s="1217">
        <v>0</v>
      </c>
      <c r="I193" s="64">
        <f>(G193-H193)*'16-PlantAdditions'!$E$103</f>
        <v>0</v>
      </c>
      <c r="J193" s="64">
        <f t="shared" si="34"/>
        <v>0</v>
      </c>
      <c r="K193" s="64">
        <f t="shared" si="35"/>
        <v>0</v>
      </c>
    </row>
    <row r="194" spans="1:11" s="759" customFormat="1">
      <c r="A194" s="117">
        <f t="shared" si="32"/>
        <v>142</v>
      </c>
      <c r="B194" s="722" t="s">
        <v>207</v>
      </c>
      <c r="C194" s="720">
        <v>2016</v>
      </c>
      <c r="D194" s="1217">
        <v>0</v>
      </c>
      <c r="E194" s="64">
        <f>D194*'16-PlantAdditions'!$E$103</f>
        <v>0</v>
      </c>
      <c r="F194" s="64">
        <f t="shared" si="33"/>
        <v>0</v>
      </c>
      <c r="G194" s="1217">
        <v>0</v>
      </c>
      <c r="H194" s="1217">
        <v>0</v>
      </c>
      <c r="I194" s="64">
        <f>(G194-H194)*'16-PlantAdditions'!$E$103</f>
        <v>0</v>
      </c>
      <c r="J194" s="64">
        <f t="shared" si="34"/>
        <v>0</v>
      </c>
      <c r="K194" s="64">
        <f t="shared" si="35"/>
        <v>0</v>
      </c>
    </row>
    <row r="195" spans="1:11" s="759" customFormat="1">
      <c r="A195" s="117">
        <f t="shared" si="32"/>
        <v>143</v>
      </c>
      <c r="B195" s="719" t="s">
        <v>210</v>
      </c>
      <c r="C195" s="720">
        <v>2016</v>
      </c>
      <c r="D195" s="1217">
        <v>0</v>
      </c>
      <c r="E195" s="64">
        <f>D195*'16-PlantAdditions'!$E$103</f>
        <v>0</v>
      </c>
      <c r="F195" s="64">
        <f t="shared" si="33"/>
        <v>0</v>
      </c>
      <c r="G195" s="1217">
        <v>0</v>
      </c>
      <c r="H195" s="1217">
        <v>0</v>
      </c>
      <c r="I195" s="64">
        <f>(G195-H195)*'16-PlantAdditions'!$E$103</f>
        <v>0</v>
      </c>
      <c r="J195" s="64">
        <f t="shared" si="34"/>
        <v>0</v>
      </c>
      <c r="K195" s="64">
        <f t="shared" si="35"/>
        <v>0</v>
      </c>
    </row>
    <row r="196" spans="1:11" s="759" customFormat="1">
      <c r="A196" s="117">
        <f t="shared" si="32"/>
        <v>144</v>
      </c>
      <c r="B196" s="719" t="s">
        <v>209</v>
      </c>
      <c r="C196" s="720">
        <v>2016</v>
      </c>
      <c r="D196" s="1217">
        <v>0</v>
      </c>
      <c r="E196" s="64">
        <f>D196*'16-PlantAdditions'!$E$103</f>
        <v>0</v>
      </c>
      <c r="F196" s="64">
        <f t="shared" si="33"/>
        <v>0</v>
      </c>
      <c r="G196" s="1217">
        <v>0</v>
      </c>
      <c r="H196" s="1217">
        <v>0</v>
      </c>
      <c r="I196" s="64">
        <f>(G196-H196)*'16-PlantAdditions'!$E$103</f>
        <v>0</v>
      </c>
      <c r="J196" s="64">
        <f t="shared" si="34"/>
        <v>0</v>
      </c>
      <c r="K196" s="64">
        <f t="shared" si="35"/>
        <v>0</v>
      </c>
    </row>
    <row r="197" spans="1:11" s="759" customFormat="1">
      <c r="A197" s="117">
        <f t="shared" si="32"/>
        <v>145</v>
      </c>
      <c r="B197" s="719" t="s">
        <v>199</v>
      </c>
      <c r="C197" s="720">
        <v>2016</v>
      </c>
      <c r="D197" s="1217">
        <v>0</v>
      </c>
      <c r="E197" s="64">
        <f>D197*'16-PlantAdditions'!$E$103</f>
        <v>0</v>
      </c>
      <c r="F197" s="64">
        <f t="shared" si="33"/>
        <v>0</v>
      </c>
      <c r="G197" s="1217">
        <v>0</v>
      </c>
      <c r="H197" s="1217">
        <v>0</v>
      </c>
      <c r="I197" s="64">
        <f>(G197-H197)*'16-PlantAdditions'!$E$103</f>
        <v>0</v>
      </c>
      <c r="J197" s="64">
        <f t="shared" si="34"/>
        <v>0</v>
      </c>
      <c r="K197" s="64">
        <f t="shared" si="35"/>
        <v>0</v>
      </c>
    </row>
    <row r="198" spans="1:11" s="759" customFormat="1">
      <c r="A198" s="117">
        <f t="shared" si="32"/>
        <v>146</v>
      </c>
      <c r="B198" s="719" t="s">
        <v>200</v>
      </c>
      <c r="C198" s="720">
        <v>2017</v>
      </c>
      <c r="D198" s="1217">
        <v>0</v>
      </c>
      <c r="E198" s="64">
        <f>D198*'16-PlantAdditions'!$E$103</f>
        <v>0</v>
      </c>
      <c r="F198" s="64">
        <f t="shared" si="33"/>
        <v>0</v>
      </c>
      <c r="G198" s="1217">
        <v>0</v>
      </c>
      <c r="H198" s="1217">
        <v>0</v>
      </c>
      <c r="I198" s="64">
        <f>(G198-H198)*'16-PlantAdditions'!$E$103</f>
        <v>0</v>
      </c>
      <c r="J198" s="64">
        <f t="shared" si="34"/>
        <v>0</v>
      </c>
      <c r="K198" s="64">
        <f t="shared" si="35"/>
        <v>0</v>
      </c>
    </row>
    <row r="199" spans="1:11" s="759" customFormat="1">
      <c r="A199" s="117">
        <f t="shared" si="32"/>
        <v>147</v>
      </c>
      <c r="B199" s="722" t="s">
        <v>201</v>
      </c>
      <c r="C199" s="720">
        <v>2017</v>
      </c>
      <c r="D199" s="1217">
        <v>0</v>
      </c>
      <c r="E199" s="64">
        <f>D199*'16-PlantAdditions'!$E$103</f>
        <v>0</v>
      </c>
      <c r="F199" s="64">
        <f t="shared" si="33"/>
        <v>0</v>
      </c>
      <c r="G199" s="1217">
        <v>0</v>
      </c>
      <c r="H199" s="1217">
        <v>0</v>
      </c>
      <c r="I199" s="64">
        <f>(G199-H199)*'16-PlantAdditions'!$E$103</f>
        <v>0</v>
      </c>
      <c r="J199" s="64">
        <f t="shared" si="34"/>
        <v>0</v>
      </c>
      <c r="K199" s="64">
        <f t="shared" si="35"/>
        <v>0</v>
      </c>
    </row>
    <row r="200" spans="1:11" s="759" customFormat="1">
      <c r="A200" s="117">
        <f t="shared" si="32"/>
        <v>148</v>
      </c>
      <c r="B200" s="722" t="s">
        <v>214</v>
      </c>
      <c r="C200" s="720">
        <v>2017</v>
      </c>
      <c r="D200" s="1217">
        <v>0</v>
      </c>
      <c r="E200" s="64">
        <f>D200*'16-PlantAdditions'!$E$103</f>
        <v>0</v>
      </c>
      <c r="F200" s="64">
        <f t="shared" si="33"/>
        <v>0</v>
      </c>
      <c r="G200" s="1217">
        <v>0</v>
      </c>
      <c r="H200" s="1217">
        <v>0</v>
      </c>
      <c r="I200" s="64">
        <f>(G200-H200)*'16-PlantAdditions'!$E$103</f>
        <v>0</v>
      </c>
      <c r="J200" s="64">
        <f t="shared" si="34"/>
        <v>0</v>
      </c>
      <c r="K200" s="64">
        <f t="shared" si="35"/>
        <v>0</v>
      </c>
    </row>
    <row r="201" spans="1:11" s="759" customFormat="1">
      <c r="A201" s="117">
        <f t="shared" si="32"/>
        <v>149</v>
      </c>
      <c r="B201" s="719" t="s">
        <v>202</v>
      </c>
      <c r="C201" s="720">
        <v>2017</v>
      </c>
      <c r="D201" s="1217">
        <v>0</v>
      </c>
      <c r="E201" s="64">
        <f>D201*'16-PlantAdditions'!$E$103</f>
        <v>0</v>
      </c>
      <c r="F201" s="64">
        <f t="shared" si="33"/>
        <v>0</v>
      </c>
      <c r="G201" s="1217">
        <v>0</v>
      </c>
      <c r="H201" s="1217">
        <v>0</v>
      </c>
      <c r="I201" s="64">
        <f>(G201-H201)*'16-PlantAdditions'!$E$103</f>
        <v>0</v>
      </c>
      <c r="J201" s="64">
        <f t="shared" si="34"/>
        <v>0</v>
      </c>
      <c r="K201" s="64">
        <f t="shared" si="35"/>
        <v>0</v>
      </c>
    </row>
    <row r="202" spans="1:11" s="759" customFormat="1">
      <c r="A202" s="117">
        <f t="shared" si="32"/>
        <v>150</v>
      </c>
      <c r="B202" s="722" t="s">
        <v>203</v>
      </c>
      <c r="C202" s="720">
        <v>2017</v>
      </c>
      <c r="D202" s="1217">
        <v>0</v>
      </c>
      <c r="E202" s="64">
        <f>D202*'16-PlantAdditions'!$E$103</f>
        <v>0</v>
      </c>
      <c r="F202" s="64">
        <f t="shared" si="33"/>
        <v>0</v>
      </c>
      <c r="G202" s="1217">
        <v>0</v>
      </c>
      <c r="H202" s="1217">
        <v>0</v>
      </c>
      <c r="I202" s="64">
        <f>(G202-H202)*'16-PlantAdditions'!$E$103</f>
        <v>0</v>
      </c>
      <c r="J202" s="64">
        <f t="shared" si="34"/>
        <v>0</v>
      </c>
      <c r="K202" s="64">
        <f t="shared" si="35"/>
        <v>0</v>
      </c>
    </row>
    <row r="203" spans="1:11" s="759" customFormat="1">
      <c r="A203" s="117">
        <f t="shared" si="32"/>
        <v>151</v>
      </c>
      <c r="B203" s="722" t="s">
        <v>1663</v>
      </c>
      <c r="C203" s="720">
        <v>2017</v>
      </c>
      <c r="D203" s="1217">
        <v>0</v>
      </c>
      <c r="E203" s="64">
        <f>D203*'16-PlantAdditions'!$E$103</f>
        <v>0</v>
      </c>
      <c r="F203" s="64">
        <f t="shared" si="33"/>
        <v>0</v>
      </c>
      <c r="G203" s="1217">
        <v>0</v>
      </c>
      <c r="H203" s="1217">
        <v>0</v>
      </c>
      <c r="I203" s="64">
        <f>(G203-H203)*'16-PlantAdditions'!$E$103</f>
        <v>0</v>
      </c>
      <c r="J203" s="64">
        <f t="shared" si="34"/>
        <v>0</v>
      </c>
      <c r="K203" s="64">
        <f t="shared" si="35"/>
        <v>0</v>
      </c>
    </row>
    <row r="204" spans="1:11" s="759" customFormat="1">
      <c r="A204" s="117">
        <f t="shared" si="32"/>
        <v>152</v>
      </c>
      <c r="B204" s="719" t="s">
        <v>205</v>
      </c>
      <c r="C204" s="720">
        <v>2017</v>
      </c>
      <c r="D204" s="1217">
        <v>0</v>
      </c>
      <c r="E204" s="64">
        <f>D204*'16-PlantAdditions'!$E$103</f>
        <v>0</v>
      </c>
      <c r="F204" s="64">
        <f t="shared" si="33"/>
        <v>0</v>
      </c>
      <c r="G204" s="1217">
        <v>0</v>
      </c>
      <c r="H204" s="1217">
        <v>0</v>
      </c>
      <c r="I204" s="64">
        <f>(G204-H204)*'16-PlantAdditions'!$E$103</f>
        <v>0</v>
      </c>
      <c r="J204" s="64">
        <f t="shared" si="34"/>
        <v>0</v>
      </c>
      <c r="K204" s="64">
        <f t="shared" si="35"/>
        <v>0</v>
      </c>
    </row>
    <row r="205" spans="1:11" s="759" customFormat="1">
      <c r="A205" s="117">
        <f t="shared" si="32"/>
        <v>153</v>
      </c>
      <c r="B205" s="722" t="s">
        <v>206</v>
      </c>
      <c r="C205" s="720">
        <v>2017</v>
      </c>
      <c r="D205" s="1217">
        <v>0</v>
      </c>
      <c r="E205" s="64">
        <f>D205*'16-PlantAdditions'!$E$103</f>
        <v>0</v>
      </c>
      <c r="F205" s="64">
        <f t="shared" si="33"/>
        <v>0</v>
      </c>
      <c r="G205" s="1217">
        <v>0</v>
      </c>
      <c r="H205" s="1217">
        <v>0</v>
      </c>
      <c r="I205" s="64">
        <f>(G205-H205)*'16-PlantAdditions'!$E$103</f>
        <v>0</v>
      </c>
      <c r="J205" s="64">
        <f t="shared" si="34"/>
        <v>0</v>
      </c>
      <c r="K205" s="64">
        <f t="shared" si="35"/>
        <v>0</v>
      </c>
    </row>
    <row r="206" spans="1:11" s="759" customFormat="1">
      <c r="A206" s="117">
        <f t="shared" si="32"/>
        <v>154</v>
      </c>
      <c r="B206" s="722" t="s">
        <v>207</v>
      </c>
      <c r="C206" s="720">
        <v>2017</v>
      </c>
      <c r="D206" s="1217">
        <v>0</v>
      </c>
      <c r="E206" s="64">
        <f>D206*'16-PlantAdditions'!$E$103</f>
        <v>0</v>
      </c>
      <c r="F206" s="64">
        <f t="shared" si="33"/>
        <v>0</v>
      </c>
      <c r="G206" s="1217">
        <v>0</v>
      </c>
      <c r="H206" s="1217">
        <v>0</v>
      </c>
      <c r="I206" s="64">
        <f>(G206-H206)*'16-PlantAdditions'!$E$103</f>
        <v>0</v>
      </c>
      <c r="J206" s="64">
        <f t="shared" si="34"/>
        <v>0</v>
      </c>
      <c r="K206" s="64">
        <f t="shared" si="35"/>
        <v>0</v>
      </c>
    </row>
    <row r="207" spans="1:11" s="759" customFormat="1">
      <c r="A207" s="117">
        <f t="shared" si="32"/>
        <v>155</v>
      </c>
      <c r="B207" s="722" t="s">
        <v>210</v>
      </c>
      <c r="C207" s="720">
        <v>2017</v>
      </c>
      <c r="D207" s="1217">
        <v>0</v>
      </c>
      <c r="E207" s="64">
        <f>D207*'16-PlantAdditions'!$E$103</f>
        <v>0</v>
      </c>
      <c r="F207" s="64">
        <f t="shared" ref="F207:F209" si="36">E207+D207</f>
        <v>0</v>
      </c>
      <c r="G207" s="1217">
        <v>0</v>
      </c>
      <c r="H207" s="1217">
        <v>0</v>
      </c>
      <c r="I207" s="64">
        <f>(G207-H207)*'16-PlantAdditions'!$E$103</f>
        <v>0</v>
      </c>
      <c r="J207" s="64">
        <f t="shared" ref="J207:J209" si="37">J206+F207-G207-I207</f>
        <v>0</v>
      </c>
      <c r="K207" s="64">
        <f t="shared" si="35"/>
        <v>0</v>
      </c>
    </row>
    <row r="208" spans="1:11" s="759" customFormat="1">
      <c r="A208" s="117">
        <f t="shared" si="32"/>
        <v>156</v>
      </c>
      <c r="B208" s="722" t="s">
        <v>209</v>
      </c>
      <c r="C208" s="720">
        <v>2017</v>
      </c>
      <c r="D208" s="1217">
        <v>0</v>
      </c>
      <c r="E208" s="64">
        <f>D208*'16-PlantAdditions'!$E$103</f>
        <v>0</v>
      </c>
      <c r="F208" s="64">
        <f t="shared" si="36"/>
        <v>0</v>
      </c>
      <c r="G208" s="1217">
        <v>0</v>
      </c>
      <c r="H208" s="1217">
        <v>0</v>
      </c>
      <c r="I208" s="64">
        <f>(G208-H208)*'16-PlantAdditions'!$E$103</f>
        <v>0</v>
      </c>
      <c r="J208" s="64">
        <f t="shared" si="37"/>
        <v>0</v>
      </c>
      <c r="K208" s="64">
        <f t="shared" si="35"/>
        <v>0</v>
      </c>
    </row>
    <row r="209" spans="1:11" s="759" customFormat="1">
      <c r="A209" s="117">
        <f t="shared" si="32"/>
        <v>157</v>
      </c>
      <c r="B209" s="722" t="s">
        <v>199</v>
      </c>
      <c r="C209" s="720">
        <v>2017</v>
      </c>
      <c r="D209" s="1217">
        <v>0</v>
      </c>
      <c r="E209" s="64">
        <f>D209*'16-PlantAdditions'!$E$103</f>
        <v>0</v>
      </c>
      <c r="F209" s="64">
        <f t="shared" si="36"/>
        <v>0</v>
      </c>
      <c r="G209" s="1217">
        <v>0</v>
      </c>
      <c r="H209" s="1217">
        <v>0</v>
      </c>
      <c r="I209" s="64">
        <f>(G209-H209)*'16-PlantAdditions'!$E$103</f>
        <v>0</v>
      </c>
      <c r="J209" s="64">
        <f t="shared" si="37"/>
        <v>0</v>
      </c>
      <c r="K209" s="118">
        <f t="shared" si="35"/>
        <v>0</v>
      </c>
    </row>
    <row r="210" spans="1:11" s="759" customFormat="1">
      <c r="A210" s="117">
        <f t="shared" si="32"/>
        <v>158</v>
      </c>
      <c r="B210"/>
      <c r="C210" s="758" t="s">
        <v>1838</v>
      </c>
      <c r="D210"/>
      <c r="E210"/>
      <c r="F210"/>
      <c r="G210"/>
      <c r="H210"/>
      <c r="I210"/>
      <c r="J210"/>
      <c r="K210" s="79">
        <f>AVERAGE(K197:K209)</f>
        <v>0</v>
      </c>
    </row>
    <row r="211" spans="1:11" s="759" customFormat="1">
      <c r="A211" s="117"/>
      <c r="B211"/>
      <c r="C211" s="758"/>
      <c r="D211"/>
      <c r="E211"/>
      <c r="F211"/>
      <c r="G211"/>
      <c r="H211"/>
      <c r="I211"/>
      <c r="J211"/>
      <c r="K211" s="79"/>
    </row>
    <row r="212" spans="1:11" s="759" customFormat="1">
      <c r="B212" s="760" t="s">
        <v>2355</v>
      </c>
      <c r="D212" s="1438" t="s">
        <v>601</v>
      </c>
      <c r="E212" s="1438"/>
    </row>
    <row r="213" spans="1:11" s="759" customFormat="1">
      <c r="D213" s="761"/>
      <c r="E213" s="761"/>
      <c r="F213" s="761"/>
      <c r="G213" s="645" t="str">
        <f>G51</f>
        <v>Unloaded</v>
      </c>
      <c r="H213" s="761"/>
      <c r="I213" s="761"/>
    </row>
    <row r="214" spans="1:11" s="759" customFormat="1">
      <c r="A214" s="756"/>
      <c r="B214" s="756"/>
      <c r="C214" s="756"/>
      <c r="D214" s="756" t="str">
        <f>D$52</f>
        <v>Forecast</v>
      </c>
      <c r="E214" s="756" t="str">
        <f t="shared" ref="E214:J214" si="38">E$52</f>
        <v>Corporate</v>
      </c>
      <c r="F214" s="756" t="str">
        <f t="shared" si="38"/>
        <v xml:space="preserve">Total </v>
      </c>
      <c r="G214" s="645" t="str">
        <f>G52</f>
        <v>Total</v>
      </c>
      <c r="H214" s="756" t="str">
        <f t="shared" si="38"/>
        <v>Prior Period</v>
      </c>
      <c r="I214" s="756" t="str">
        <f t="shared" si="38"/>
        <v>Over Heads</v>
      </c>
      <c r="J214" s="756" t="str">
        <f t="shared" si="38"/>
        <v>Forecast</v>
      </c>
      <c r="K214" s="645" t="str">
        <f>K$52</f>
        <v>Forecast Period</v>
      </c>
    </row>
    <row r="215" spans="1:11" s="759" customFormat="1">
      <c r="A215" s="1008" t="s">
        <v>360</v>
      </c>
      <c r="B215" s="718" t="s">
        <v>211</v>
      </c>
      <c r="C215" s="718" t="s">
        <v>212</v>
      </c>
      <c r="D215" s="754" t="str">
        <f>D$53</f>
        <v>Expenditures</v>
      </c>
      <c r="E215" s="754" t="str">
        <f t="shared" ref="E215:J215" si="39">E$53</f>
        <v>Overheads</v>
      </c>
      <c r="F215" s="754" t="str">
        <f t="shared" si="39"/>
        <v>CWIP Exp</v>
      </c>
      <c r="G215" s="3" t="str">
        <f>G53</f>
        <v>Plant Adds</v>
      </c>
      <c r="H215" s="754" t="str">
        <f t="shared" si="39"/>
        <v>CWIP Closed</v>
      </c>
      <c r="I215" s="754" t="str">
        <f t="shared" si="39"/>
        <v>Closed to PIS</v>
      </c>
      <c r="J215" s="754" t="str">
        <f t="shared" si="39"/>
        <v>Period CWIP</v>
      </c>
      <c r="K215" s="754" t="str">
        <f>K$53</f>
        <v>Incremental CWIP</v>
      </c>
    </row>
    <row r="216" spans="1:11" s="759" customFormat="1">
      <c r="A216" s="117">
        <f>A210+1</f>
        <v>159</v>
      </c>
      <c r="B216" s="719" t="s">
        <v>199</v>
      </c>
      <c r="C216" s="720">
        <v>2015</v>
      </c>
      <c r="D216" s="763" t="s">
        <v>86</v>
      </c>
      <c r="E216" s="763" t="s">
        <v>86</v>
      </c>
      <c r="F216" s="763" t="s">
        <v>86</v>
      </c>
      <c r="G216" s="763" t="s">
        <v>86</v>
      </c>
      <c r="H216" s="763" t="s">
        <v>86</v>
      </c>
      <c r="I216" s="763" t="s">
        <v>86</v>
      </c>
      <c r="J216" s="64">
        <f>I25</f>
        <v>9220094.2599999998</v>
      </c>
      <c r="K216" s="763" t="s">
        <v>86</v>
      </c>
    </row>
    <row r="217" spans="1:11" s="759" customFormat="1">
      <c r="A217" s="117">
        <f>A216+1</f>
        <v>160</v>
      </c>
      <c r="B217" s="719" t="s">
        <v>200</v>
      </c>
      <c r="C217" s="720">
        <v>2016</v>
      </c>
      <c r="D217" s="1217">
        <v>-73717.27</v>
      </c>
      <c r="E217" s="64">
        <f>D217*'16-PlantAdditions'!$E$103</f>
        <v>-5528.7952500000001</v>
      </c>
      <c r="F217" s="64">
        <f>E217+D217</f>
        <v>-79246.06525</v>
      </c>
      <c r="G217" s="1217">
        <v>9146376.9899999984</v>
      </c>
      <c r="H217" s="1217">
        <v>9220094.2599999998</v>
      </c>
      <c r="I217" s="64">
        <f>(G217-H217)*'16-PlantAdditions'!$E$103</f>
        <v>-5528.7952500001056</v>
      </c>
      <c r="J217" s="64">
        <f>J216+F217-G217-I217</f>
        <v>1.5361365512944758E-9</v>
      </c>
      <c r="K217" s="64">
        <f>J217-$J$216</f>
        <v>-9220094.2599999979</v>
      </c>
    </row>
    <row r="218" spans="1:11" s="759" customFormat="1">
      <c r="A218" s="117">
        <f t="shared" ref="A218:A241" si="40">A217+1</f>
        <v>161</v>
      </c>
      <c r="B218" s="722" t="s">
        <v>201</v>
      </c>
      <c r="C218" s="720">
        <v>2016</v>
      </c>
      <c r="D218" s="1217">
        <v>-59264.119999999995</v>
      </c>
      <c r="E218" s="64">
        <f>D218*'16-PlantAdditions'!$E$103</f>
        <v>-4444.8089999999993</v>
      </c>
      <c r="F218" s="64">
        <f t="shared" ref="F218:F237" si="41">E218+D218</f>
        <v>-63708.928999999996</v>
      </c>
      <c r="G218" s="1217">
        <v>-59264.119999999995</v>
      </c>
      <c r="H218" s="1217">
        <v>0</v>
      </c>
      <c r="I218" s="64">
        <f>(G218-H218)*'16-PlantAdditions'!$E$103</f>
        <v>-4444.8089999999993</v>
      </c>
      <c r="J218" s="64">
        <f t="shared" ref="J218:J237" si="42">J217+F218-G218-I218</f>
        <v>1.533408067189157E-9</v>
      </c>
      <c r="K218" s="64">
        <f t="shared" ref="K218:K240" si="43">J218-$J$216</f>
        <v>-9220094.2599999979</v>
      </c>
    </row>
    <row r="219" spans="1:11" s="759" customFormat="1">
      <c r="A219" s="117">
        <f t="shared" si="40"/>
        <v>162</v>
      </c>
      <c r="B219" s="722" t="s">
        <v>214</v>
      </c>
      <c r="C219" s="720">
        <v>2016</v>
      </c>
      <c r="D219" s="1217">
        <v>2053.4399999999996</v>
      </c>
      <c r="E219" s="64">
        <f>D219*'16-PlantAdditions'!$E$103</f>
        <v>154.00799999999995</v>
      </c>
      <c r="F219" s="64">
        <f t="shared" si="41"/>
        <v>2207.4479999999994</v>
      </c>
      <c r="G219" s="1217">
        <v>2053.4399999999996</v>
      </c>
      <c r="H219" s="1217">
        <v>0</v>
      </c>
      <c r="I219" s="64">
        <f>(G219-H219)*'16-PlantAdditions'!$E$103</f>
        <v>154.00799999999995</v>
      </c>
      <c r="J219" s="64">
        <f t="shared" si="42"/>
        <v>1.533265958642005E-9</v>
      </c>
      <c r="K219" s="64">
        <f t="shared" si="43"/>
        <v>-9220094.2599999979</v>
      </c>
    </row>
    <row r="220" spans="1:11" s="759" customFormat="1">
      <c r="A220" s="117">
        <f t="shared" si="40"/>
        <v>163</v>
      </c>
      <c r="B220" s="719" t="s">
        <v>202</v>
      </c>
      <c r="C220" s="720">
        <v>2016</v>
      </c>
      <c r="D220" s="1217">
        <v>0</v>
      </c>
      <c r="E220" s="64">
        <f>D220*'16-PlantAdditions'!$E$103</f>
        <v>0</v>
      </c>
      <c r="F220" s="64">
        <f t="shared" si="41"/>
        <v>0</v>
      </c>
      <c r="G220" s="1217">
        <v>0</v>
      </c>
      <c r="H220" s="1217">
        <v>0</v>
      </c>
      <c r="I220" s="64">
        <f>(G220-H220)*'16-PlantAdditions'!$E$103</f>
        <v>0</v>
      </c>
      <c r="J220" s="64">
        <f t="shared" si="42"/>
        <v>1.533265958642005E-9</v>
      </c>
      <c r="K220" s="64">
        <f t="shared" si="43"/>
        <v>-9220094.2599999979</v>
      </c>
    </row>
    <row r="221" spans="1:11" s="759" customFormat="1">
      <c r="A221" s="117">
        <f t="shared" si="40"/>
        <v>164</v>
      </c>
      <c r="B221" s="722" t="s">
        <v>203</v>
      </c>
      <c r="C221" s="720">
        <v>2016</v>
      </c>
      <c r="D221" s="1217">
        <v>0</v>
      </c>
      <c r="E221" s="64">
        <f>D221*'16-PlantAdditions'!$E$103</f>
        <v>0</v>
      </c>
      <c r="F221" s="64">
        <f t="shared" si="41"/>
        <v>0</v>
      </c>
      <c r="G221" s="1217">
        <v>0</v>
      </c>
      <c r="H221" s="1217">
        <v>0</v>
      </c>
      <c r="I221" s="64">
        <f>(G221-H221)*'16-PlantAdditions'!$E$103</f>
        <v>0</v>
      </c>
      <c r="J221" s="64">
        <f t="shared" si="42"/>
        <v>1.533265958642005E-9</v>
      </c>
      <c r="K221" s="64">
        <f t="shared" si="43"/>
        <v>-9220094.2599999979</v>
      </c>
    </row>
    <row r="222" spans="1:11" s="759" customFormat="1">
      <c r="A222" s="117">
        <f t="shared" si="40"/>
        <v>165</v>
      </c>
      <c r="B222" s="722" t="s">
        <v>1663</v>
      </c>
      <c r="C222" s="720">
        <v>2016</v>
      </c>
      <c r="D222" s="1217">
        <v>0</v>
      </c>
      <c r="E222" s="64">
        <f>D222*'16-PlantAdditions'!$E$103</f>
        <v>0</v>
      </c>
      <c r="F222" s="64">
        <f t="shared" si="41"/>
        <v>0</v>
      </c>
      <c r="G222" s="1217">
        <v>0</v>
      </c>
      <c r="H222" s="1217">
        <v>0</v>
      </c>
      <c r="I222" s="64">
        <f>(G222-H222)*'16-PlantAdditions'!$E$103</f>
        <v>0</v>
      </c>
      <c r="J222" s="64">
        <f t="shared" si="42"/>
        <v>1.533265958642005E-9</v>
      </c>
      <c r="K222" s="64">
        <f t="shared" si="43"/>
        <v>-9220094.2599999979</v>
      </c>
    </row>
    <row r="223" spans="1:11" s="759" customFormat="1">
      <c r="A223" s="117">
        <f t="shared" si="40"/>
        <v>166</v>
      </c>
      <c r="B223" s="719" t="s">
        <v>205</v>
      </c>
      <c r="C223" s="720">
        <v>2016</v>
      </c>
      <c r="D223" s="1217">
        <v>0</v>
      </c>
      <c r="E223" s="64">
        <f>D223*'16-PlantAdditions'!$E$103</f>
        <v>0</v>
      </c>
      <c r="F223" s="64">
        <f t="shared" si="41"/>
        <v>0</v>
      </c>
      <c r="G223" s="1217">
        <v>0</v>
      </c>
      <c r="H223" s="1217">
        <v>0</v>
      </c>
      <c r="I223" s="64">
        <f>(G223-H223)*'16-PlantAdditions'!$E$103</f>
        <v>0</v>
      </c>
      <c r="J223" s="64">
        <f t="shared" si="42"/>
        <v>1.533265958642005E-9</v>
      </c>
      <c r="K223" s="64">
        <f t="shared" si="43"/>
        <v>-9220094.2599999979</v>
      </c>
    </row>
    <row r="224" spans="1:11" s="759" customFormat="1">
      <c r="A224" s="117">
        <f t="shared" si="40"/>
        <v>167</v>
      </c>
      <c r="B224" s="722" t="s">
        <v>206</v>
      </c>
      <c r="C224" s="720">
        <v>2016</v>
      </c>
      <c r="D224" s="1217">
        <v>0</v>
      </c>
      <c r="E224" s="64">
        <f>D224*'16-PlantAdditions'!$E$103</f>
        <v>0</v>
      </c>
      <c r="F224" s="64">
        <f t="shared" si="41"/>
        <v>0</v>
      </c>
      <c r="G224" s="1217">
        <v>0</v>
      </c>
      <c r="H224" s="1217">
        <v>0</v>
      </c>
      <c r="I224" s="64">
        <f>(G224-H224)*'16-PlantAdditions'!$E$103</f>
        <v>0</v>
      </c>
      <c r="J224" s="64">
        <f t="shared" si="42"/>
        <v>1.533265958642005E-9</v>
      </c>
      <c r="K224" s="64">
        <f t="shared" si="43"/>
        <v>-9220094.2599999979</v>
      </c>
    </row>
    <row r="225" spans="1:11" s="759" customFormat="1">
      <c r="A225" s="117">
        <f t="shared" si="40"/>
        <v>168</v>
      </c>
      <c r="B225" s="722" t="s">
        <v>207</v>
      </c>
      <c r="C225" s="720">
        <v>2016</v>
      </c>
      <c r="D225" s="1217">
        <v>0</v>
      </c>
      <c r="E225" s="64">
        <f>D225*'16-PlantAdditions'!$E$103</f>
        <v>0</v>
      </c>
      <c r="F225" s="64">
        <f t="shared" si="41"/>
        <v>0</v>
      </c>
      <c r="G225" s="1217">
        <v>0</v>
      </c>
      <c r="H225" s="1217">
        <v>0</v>
      </c>
      <c r="I225" s="64">
        <f>(G225-H225)*'16-PlantAdditions'!$E$103</f>
        <v>0</v>
      </c>
      <c r="J225" s="64">
        <f t="shared" si="42"/>
        <v>1.533265958642005E-9</v>
      </c>
      <c r="K225" s="64">
        <f t="shared" si="43"/>
        <v>-9220094.2599999979</v>
      </c>
    </row>
    <row r="226" spans="1:11" s="759" customFormat="1">
      <c r="A226" s="117">
        <f t="shared" si="40"/>
        <v>169</v>
      </c>
      <c r="B226" s="719" t="s">
        <v>210</v>
      </c>
      <c r="C226" s="720">
        <v>2016</v>
      </c>
      <c r="D226" s="1217">
        <v>0</v>
      </c>
      <c r="E226" s="64">
        <f>D226*'16-PlantAdditions'!$E$103</f>
        <v>0</v>
      </c>
      <c r="F226" s="64">
        <f t="shared" si="41"/>
        <v>0</v>
      </c>
      <c r="G226" s="1217">
        <v>0</v>
      </c>
      <c r="H226" s="1217">
        <v>0</v>
      </c>
      <c r="I226" s="64">
        <f>(G226-H226)*'16-PlantAdditions'!$E$103</f>
        <v>0</v>
      </c>
      <c r="J226" s="64">
        <f t="shared" si="42"/>
        <v>1.533265958642005E-9</v>
      </c>
      <c r="K226" s="64">
        <f t="shared" si="43"/>
        <v>-9220094.2599999979</v>
      </c>
    </row>
    <row r="227" spans="1:11" s="759" customFormat="1">
      <c r="A227" s="117">
        <f t="shared" si="40"/>
        <v>170</v>
      </c>
      <c r="B227" s="719" t="s">
        <v>209</v>
      </c>
      <c r="C227" s="720">
        <v>2016</v>
      </c>
      <c r="D227" s="1217">
        <v>0</v>
      </c>
      <c r="E227" s="64">
        <f>D227*'16-PlantAdditions'!$E$103</f>
        <v>0</v>
      </c>
      <c r="F227" s="64">
        <f t="shared" si="41"/>
        <v>0</v>
      </c>
      <c r="G227" s="1217">
        <v>0</v>
      </c>
      <c r="H227" s="1217">
        <v>0</v>
      </c>
      <c r="I227" s="64">
        <f>(G227-H227)*'16-PlantAdditions'!$E$103</f>
        <v>0</v>
      </c>
      <c r="J227" s="64">
        <f t="shared" si="42"/>
        <v>1.533265958642005E-9</v>
      </c>
      <c r="K227" s="64">
        <f t="shared" si="43"/>
        <v>-9220094.2599999979</v>
      </c>
    </row>
    <row r="228" spans="1:11" s="759" customFormat="1">
      <c r="A228" s="117">
        <f t="shared" si="40"/>
        <v>171</v>
      </c>
      <c r="B228" s="719" t="s">
        <v>199</v>
      </c>
      <c r="C228" s="720">
        <v>2016</v>
      </c>
      <c r="D228" s="1217">
        <v>0</v>
      </c>
      <c r="E228" s="64">
        <f>D228*'16-PlantAdditions'!$E$103</f>
        <v>0</v>
      </c>
      <c r="F228" s="64">
        <f t="shared" si="41"/>
        <v>0</v>
      </c>
      <c r="G228" s="1217">
        <v>0</v>
      </c>
      <c r="H228" s="1217">
        <v>0</v>
      </c>
      <c r="I228" s="64">
        <f>(G228-H228)*'16-PlantAdditions'!$E$103</f>
        <v>0</v>
      </c>
      <c r="J228" s="64">
        <f t="shared" si="42"/>
        <v>1.533265958642005E-9</v>
      </c>
      <c r="K228" s="64">
        <f t="shared" si="43"/>
        <v>-9220094.2599999979</v>
      </c>
    </row>
    <row r="229" spans="1:11" s="759" customFormat="1">
      <c r="A229" s="117">
        <f t="shared" si="40"/>
        <v>172</v>
      </c>
      <c r="B229" s="719" t="s">
        <v>200</v>
      </c>
      <c r="C229" s="720">
        <v>2017</v>
      </c>
      <c r="D229" s="1217">
        <v>0</v>
      </c>
      <c r="E229" s="64">
        <f>D229*'16-PlantAdditions'!$E$103</f>
        <v>0</v>
      </c>
      <c r="F229" s="64">
        <f t="shared" si="41"/>
        <v>0</v>
      </c>
      <c r="G229" s="1217">
        <v>0</v>
      </c>
      <c r="H229" s="1217">
        <v>0</v>
      </c>
      <c r="I229" s="64">
        <f>(G229-H229)*'16-PlantAdditions'!$E$103</f>
        <v>0</v>
      </c>
      <c r="J229" s="64">
        <f t="shared" si="42"/>
        <v>1.533265958642005E-9</v>
      </c>
      <c r="K229" s="64">
        <f t="shared" si="43"/>
        <v>-9220094.2599999979</v>
      </c>
    </row>
    <row r="230" spans="1:11" s="759" customFormat="1">
      <c r="A230" s="117">
        <f t="shared" si="40"/>
        <v>173</v>
      </c>
      <c r="B230" s="722" t="s">
        <v>201</v>
      </c>
      <c r="C230" s="720">
        <v>2017</v>
      </c>
      <c r="D230" s="1217">
        <v>0</v>
      </c>
      <c r="E230" s="64">
        <f>D230*'16-PlantAdditions'!$E$103</f>
        <v>0</v>
      </c>
      <c r="F230" s="64">
        <f t="shared" si="41"/>
        <v>0</v>
      </c>
      <c r="G230" s="1217">
        <v>0</v>
      </c>
      <c r="H230" s="1217">
        <v>0</v>
      </c>
      <c r="I230" s="64">
        <f>(G230-H230)*'16-PlantAdditions'!$E$103</f>
        <v>0</v>
      </c>
      <c r="J230" s="64">
        <f t="shared" si="42"/>
        <v>1.533265958642005E-9</v>
      </c>
      <c r="K230" s="64">
        <f t="shared" si="43"/>
        <v>-9220094.2599999979</v>
      </c>
    </row>
    <row r="231" spans="1:11" s="759" customFormat="1">
      <c r="A231" s="117">
        <f t="shared" si="40"/>
        <v>174</v>
      </c>
      <c r="B231" s="722" t="s">
        <v>214</v>
      </c>
      <c r="C231" s="720">
        <v>2017</v>
      </c>
      <c r="D231" s="1217">
        <v>0</v>
      </c>
      <c r="E231" s="64">
        <f>D231*'16-PlantAdditions'!$E$103</f>
        <v>0</v>
      </c>
      <c r="F231" s="64">
        <f t="shared" si="41"/>
        <v>0</v>
      </c>
      <c r="G231" s="1217">
        <v>0</v>
      </c>
      <c r="H231" s="1217">
        <v>0</v>
      </c>
      <c r="I231" s="64">
        <f>(G231-H231)*'16-PlantAdditions'!$E$103</f>
        <v>0</v>
      </c>
      <c r="J231" s="64">
        <f t="shared" si="42"/>
        <v>1.533265958642005E-9</v>
      </c>
      <c r="K231" s="64">
        <f t="shared" si="43"/>
        <v>-9220094.2599999979</v>
      </c>
    </row>
    <row r="232" spans="1:11" s="759" customFormat="1">
      <c r="A232" s="117">
        <f t="shared" si="40"/>
        <v>175</v>
      </c>
      <c r="B232" s="719" t="s">
        <v>202</v>
      </c>
      <c r="C232" s="720">
        <v>2017</v>
      </c>
      <c r="D232" s="1217">
        <v>0</v>
      </c>
      <c r="E232" s="64">
        <f>D232*'16-PlantAdditions'!$E$103</f>
        <v>0</v>
      </c>
      <c r="F232" s="64">
        <f t="shared" si="41"/>
        <v>0</v>
      </c>
      <c r="G232" s="1217">
        <v>0</v>
      </c>
      <c r="H232" s="1217">
        <v>0</v>
      </c>
      <c r="I232" s="64">
        <f>(G232-H232)*'16-PlantAdditions'!$E$103</f>
        <v>0</v>
      </c>
      <c r="J232" s="64">
        <f t="shared" si="42"/>
        <v>1.533265958642005E-9</v>
      </c>
      <c r="K232" s="64">
        <f t="shared" si="43"/>
        <v>-9220094.2599999979</v>
      </c>
    </row>
    <row r="233" spans="1:11" s="759" customFormat="1">
      <c r="A233" s="117">
        <f t="shared" si="40"/>
        <v>176</v>
      </c>
      <c r="B233" s="722" t="s">
        <v>203</v>
      </c>
      <c r="C233" s="720">
        <v>2017</v>
      </c>
      <c r="D233" s="1217">
        <v>0</v>
      </c>
      <c r="E233" s="64">
        <f>D233*'16-PlantAdditions'!$E$103</f>
        <v>0</v>
      </c>
      <c r="F233" s="64">
        <f t="shared" si="41"/>
        <v>0</v>
      </c>
      <c r="G233" s="1217">
        <v>0</v>
      </c>
      <c r="H233" s="1217">
        <v>0</v>
      </c>
      <c r="I233" s="64">
        <f>(G233-H233)*'16-PlantAdditions'!$E$103</f>
        <v>0</v>
      </c>
      <c r="J233" s="64">
        <f t="shared" si="42"/>
        <v>1.533265958642005E-9</v>
      </c>
      <c r="K233" s="64">
        <f t="shared" si="43"/>
        <v>-9220094.2599999979</v>
      </c>
    </row>
    <row r="234" spans="1:11" s="759" customFormat="1">
      <c r="A234" s="117">
        <f t="shared" si="40"/>
        <v>177</v>
      </c>
      <c r="B234" s="722" t="s">
        <v>1663</v>
      </c>
      <c r="C234" s="720">
        <v>2017</v>
      </c>
      <c r="D234" s="1217">
        <v>0</v>
      </c>
      <c r="E234" s="64">
        <f>D234*'16-PlantAdditions'!$E$103</f>
        <v>0</v>
      </c>
      <c r="F234" s="64">
        <f t="shared" si="41"/>
        <v>0</v>
      </c>
      <c r="G234" s="1217">
        <v>0</v>
      </c>
      <c r="H234" s="1217">
        <v>0</v>
      </c>
      <c r="I234" s="64">
        <f>(G234-H234)*'16-PlantAdditions'!$E$103</f>
        <v>0</v>
      </c>
      <c r="J234" s="64">
        <f t="shared" si="42"/>
        <v>1.533265958642005E-9</v>
      </c>
      <c r="K234" s="64">
        <f t="shared" si="43"/>
        <v>-9220094.2599999979</v>
      </c>
    </row>
    <row r="235" spans="1:11" s="759" customFormat="1">
      <c r="A235" s="117">
        <f t="shared" si="40"/>
        <v>178</v>
      </c>
      <c r="B235" s="719" t="s">
        <v>205</v>
      </c>
      <c r="C235" s="720">
        <v>2017</v>
      </c>
      <c r="D235" s="1217">
        <v>0</v>
      </c>
      <c r="E235" s="64">
        <f>D235*'16-PlantAdditions'!$E$103</f>
        <v>0</v>
      </c>
      <c r="F235" s="64">
        <f t="shared" si="41"/>
        <v>0</v>
      </c>
      <c r="G235" s="1217">
        <v>0</v>
      </c>
      <c r="H235" s="1217">
        <v>0</v>
      </c>
      <c r="I235" s="64">
        <f>(G235-H235)*'16-PlantAdditions'!$E$103</f>
        <v>0</v>
      </c>
      <c r="J235" s="64">
        <f t="shared" si="42"/>
        <v>1.533265958642005E-9</v>
      </c>
      <c r="K235" s="64">
        <f t="shared" si="43"/>
        <v>-9220094.2599999979</v>
      </c>
    </row>
    <row r="236" spans="1:11" s="759" customFormat="1">
      <c r="A236" s="117">
        <f t="shared" si="40"/>
        <v>179</v>
      </c>
      <c r="B236" s="722" t="s">
        <v>206</v>
      </c>
      <c r="C236" s="720">
        <v>2017</v>
      </c>
      <c r="D236" s="1217">
        <v>0</v>
      </c>
      <c r="E236" s="64">
        <f>D236*'16-PlantAdditions'!$E$103</f>
        <v>0</v>
      </c>
      <c r="F236" s="64">
        <f t="shared" si="41"/>
        <v>0</v>
      </c>
      <c r="G236" s="1217">
        <v>0</v>
      </c>
      <c r="H236" s="1217">
        <v>0</v>
      </c>
      <c r="I236" s="64">
        <f>(G236-H236)*'16-PlantAdditions'!$E$103</f>
        <v>0</v>
      </c>
      <c r="J236" s="64">
        <f t="shared" si="42"/>
        <v>1.533265958642005E-9</v>
      </c>
      <c r="K236" s="64">
        <f t="shared" si="43"/>
        <v>-9220094.2599999979</v>
      </c>
    </row>
    <row r="237" spans="1:11" s="759" customFormat="1">
      <c r="A237" s="117">
        <f t="shared" si="40"/>
        <v>180</v>
      </c>
      <c r="B237" s="722" t="s">
        <v>207</v>
      </c>
      <c r="C237" s="720">
        <v>2017</v>
      </c>
      <c r="D237" s="1217">
        <v>0</v>
      </c>
      <c r="E237" s="64">
        <f>D237*'16-PlantAdditions'!$E$103</f>
        <v>0</v>
      </c>
      <c r="F237" s="64">
        <f t="shared" si="41"/>
        <v>0</v>
      </c>
      <c r="G237" s="1217">
        <v>0</v>
      </c>
      <c r="H237" s="1217">
        <v>0</v>
      </c>
      <c r="I237" s="64">
        <f>(G237-H237)*'16-PlantAdditions'!$E$103</f>
        <v>0</v>
      </c>
      <c r="J237" s="64">
        <f t="shared" si="42"/>
        <v>1.533265958642005E-9</v>
      </c>
      <c r="K237" s="64">
        <f t="shared" si="43"/>
        <v>-9220094.2599999979</v>
      </c>
    </row>
    <row r="238" spans="1:11" s="759" customFormat="1">
      <c r="A238" s="117">
        <f t="shared" si="40"/>
        <v>181</v>
      </c>
      <c r="B238" s="722" t="s">
        <v>210</v>
      </c>
      <c r="C238" s="720">
        <v>2017</v>
      </c>
      <c r="D238" s="1217">
        <v>0</v>
      </c>
      <c r="E238" s="64">
        <f>D238*'16-PlantAdditions'!$E$103</f>
        <v>0</v>
      </c>
      <c r="F238" s="64">
        <f t="shared" ref="F238:F240" si="44">E238+D238</f>
        <v>0</v>
      </c>
      <c r="G238" s="1217">
        <v>0</v>
      </c>
      <c r="H238" s="1217">
        <v>0</v>
      </c>
      <c r="I238" s="64">
        <f>(G238-H238)*'16-PlantAdditions'!$E$103</f>
        <v>0</v>
      </c>
      <c r="J238" s="64">
        <f t="shared" ref="J238:J240" si="45">J237+F238-G238-I238</f>
        <v>1.533265958642005E-9</v>
      </c>
      <c r="K238" s="64">
        <f t="shared" si="43"/>
        <v>-9220094.2599999979</v>
      </c>
    </row>
    <row r="239" spans="1:11" s="759" customFormat="1">
      <c r="A239" s="117">
        <f t="shared" si="40"/>
        <v>182</v>
      </c>
      <c r="B239" s="722" t="s">
        <v>209</v>
      </c>
      <c r="C239" s="720">
        <v>2017</v>
      </c>
      <c r="D239" s="1217">
        <v>0</v>
      </c>
      <c r="E239" s="64">
        <f>D239*'16-PlantAdditions'!$E$103</f>
        <v>0</v>
      </c>
      <c r="F239" s="64">
        <f t="shared" si="44"/>
        <v>0</v>
      </c>
      <c r="G239" s="1217">
        <v>0</v>
      </c>
      <c r="H239" s="1217">
        <v>0</v>
      </c>
      <c r="I239" s="64">
        <f>(G239-H239)*'16-PlantAdditions'!$E$103</f>
        <v>0</v>
      </c>
      <c r="J239" s="64">
        <f t="shared" si="45"/>
        <v>1.533265958642005E-9</v>
      </c>
      <c r="K239" s="64">
        <f t="shared" si="43"/>
        <v>-9220094.2599999979</v>
      </c>
    </row>
    <row r="240" spans="1:11" s="759" customFormat="1">
      <c r="A240" s="117">
        <f t="shared" si="40"/>
        <v>183</v>
      </c>
      <c r="B240" s="722" t="s">
        <v>199</v>
      </c>
      <c r="C240" s="720">
        <v>2017</v>
      </c>
      <c r="D240" s="1217">
        <v>0</v>
      </c>
      <c r="E240" s="64">
        <f>D240*'16-PlantAdditions'!$E$103</f>
        <v>0</v>
      </c>
      <c r="F240" s="64">
        <f t="shared" si="44"/>
        <v>0</v>
      </c>
      <c r="G240" s="1217">
        <v>0</v>
      </c>
      <c r="H240" s="1217">
        <v>0</v>
      </c>
      <c r="I240" s="64">
        <f>(G240-H240)*'16-PlantAdditions'!$E$103</f>
        <v>0</v>
      </c>
      <c r="J240" s="64">
        <f t="shared" si="45"/>
        <v>1.533265958642005E-9</v>
      </c>
      <c r="K240" s="118">
        <f t="shared" si="43"/>
        <v>-9220094.2599999979</v>
      </c>
    </row>
    <row r="241" spans="1:11" s="759" customFormat="1">
      <c r="A241" s="117">
        <f t="shared" si="40"/>
        <v>184</v>
      </c>
      <c r="B241"/>
      <c r="C241" s="758" t="s">
        <v>1838</v>
      </c>
      <c r="D241"/>
      <c r="E241"/>
      <c r="F241"/>
      <c r="G241"/>
      <c r="H241"/>
      <c r="I241"/>
      <c r="J241"/>
      <c r="K241" s="79">
        <f>AVERAGE(K228:K240)</f>
        <v>-9220094.2599999942</v>
      </c>
    </row>
    <row r="242" spans="1:11" s="759" customFormat="1">
      <c r="A242" s="117"/>
      <c r="B242"/>
      <c r="C242" s="758"/>
      <c r="D242"/>
      <c r="E242"/>
      <c r="F242"/>
      <c r="G242"/>
      <c r="H242"/>
      <c r="I242"/>
      <c r="J242"/>
      <c r="K242" s="79"/>
    </row>
    <row r="243" spans="1:11" s="759" customFormat="1">
      <c r="B243" s="760" t="s">
        <v>2356</v>
      </c>
      <c r="D243" s="1438" t="s">
        <v>2357</v>
      </c>
      <c r="E243" s="1438"/>
    </row>
    <row r="244" spans="1:11" s="759" customFormat="1">
      <c r="A244" s="754"/>
      <c r="B244" s="754"/>
      <c r="C244" s="754"/>
      <c r="D244" s="754" t="s">
        <v>394</v>
      </c>
      <c r="E244" s="754" t="s">
        <v>378</v>
      </c>
      <c r="F244" s="754" t="s">
        <v>379</v>
      </c>
      <c r="G244" s="754" t="s">
        <v>380</v>
      </c>
      <c r="H244" s="754" t="s">
        <v>381</v>
      </c>
      <c r="I244" s="754" t="s">
        <v>382</v>
      </c>
      <c r="J244" s="754" t="s">
        <v>383</v>
      </c>
      <c r="K244" s="754" t="s">
        <v>596</v>
      </c>
    </row>
    <row r="245" spans="1:11" s="759" customFormat="1" ht="38.25">
      <c r="D245" s="761"/>
      <c r="E245" s="762" t="s">
        <v>2594</v>
      </c>
      <c r="F245" s="763" t="s">
        <v>2346</v>
      </c>
      <c r="G245" s="528"/>
      <c r="H245" s="761"/>
      <c r="I245" s="762" t="s">
        <v>2595</v>
      </c>
      <c r="J245" s="762" t="s">
        <v>2347</v>
      </c>
      <c r="K245" s="762" t="s">
        <v>2348</v>
      </c>
    </row>
    <row r="246" spans="1:11" s="759" customFormat="1">
      <c r="D246" s="761"/>
      <c r="E246" s="761"/>
      <c r="F246" s="761"/>
      <c r="G246" s="645" t="s">
        <v>2358</v>
      </c>
      <c r="H246" s="761"/>
      <c r="I246" s="761"/>
    </row>
    <row r="247" spans="1:11" s="759" customFormat="1">
      <c r="A247" s="756"/>
      <c r="B247" s="756"/>
      <c r="C247" s="756"/>
      <c r="D247" s="756" t="str">
        <f>D$52</f>
        <v>Forecast</v>
      </c>
      <c r="E247" s="756" t="str">
        <f t="shared" ref="E247:J247" si="46">E$52</f>
        <v>Corporate</v>
      </c>
      <c r="F247" s="756" t="str">
        <f t="shared" si="46"/>
        <v xml:space="preserve">Total </v>
      </c>
      <c r="G247" s="756" t="s">
        <v>215</v>
      </c>
      <c r="H247" s="756" t="str">
        <f t="shared" si="46"/>
        <v>Prior Period</v>
      </c>
      <c r="I247" s="756" t="str">
        <f t="shared" si="46"/>
        <v>Over Heads</v>
      </c>
      <c r="J247" s="756" t="str">
        <f t="shared" si="46"/>
        <v>Forecast</v>
      </c>
      <c r="K247" s="645" t="str">
        <f>K$52</f>
        <v>Forecast Period</v>
      </c>
    </row>
    <row r="248" spans="1:11" s="759" customFormat="1">
      <c r="A248" s="1008" t="s">
        <v>360</v>
      </c>
      <c r="B248" s="718" t="s">
        <v>211</v>
      </c>
      <c r="C248" s="718" t="s">
        <v>212</v>
      </c>
      <c r="D248" s="754" t="str">
        <f>D$53</f>
        <v>Expenditures</v>
      </c>
      <c r="E248" s="754" t="str">
        <f t="shared" ref="E248:J248" si="47">E$53</f>
        <v>Overheads</v>
      </c>
      <c r="F248" s="754" t="str">
        <f t="shared" si="47"/>
        <v>CWIP Exp</v>
      </c>
      <c r="G248" s="754" t="s">
        <v>2339</v>
      </c>
      <c r="H248" s="754" t="str">
        <f t="shared" si="47"/>
        <v>CWIP Closed</v>
      </c>
      <c r="I248" s="754" t="str">
        <f t="shared" si="47"/>
        <v>Closed to PIS</v>
      </c>
      <c r="J248" s="754" t="str">
        <f t="shared" si="47"/>
        <v>Period CWIP</v>
      </c>
      <c r="K248" s="754" t="str">
        <f>K$53</f>
        <v>Incremental CWIP</v>
      </c>
    </row>
    <row r="249" spans="1:11" s="759" customFormat="1">
      <c r="A249" s="117">
        <f>A241+1</f>
        <v>185</v>
      </c>
      <c r="B249" s="719" t="s">
        <v>199</v>
      </c>
      <c r="C249" s="720">
        <v>2015</v>
      </c>
      <c r="D249" s="763" t="s">
        <v>86</v>
      </c>
      <c r="E249" s="763" t="s">
        <v>86</v>
      </c>
      <c r="F249" s="763" t="s">
        <v>86</v>
      </c>
      <c r="G249" s="763" t="s">
        <v>86</v>
      </c>
      <c r="H249" s="763" t="s">
        <v>86</v>
      </c>
      <c r="I249" s="763" t="s">
        <v>86</v>
      </c>
      <c r="J249" s="64">
        <f>D45</f>
        <v>6769086.5099999998</v>
      </c>
      <c r="K249" s="763" t="s">
        <v>86</v>
      </c>
    </row>
    <row r="250" spans="1:11" s="759" customFormat="1">
      <c r="A250" s="117">
        <f>A249+1</f>
        <v>186</v>
      </c>
      <c r="B250" s="719" t="s">
        <v>200</v>
      </c>
      <c r="C250" s="720">
        <v>2016</v>
      </c>
      <c r="D250" s="1217">
        <v>27401.759999999998</v>
      </c>
      <c r="E250" s="64">
        <f>D250*'16-PlantAdditions'!$E$103</f>
        <v>2055.1319999999996</v>
      </c>
      <c r="F250" s="64">
        <f>E250+D250</f>
        <v>29456.892</v>
      </c>
      <c r="G250" s="1217">
        <v>1000</v>
      </c>
      <c r="H250" s="1217">
        <v>0</v>
      </c>
      <c r="I250" s="64">
        <f>(G250-H250)*'16-PlantAdditions'!$E$103</f>
        <v>75</v>
      </c>
      <c r="J250" s="64">
        <f>J249+F250-G250-I250</f>
        <v>6797468.4019999998</v>
      </c>
      <c r="K250" s="64">
        <f>J250-$J$249</f>
        <v>28381.891999999993</v>
      </c>
    </row>
    <row r="251" spans="1:11" s="759" customFormat="1">
      <c r="A251" s="117">
        <f t="shared" ref="A251:A274" si="48">A250+1</f>
        <v>187</v>
      </c>
      <c r="B251" s="722" t="s">
        <v>201</v>
      </c>
      <c r="C251" s="720">
        <v>2016</v>
      </c>
      <c r="D251" s="1217">
        <v>451535.88</v>
      </c>
      <c r="E251" s="64">
        <f>D251*'16-PlantAdditions'!$E$103</f>
        <v>33865.190999999999</v>
      </c>
      <c r="F251" s="64">
        <f t="shared" ref="F251:F270" si="49">E251+D251</f>
        <v>485401.071</v>
      </c>
      <c r="G251" s="1217">
        <v>0</v>
      </c>
      <c r="H251" s="1217">
        <v>0</v>
      </c>
      <c r="I251" s="64">
        <f>(G251-H251)*'16-PlantAdditions'!$E$103</f>
        <v>0</v>
      </c>
      <c r="J251" s="64">
        <f t="shared" ref="J251:J270" si="50">J250+F251-G251-I251</f>
        <v>7282869.4729999993</v>
      </c>
      <c r="K251" s="64">
        <f t="shared" ref="K251:K273" si="51">J251-$J$249</f>
        <v>513782.96299999952</v>
      </c>
    </row>
    <row r="252" spans="1:11" s="759" customFormat="1">
      <c r="A252" s="117">
        <f t="shared" si="48"/>
        <v>188</v>
      </c>
      <c r="B252" s="722" t="s">
        <v>214</v>
      </c>
      <c r="C252" s="720">
        <v>2016</v>
      </c>
      <c r="D252" s="1217">
        <v>2930417.62</v>
      </c>
      <c r="E252" s="64">
        <f>D252*'16-PlantAdditions'!$E$103</f>
        <v>219781.32149999999</v>
      </c>
      <c r="F252" s="64">
        <f t="shared" si="49"/>
        <v>3150198.9415000002</v>
      </c>
      <c r="G252" s="1217">
        <v>0</v>
      </c>
      <c r="H252" s="1217">
        <v>0</v>
      </c>
      <c r="I252" s="64">
        <f>(G252-H252)*'16-PlantAdditions'!$E$103</f>
        <v>0</v>
      </c>
      <c r="J252" s="64">
        <f t="shared" si="50"/>
        <v>10433068.4145</v>
      </c>
      <c r="K252" s="64">
        <f t="shared" si="51"/>
        <v>3663981.9045000002</v>
      </c>
    </row>
    <row r="253" spans="1:11" s="759" customFormat="1">
      <c r="A253" s="117">
        <f t="shared" si="48"/>
        <v>189</v>
      </c>
      <c r="B253" s="719" t="s">
        <v>202</v>
      </c>
      <c r="C253" s="720">
        <v>2016</v>
      </c>
      <c r="D253" s="1217">
        <v>4395000</v>
      </c>
      <c r="E253" s="64">
        <f>D253*'16-PlantAdditions'!$E$103</f>
        <v>329625</v>
      </c>
      <c r="F253" s="64">
        <f t="shared" si="49"/>
        <v>4724625</v>
      </c>
      <c r="G253" s="1217">
        <v>256499.23</v>
      </c>
      <c r="H253" s="1217">
        <v>210499.23</v>
      </c>
      <c r="I253" s="64">
        <f>(G253-H253)*'16-PlantAdditions'!$E$103</f>
        <v>3450</v>
      </c>
      <c r="J253" s="64">
        <f t="shared" si="50"/>
        <v>14897744.1845</v>
      </c>
      <c r="K253" s="64">
        <f t="shared" si="51"/>
        <v>8128657.6744999997</v>
      </c>
    </row>
    <row r="254" spans="1:11" s="759" customFormat="1">
      <c r="A254" s="117">
        <f t="shared" si="48"/>
        <v>190</v>
      </c>
      <c r="B254" s="722" t="s">
        <v>203</v>
      </c>
      <c r="C254" s="720">
        <v>2016</v>
      </c>
      <c r="D254" s="1217">
        <v>1150000</v>
      </c>
      <c r="E254" s="64">
        <f>D254*'16-PlantAdditions'!$E$103</f>
        <v>86250</v>
      </c>
      <c r="F254" s="64">
        <f t="shared" si="49"/>
        <v>1236250</v>
      </c>
      <c r="G254" s="1217">
        <v>50000</v>
      </c>
      <c r="H254" s="1217">
        <v>0</v>
      </c>
      <c r="I254" s="64">
        <f>(G254-H254)*'16-PlantAdditions'!$E$103</f>
        <v>3750</v>
      </c>
      <c r="J254" s="64">
        <f t="shared" si="50"/>
        <v>16080244.1845</v>
      </c>
      <c r="K254" s="64">
        <f t="shared" si="51"/>
        <v>9311157.6744999997</v>
      </c>
    </row>
    <row r="255" spans="1:11" s="759" customFormat="1">
      <c r="A255" s="117">
        <f t="shared" si="48"/>
        <v>191</v>
      </c>
      <c r="B255" s="722" t="s">
        <v>1663</v>
      </c>
      <c r="C255" s="720">
        <v>2016</v>
      </c>
      <c r="D255" s="1217">
        <v>1154000</v>
      </c>
      <c r="E255" s="64">
        <f>D255*'16-PlantAdditions'!$E$103</f>
        <v>86550</v>
      </c>
      <c r="F255" s="64">
        <f t="shared" si="49"/>
        <v>1240550</v>
      </c>
      <c r="G255" s="1217">
        <v>54000</v>
      </c>
      <c r="H255" s="1217">
        <v>0</v>
      </c>
      <c r="I255" s="64">
        <f>(G255-H255)*'16-PlantAdditions'!$E$103</f>
        <v>4050</v>
      </c>
      <c r="J255" s="64">
        <f t="shared" si="50"/>
        <v>17262744.184500001</v>
      </c>
      <c r="K255" s="64">
        <f t="shared" si="51"/>
        <v>10493657.674500002</v>
      </c>
    </row>
    <row r="256" spans="1:11" s="759" customFormat="1">
      <c r="A256" s="117">
        <f t="shared" si="48"/>
        <v>192</v>
      </c>
      <c r="B256" s="719" t="s">
        <v>205</v>
      </c>
      <c r="C256" s="720">
        <v>2016</v>
      </c>
      <c r="D256" s="1217">
        <v>2527000</v>
      </c>
      <c r="E256" s="64">
        <f>D256*'16-PlantAdditions'!$E$103</f>
        <v>189525</v>
      </c>
      <c r="F256" s="64">
        <f t="shared" si="49"/>
        <v>2716525</v>
      </c>
      <c r="G256" s="1217">
        <v>27000</v>
      </c>
      <c r="H256" s="1217">
        <v>0</v>
      </c>
      <c r="I256" s="64">
        <f>(G256-H256)*'16-PlantAdditions'!$E$103</f>
        <v>2025</v>
      </c>
      <c r="J256" s="64">
        <f t="shared" si="50"/>
        <v>19950244.184500001</v>
      </c>
      <c r="K256" s="64">
        <f t="shared" si="51"/>
        <v>13181157.674500002</v>
      </c>
    </row>
    <row r="257" spans="1:11" s="759" customFormat="1">
      <c r="A257" s="117">
        <f t="shared" si="48"/>
        <v>193</v>
      </c>
      <c r="B257" s="722" t="s">
        <v>206</v>
      </c>
      <c r="C257" s="720">
        <v>2016</v>
      </c>
      <c r="D257" s="1217">
        <v>2500000</v>
      </c>
      <c r="E257" s="64">
        <f>D257*'16-PlantAdditions'!$E$103</f>
        <v>187500</v>
      </c>
      <c r="F257" s="64">
        <f t="shared" si="49"/>
        <v>2687500</v>
      </c>
      <c r="G257" s="1217">
        <v>0</v>
      </c>
      <c r="H257" s="1217">
        <v>0</v>
      </c>
      <c r="I257" s="64">
        <f>(G257-H257)*'16-PlantAdditions'!$E$103</f>
        <v>0</v>
      </c>
      <c r="J257" s="64">
        <f t="shared" si="50"/>
        <v>22637744.184500001</v>
      </c>
      <c r="K257" s="64">
        <f t="shared" si="51"/>
        <v>15868657.674500002</v>
      </c>
    </row>
    <row r="258" spans="1:11" s="759" customFormat="1">
      <c r="A258" s="117">
        <f t="shared" si="48"/>
        <v>194</v>
      </c>
      <c r="B258" s="722" t="s">
        <v>207</v>
      </c>
      <c r="C258" s="720">
        <v>2016</v>
      </c>
      <c r="D258" s="1217">
        <v>3000000</v>
      </c>
      <c r="E258" s="64">
        <f>D258*'16-PlantAdditions'!$E$103</f>
        <v>225000</v>
      </c>
      <c r="F258" s="64">
        <f t="shared" si="49"/>
        <v>3225000</v>
      </c>
      <c r="G258" s="1217">
        <v>0</v>
      </c>
      <c r="H258" s="1217">
        <v>0</v>
      </c>
      <c r="I258" s="64">
        <f>(G258-H258)*'16-PlantAdditions'!$E$103</f>
        <v>0</v>
      </c>
      <c r="J258" s="64">
        <f t="shared" si="50"/>
        <v>25862744.184500001</v>
      </c>
      <c r="K258" s="64">
        <f t="shared" si="51"/>
        <v>19093657.674500003</v>
      </c>
    </row>
    <row r="259" spans="1:11" s="759" customFormat="1">
      <c r="A259" s="117">
        <f t="shared" si="48"/>
        <v>195</v>
      </c>
      <c r="B259" s="719" t="s">
        <v>210</v>
      </c>
      <c r="C259" s="720">
        <v>2016</v>
      </c>
      <c r="D259" s="1217">
        <v>3000000</v>
      </c>
      <c r="E259" s="64">
        <f>D259*'16-PlantAdditions'!$E$103</f>
        <v>225000</v>
      </c>
      <c r="F259" s="64">
        <f t="shared" si="49"/>
        <v>3225000</v>
      </c>
      <c r="G259" s="1217">
        <v>0</v>
      </c>
      <c r="H259" s="1217">
        <v>0</v>
      </c>
      <c r="I259" s="64">
        <f>(G259-H259)*'16-PlantAdditions'!$E$103</f>
        <v>0</v>
      </c>
      <c r="J259" s="64">
        <f t="shared" si="50"/>
        <v>29087744.184500001</v>
      </c>
      <c r="K259" s="64">
        <f t="shared" si="51"/>
        <v>22318657.674500003</v>
      </c>
    </row>
    <row r="260" spans="1:11" s="759" customFormat="1">
      <c r="A260" s="117">
        <f t="shared" si="48"/>
        <v>196</v>
      </c>
      <c r="B260" s="719" t="s">
        <v>209</v>
      </c>
      <c r="C260" s="720">
        <v>2016</v>
      </c>
      <c r="D260" s="1217">
        <v>3000000</v>
      </c>
      <c r="E260" s="64">
        <f>D260*'16-PlantAdditions'!$E$103</f>
        <v>225000</v>
      </c>
      <c r="F260" s="64">
        <f t="shared" si="49"/>
        <v>3225000</v>
      </c>
      <c r="G260" s="1217">
        <v>0</v>
      </c>
      <c r="H260" s="1217">
        <v>0</v>
      </c>
      <c r="I260" s="64">
        <f>(G260-H260)*'16-PlantAdditions'!$E$103</f>
        <v>0</v>
      </c>
      <c r="J260" s="64">
        <f t="shared" si="50"/>
        <v>32312744.184500001</v>
      </c>
      <c r="K260" s="64">
        <f t="shared" si="51"/>
        <v>25543657.674500003</v>
      </c>
    </row>
    <row r="261" spans="1:11" s="759" customFormat="1">
      <c r="A261" s="117">
        <f t="shared" si="48"/>
        <v>197</v>
      </c>
      <c r="B261" s="719" t="s">
        <v>199</v>
      </c>
      <c r="C261" s="720">
        <v>2016</v>
      </c>
      <c r="D261" s="1217">
        <v>4112000</v>
      </c>
      <c r="E261" s="64">
        <f>D261*'16-PlantAdditions'!$E$103</f>
        <v>308400</v>
      </c>
      <c r="F261" s="64">
        <f t="shared" si="49"/>
        <v>4420400</v>
      </c>
      <c r="G261" s="1217">
        <v>0</v>
      </c>
      <c r="H261" s="1217">
        <v>0</v>
      </c>
      <c r="I261" s="64">
        <f>(G261-H261)*'16-PlantAdditions'!$E$103</f>
        <v>0</v>
      </c>
      <c r="J261" s="64">
        <f t="shared" si="50"/>
        <v>36733144.184500001</v>
      </c>
      <c r="K261" s="64">
        <f t="shared" si="51"/>
        <v>29964057.674500003</v>
      </c>
    </row>
    <row r="262" spans="1:11" s="759" customFormat="1">
      <c r="A262" s="117">
        <f t="shared" si="48"/>
        <v>198</v>
      </c>
      <c r="B262" s="719" t="s">
        <v>200</v>
      </c>
      <c r="C262" s="720">
        <v>2017</v>
      </c>
      <c r="D262" s="1217">
        <v>300000</v>
      </c>
      <c r="E262" s="64">
        <f>D262*'16-PlantAdditions'!$E$103</f>
        <v>22500</v>
      </c>
      <c r="F262" s="64">
        <f t="shared" si="49"/>
        <v>322500</v>
      </c>
      <c r="G262" s="1217">
        <v>0</v>
      </c>
      <c r="H262" s="1217">
        <v>0</v>
      </c>
      <c r="I262" s="64">
        <f>(G262-H262)*'16-PlantAdditions'!$E$103</f>
        <v>0</v>
      </c>
      <c r="J262" s="64">
        <f t="shared" si="50"/>
        <v>37055644.184500001</v>
      </c>
      <c r="K262" s="64">
        <f t="shared" si="51"/>
        <v>30286557.674500003</v>
      </c>
    </row>
    <row r="263" spans="1:11" s="759" customFormat="1">
      <c r="A263" s="117">
        <f t="shared" si="48"/>
        <v>199</v>
      </c>
      <c r="B263" s="722" t="s">
        <v>201</v>
      </c>
      <c r="C263" s="720">
        <v>2017</v>
      </c>
      <c r="D263" s="1217">
        <v>100000</v>
      </c>
      <c r="E263" s="64">
        <f>D263*'16-PlantAdditions'!$E$103</f>
        <v>7500</v>
      </c>
      <c r="F263" s="64">
        <f t="shared" si="49"/>
        <v>107500</v>
      </c>
      <c r="G263" s="1217">
        <v>35027942.540000007</v>
      </c>
      <c r="H263" s="1217">
        <v>6558587.2800000003</v>
      </c>
      <c r="I263" s="64">
        <f>(G263-H263)*'16-PlantAdditions'!$E$103</f>
        <v>2135201.6445000004</v>
      </c>
      <c r="J263" s="64">
        <f t="shared" si="50"/>
        <v>-5.5879354476928711E-9</v>
      </c>
      <c r="K263" s="64">
        <f t="shared" si="51"/>
        <v>-6769086.5100000054</v>
      </c>
    </row>
    <row r="264" spans="1:11" s="759" customFormat="1">
      <c r="A264" s="117">
        <f t="shared" si="48"/>
        <v>200</v>
      </c>
      <c r="B264" s="722" t="s">
        <v>214</v>
      </c>
      <c r="C264" s="720">
        <v>2017</v>
      </c>
      <c r="D264" s="1217">
        <v>100000</v>
      </c>
      <c r="E264" s="64">
        <f>D264*'16-PlantAdditions'!$E$103</f>
        <v>7500</v>
      </c>
      <c r="F264" s="64">
        <f t="shared" si="49"/>
        <v>107500</v>
      </c>
      <c r="G264" s="1217">
        <v>100000</v>
      </c>
      <c r="H264" s="1217">
        <v>0</v>
      </c>
      <c r="I264" s="64">
        <f>(G264-H264)*'16-PlantAdditions'!$E$103</f>
        <v>7500</v>
      </c>
      <c r="J264" s="64">
        <f t="shared" si="50"/>
        <v>-5.5879354476928711E-9</v>
      </c>
      <c r="K264" s="64">
        <f t="shared" si="51"/>
        <v>-6769086.5100000054</v>
      </c>
    </row>
    <row r="265" spans="1:11" s="759" customFormat="1">
      <c r="A265" s="117">
        <f t="shared" si="48"/>
        <v>201</v>
      </c>
      <c r="B265" s="719" t="s">
        <v>202</v>
      </c>
      <c r="C265" s="720">
        <v>2017</v>
      </c>
      <c r="D265" s="1217">
        <v>0</v>
      </c>
      <c r="E265" s="64">
        <f>D265*'16-PlantAdditions'!$E$103</f>
        <v>0</v>
      </c>
      <c r="F265" s="64">
        <f t="shared" si="49"/>
        <v>0</v>
      </c>
      <c r="G265" s="1217">
        <v>0</v>
      </c>
      <c r="H265" s="1217">
        <v>0</v>
      </c>
      <c r="I265" s="64">
        <f>(G265-H265)*'16-PlantAdditions'!$E$103</f>
        <v>0</v>
      </c>
      <c r="J265" s="64">
        <f t="shared" si="50"/>
        <v>-5.5879354476928711E-9</v>
      </c>
      <c r="K265" s="64">
        <f t="shared" si="51"/>
        <v>-6769086.5100000054</v>
      </c>
    </row>
    <row r="266" spans="1:11" s="759" customFormat="1">
      <c r="A266" s="117">
        <f t="shared" si="48"/>
        <v>202</v>
      </c>
      <c r="B266" s="722" t="s">
        <v>203</v>
      </c>
      <c r="C266" s="720">
        <v>2017</v>
      </c>
      <c r="D266" s="1217">
        <v>0</v>
      </c>
      <c r="E266" s="64">
        <f>D266*'16-PlantAdditions'!$E$103</f>
        <v>0</v>
      </c>
      <c r="F266" s="64">
        <f t="shared" si="49"/>
        <v>0</v>
      </c>
      <c r="G266" s="1217">
        <v>0</v>
      </c>
      <c r="H266" s="1217">
        <v>0</v>
      </c>
      <c r="I266" s="64">
        <f>(G266-H266)*'16-PlantAdditions'!$E$103</f>
        <v>0</v>
      </c>
      <c r="J266" s="64">
        <f t="shared" si="50"/>
        <v>-5.5879354476928711E-9</v>
      </c>
      <c r="K266" s="64">
        <f t="shared" si="51"/>
        <v>-6769086.5100000054</v>
      </c>
    </row>
    <row r="267" spans="1:11" s="759" customFormat="1">
      <c r="A267" s="117">
        <f t="shared" si="48"/>
        <v>203</v>
      </c>
      <c r="B267" s="722" t="s">
        <v>1663</v>
      </c>
      <c r="C267" s="720">
        <v>2017</v>
      </c>
      <c r="D267" s="1217">
        <v>0</v>
      </c>
      <c r="E267" s="64">
        <f>D267*'16-PlantAdditions'!$E$103</f>
        <v>0</v>
      </c>
      <c r="F267" s="64">
        <f t="shared" si="49"/>
        <v>0</v>
      </c>
      <c r="G267" s="1217">
        <v>0</v>
      </c>
      <c r="H267" s="1217">
        <v>0</v>
      </c>
      <c r="I267" s="64">
        <f>(G267-H267)*'16-PlantAdditions'!$E$103</f>
        <v>0</v>
      </c>
      <c r="J267" s="64">
        <f t="shared" si="50"/>
        <v>-5.5879354476928711E-9</v>
      </c>
      <c r="K267" s="64">
        <f t="shared" si="51"/>
        <v>-6769086.5100000054</v>
      </c>
    </row>
    <row r="268" spans="1:11" s="759" customFormat="1">
      <c r="A268" s="117">
        <f t="shared" si="48"/>
        <v>204</v>
      </c>
      <c r="B268" s="719" t="s">
        <v>205</v>
      </c>
      <c r="C268" s="720">
        <v>2017</v>
      </c>
      <c r="D268" s="1217">
        <v>0</v>
      </c>
      <c r="E268" s="64">
        <f>D268*'16-PlantAdditions'!$E$103</f>
        <v>0</v>
      </c>
      <c r="F268" s="64">
        <f t="shared" si="49"/>
        <v>0</v>
      </c>
      <c r="G268" s="1217">
        <v>0</v>
      </c>
      <c r="H268" s="1217">
        <v>0</v>
      </c>
      <c r="I268" s="64">
        <f>(G268-H268)*'16-PlantAdditions'!$E$103</f>
        <v>0</v>
      </c>
      <c r="J268" s="64">
        <f t="shared" si="50"/>
        <v>-5.5879354476928711E-9</v>
      </c>
      <c r="K268" s="64">
        <f t="shared" si="51"/>
        <v>-6769086.5100000054</v>
      </c>
    </row>
    <row r="269" spans="1:11" s="759" customFormat="1">
      <c r="A269" s="117">
        <f t="shared" si="48"/>
        <v>205</v>
      </c>
      <c r="B269" s="722" t="s">
        <v>206</v>
      </c>
      <c r="C269" s="720">
        <v>2017</v>
      </c>
      <c r="D269" s="1217">
        <v>0</v>
      </c>
      <c r="E269" s="64">
        <f>D269*'16-PlantAdditions'!$E$103</f>
        <v>0</v>
      </c>
      <c r="F269" s="64">
        <f t="shared" si="49"/>
        <v>0</v>
      </c>
      <c r="G269" s="1217">
        <v>0</v>
      </c>
      <c r="H269" s="1217">
        <v>0</v>
      </c>
      <c r="I269" s="64">
        <f>(G269-H269)*'16-PlantAdditions'!$E$103</f>
        <v>0</v>
      </c>
      <c r="J269" s="64">
        <f t="shared" si="50"/>
        <v>-5.5879354476928711E-9</v>
      </c>
      <c r="K269" s="64">
        <f t="shared" si="51"/>
        <v>-6769086.5100000054</v>
      </c>
    </row>
    <row r="270" spans="1:11" s="759" customFormat="1">
      <c r="A270" s="117">
        <f t="shared" si="48"/>
        <v>206</v>
      </c>
      <c r="B270" s="722" t="s">
        <v>207</v>
      </c>
      <c r="C270" s="720">
        <v>2017</v>
      </c>
      <c r="D270" s="1217">
        <v>0</v>
      </c>
      <c r="E270" s="64">
        <f>D270*'16-PlantAdditions'!$E$103</f>
        <v>0</v>
      </c>
      <c r="F270" s="64">
        <f t="shared" si="49"/>
        <v>0</v>
      </c>
      <c r="G270" s="1217">
        <v>0</v>
      </c>
      <c r="H270" s="1217">
        <v>0</v>
      </c>
      <c r="I270" s="64">
        <f>(G270-H270)*'16-PlantAdditions'!$E$103</f>
        <v>0</v>
      </c>
      <c r="J270" s="64">
        <f t="shared" si="50"/>
        <v>-5.5879354476928711E-9</v>
      </c>
      <c r="K270" s="64">
        <f t="shared" si="51"/>
        <v>-6769086.5100000054</v>
      </c>
    </row>
    <row r="271" spans="1:11" s="759" customFormat="1">
      <c r="A271" s="117">
        <f t="shared" si="48"/>
        <v>207</v>
      </c>
      <c r="B271" s="722" t="s">
        <v>210</v>
      </c>
      <c r="C271" s="720">
        <v>2017</v>
      </c>
      <c r="D271" s="1217">
        <v>0</v>
      </c>
      <c r="E271" s="64">
        <f>D271*'16-PlantAdditions'!$E$103</f>
        <v>0</v>
      </c>
      <c r="F271" s="64">
        <f t="shared" ref="F271:F273" si="52">E271+D271</f>
        <v>0</v>
      </c>
      <c r="G271" s="1217">
        <v>0</v>
      </c>
      <c r="H271" s="1217">
        <v>0</v>
      </c>
      <c r="I271" s="64">
        <f>(G271-H271)*'16-PlantAdditions'!$E$103</f>
        <v>0</v>
      </c>
      <c r="J271" s="64">
        <f t="shared" ref="J271:J273" si="53">J270+F271-G271-I271</f>
        <v>-5.5879354476928711E-9</v>
      </c>
      <c r="K271" s="64">
        <f t="shared" si="51"/>
        <v>-6769086.5100000054</v>
      </c>
    </row>
    <row r="272" spans="1:11" s="759" customFormat="1">
      <c r="A272" s="117">
        <f t="shared" si="48"/>
        <v>208</v>
      </c>
      <c r="B272" s="722" t="s">
        <v>209</v>
      </c>
      <c r="C272" s="720">
        <v>2017</v>
      </c>
      <c r="D272" s="1217">
        <v>0</v>
      </c>
      <c r="E272" s="64">
        <f>D272*'16-PlantAdditions'!$E$103</f>
        <v>0</v>
      </c>
      <c r="F272" s="64">
        <f t="shared" si="52"/>
        <v>0</v>
      </c>
      <c r="G272" s="1217">
        <v>0</v>
      </c>
      <c r="H272" s="1217">
        <v>0</v>
      </c>
      <c r="I272" s="64">
        <f>(G272-H272)*'16-PlantAdditions'!$E$103</f>
        <v>0</v>
      </c>
      <c r="J272" s="64">
        <f t="shared" si="53"/>
        <v>-5.5879354476928711E-9</v>
      </c>
      <c r="K272" s="64">
        <f t="shared" si="51"/>
        <v>-6769086.5100000054</v>
      </c>
    </row>
    <row r="273" spans="1:13" s="759" customFormat="1">
      <c r="A273" s="117">
        <f t="shared" si="48"/>
        <v>209</v>
      </c>
      <c r="B273" s="722" t="s">
        <v>199</v>
      </c>
      <c r="C273" s="720">
        <v>2017</v>
      </c>
      <c r="D273" s="1217">
        <v>0</v>
      </c>
      <c r="E273" s="64">
        <f>D273*'16-PlantAdditions'!$E$103</f>
        <v>0</v>
      </c>
      <c r="F273" s="64">
        <f t="shared" si="52"/>
        <v>0</v>
      </c>
      <c r="G273" s="1217">
        <v>0</v>
      </c>
      <c r="H273" s="1217">
        <v>0</v>
      </c>
      <c r="I273" s="64">
        <f>(G273-H273)*'16-PlantAdditions'!$E$103</f>
        <v>0</v>
      </c>
      <c r="J273" s="64">
        <f t="shared" si="53"/>
        <v>-5.5879354476928711E-9</v>
      </c>
      <c r="K273" s="118">
        <f t="shared" si="51"/>
        <v>-6769086.5100000054</v>
      </c>
    </row>
    <row r="274" spans="1:13" s="759" customFormat="1">
      <c r="A274" s="117">
        <f t="shared" si="48"/>
        <v>210</v>
      </c>
      <c r="B274"/>
      <c r="C274" s="758" t="s">
        <v>1838</v>
      </c>
      <c r="D274"/>
      <c r="E274"/>
      <c r="F274"/>
      <c r="G274"/>
      <c r="H274"/>
      <c r="I274"/>
      <c r="J274"/>
      <c r="K274" s="79">
        <f>AVERAGE(K261:K273)</f>
        <v>-1093025.8662307733</v>
      </c>
    </row>
    <row r="275" spans="1:13" s="759" customFormat="1" ht="12.75" customHeight="1">
      <c r="A275" s="117"/>
      <c r="B275"/>
      <c r="C275" s="758"/>
      <c r="D275"/>
      <c r="E275"/>
      <c r="F275"/>
      <c r="G275"/>
      <c r="H275"/>
      <c r="I275"/>
      <c r="J275"/>
      <c r="K275" s="79"/>
    </row>
    <row r="276" spans="1:13" s="759" customFormat="1">
      <c r="B276" s="760" t="s">
        <v>2359</v>
      </c>
      <c r="D276" s="1438" t="s">
        <v>2360</v>
      </c>
      <c r="E276" s="1438"/>
    </row>
    <row r="277" spans="1:13" s="759" customFormat="1">
      <c r="D277" s="761"/>
      <c r="E277" s="762"/>
      <c r="F277" s="763"/>
      <c r="G277" s="756" t="str">
        <f>G51</f>
        <v>Unloaded</v>
      </c>
      <c r="H277" s="761"/>
      <c r="I277" s="762"/>
      <c r="J277" s="762"/>
      <c r="K277" s="762"/>
    </row>
    <row r="278" spans="1:13" s="759" customFormat="1">
      <c r="A278" s="756"/>
      <c r="B278" s="756"/>
      <c r="C278" s="756"/>
      <c r="D278" s="756" t="str">
        <f>D$52</f>
        <v>Forecast</v>
      </c>
      <c r="E278" s="756" t="str">
        <f t="shared" ref="E278:J278" si="54">E$52</f>
        <v>Corporate</v>
      </c>
      <c r="F278" s="756" t="str">
        <f t="shared" si="54"/>
        <v xml:space="preserve">Total </v>
      </c>
      <c r="G278" s="756" t="str">
        <f>G52</f>
        <v>Total</v>
      </c>
      <c r="H278" s="756" t="str">
        <f t="shared" si="54"/>
        <v>Prior Period</v>
      </c>
      <c r="I278" s="756" t="str">
        <f t="shared" si="54"/>
        <v>Over Heads</v>
      </c>
      <c r="J278" s="756" t="str">
        <f t="shared" si="54"/>
        <v>Forecast</v>
      </c>
      <c r="K278" s="645" t="str">
        <f>K$52</f>
        <v>Forecast Period</v>
      </c>
    </row>
    <row r="279" spans="1:13" s="759" customFormat="1">
      <c r="A279" s="1008" t="s">
        <v>360</v>
      </c>
      <c r="B279" s="718" t="s">
        <v>211</v>
      </c>
      <c r="C279" s="718" t="s">
        <v>212</v>
      </c>
      <c r="D279" s="754" t="str">
        <f>D$53</f>
        <v>Expenditures</v>
      </c>
      <c r="E279" s="754" t="str">
        <f t="shared" ref="E279:J279" si="55">E$53</f>
        <v>Overheads</v>
      </c>
      <c r="F279" s="754" t="str">
        <f t="shared" si="55"/>
        <v>CWIP Exp</v>
      </c>
      <c r="G279" s="754" t="str">
        <f>G53</f>
        <v>Plant Adds</v>
      </c>
      <c r="H279" s="754" t="str">
        <f t="shared" si="55"/>
        <v>CWIP Closed</v>
      </c>
      <c r="I279" s="754" t="str">
        <f t="shared" si="55"/>
        <v>Closed to PIS</v>
      </c>
      <c r="J279" s="754" t="str">
        <f t="shared" si="55"/>
        <v>Period CWIP</v>
      </c>
      <c r="K279" s="754" t="str">
        <f>K$53</f>
        <v>Incremental CWIP</v>
      </c>
    </row>
    <row r="280" spans="1:13" s="759" customFormat="1">
      <c r="A280" s="117">
        <f>A274+1</f>
        <v>211</v>
      </c>
      <c r="B280" s="719" t="s">
        <v>199</v>
      </c>
      <c r="C280" s="720">
        <v>2015</v>
      </c>
      <c r="D280" s="763" t="s">
        <v>86</v>
      </c>
      <c r="E280" s="763" t="s">
        <v>86</v>
      </c>
      <c r="F280" s="763" t="s">
        <v>86</v>
      </c>
      <c r="G280" s="763" t="s">
        <v>86</v>
      </c>
      <c r="H280" s="763" t="s">
        <v>86</v>
      </c>
      <c r="I280" s="763" t="s">
        <v>86</v>
      </c>
      <c r="J280" s="64">
        <f>E45</f>
        <v>0</v>
      </c>
      <c r="K280" s="763" t="s">
        <v>86</v>
      </c>
    </row>
    <row r="281" spans="1:13" s="759" customFormat="1">
      <c r="A281" s="117">
        <f>A280+1</f>
        <v>212</v>
      </c>
      <c r="B281" s="719" t="s">
        <v>200</v>
      </c>
      <c r="C281" s="720">
        <v>2016</v>
      </c>
      <c r="D281" s="1217">
        <v>3956.3999999999996</v>
      </c>
      <c r="E281" s="64">
        <f>D281*'16-PlantAdditions'!$E$103</f>
        <v>296.72999999999996</v>
      </c>
      <c r="F281" s="64">
        <f>E281+D281</f>
        <v>4253.1299999999992</v>
      </c>
      <c r="G281" s="1217">
        <v>3956.3999999999996</v>
      </c>
      <c r="H281" s="1217">
        <v>0</v>
      </c>
      <c r="I281" s="64">
        <f>(G281-H281)*'16-PlantAdditions'!$E$103</f>
        <v>296.72999999999996</v>
      </c>
      <c r="J281" s="64">
        <f>J280+F281-G281-I281</f>
        <v>0</v>
      </c>
      <c r="K281" s="64">
        <f>J281-$J$280</f>
        <v>0</v>
      </c>
    </row>
    <row r="282" spans="1:13" s="759" customFormat="1">
      <c r="A282" s="117">
        <f t="shared" ref="A282:A305" si="56">A281+1</f>
        <v>213</v>
      </c>
      <c r="B282" s="722" t="s">
        <v>201</v>
      </c>
      <c r="C282" s="720">
        <v>2016</v>
      </c>
      <c r="D282" s="1217">
        <v>2705.23</v>
      </c>
      <c r="E282" s="64">
        <f>D282*'16-PlantAdditions'!$E$103</f>
        <v>202.89224999999999</v>
      </c>
      <c r="F282" s="64">
        <f t="shared" ref="F282:F301" si="57">E282+D282</f>
        <v>2908.1222499999999</v>
      </c>
      <c r="G282" s="1217">
        <v>2705.23</v>
      </c>
      <c r="H282" s="1217">
        <v>0</v>
      </c>
      <c r="I282" s="64">
        <f>(G282-H282)*'16-PlantAdditions'!$E$103</f>
        <v>202.89224999999999</v>
      </c>
      <c r="J282" s="64">
        <f t="shared" ref="J282:J301" si="58">J281+F282-G282-I282</f>
        <v>0</v>
      </c>
      <c r="K282" s="64">
        <f t="shared" ref="K282:K304" si="59">J282-$J$280</f>
        <v>0</v>
      </c>
    </row>
    <row r="283" spans="1:13" s="759" customFormat="1">
      <c r="A283" s="117">
        <f t="shared" si="56"/>
        <v>214</v>
      </c>
      <c r="B283" s="722" t="s">
        <v>214</v>
      </c>
      <c r="C283" s="720">
        <v>2016</v>
      </c>
      <c r="D283" s="1217">
        <v>41992.77</v>
      </c>
      <c r="E283" s="64">
        <f>D283*'16-PlantAdditions'!$E$103</f>
        <v>3149.4577499999996</v>
      </c>
      <c r="F283" s="64">
        <f t="shared" si="57"/>
        <v>45142.227749999998</v>
      </c>
      <c r="G283" s="1217">
        <v>41992.77</v>
      </c>
      <c r="H283" s="1217">
        <v>0</v>
      </c>
      <c r="I283" s="64">
        <f>(G283-H283)*'16-PlantAdditions'!$E$103</f>
        <v>3149.4577499999996</v>
      </c>
      <c r="J283" s="64">
        <f t="shared" si="58"/>
        <v>0</v>
      </c>
      <c r="K283" s="64">
        <f t="shared" si="59"/>
        <v>0</v>
      </c>
    </row>
    <row r="284" spans="1:13" s="759" customFormat="1">
      <c r="A284" s="117">
        <f t="shared" si="56"/>
        <v>215</v>
      </c>
      <c r="B284" s="719" t="s">
        <v>202</v>
      </c>
      <c r="C284" s="720">
        <v>2016</v>
      </c>
      <c r="D284" s="1217">
        <v>0</v>
      </c>
      <c r="E284" s="64">
        <f>D284*'16-PlantAdditions'!$E$103</f>
        <v>0</v>
      </c>
      <c r="F284" s="64">
        <f t="shared" si="57"/>
        <v>0</v>
      </c>
      <c r="G284" s="1217">
        <v>0</v>
      </c>
      <c r="H284" s="1217">
        <v>0</v>
      </c>
      <c r="I284" s="64">
        <f>(G284-H284)*'16-PlantAdditions'!$E$103</f>
        <v>0</v>
      </c>
      <c r="J284" s="64">
        <f t="shared" si="58"/>
        <v>0</v>
      </c>
      <c r="K284" s="64">
        <f t="shared" si="59"/>
        <v>0</v>
      </c>
    </row>
    <row r="285" spans="1:13" s="759" customFormat="1">
      <c r="A285" s="117">
        <f t="shared" si="56"/>
        <v>216</v>
      </c>
      <c r="B285" s="722" t="s">
        <v>203</v>
      </c>
      <c r="C285" s="720">
        <v>2016</v>
      </c>
      <c r="D285" s="1217">
        <v>0</v>
      </c>
      <c r="E285" s="64">
        <f>D285*'16-PlantAdditions'!$E$103</f>
        <v>0</v>
      </c>
      <c r="F285" s="64">
        <f t="shared" si="57"/>
        <v>0</v>
      </c>
      <c r="G285" s="1217">
        <v>0</v>
      </c>
      <c r="H285" s="1217">
        <v>0</v>
      </c>
      <c r="I285" s="64">
        <f>(G285-H285)*'16-PlantAdditions'!$E$103</f>
        <v>0</v>
      </c>
      <c r="J285" s="64">
        <f t="shared" si="58"/>
        <v>0</v>
      </c>
      <c r="K285" s="64">
        <f t="shared" si="59"/>
        <v>0</v>
      </c>
      <c r="L285" s="756"/>
      <c r="M285" s="756"/>
    </row>
    <row r="286" spans="1:13" s="759" customFormat="1">
      <c r="A286" s="117">
        <f t="shared" si="56"/>
        <v>217</v>
      </c>
      <c r="B286" s="722" t="s">
        <v>1663</v>
      </c>
      <c r="C286" s="720">
        <v>2016</v>
      </c>
      <c r="D286" s="1217">
        <v>0</v>
      </c>
      <c r="E286" s="64">
        <f>D286*'16-PlantAdditions'!$E$103</f>
        <v>0</v>
      </c>
      <c r="F286" s="64">
        <f t="shared" si="57"/>
        <v>0</v>
      </c>
      <c r="G286" s="1217">
        <v>0</v>
      </c>
      <c r="H286" s="1217">
        <v>0</v>
      </c>
      <c r="I286" s="64">
        <f>(G286-H286)*'16-PlantAdditions'!$E$103</f>
        <v>0</v>
      </c>
      <c r="J286" s="64">
        <f t="shared" si="58"/>
        <v>0</v>
      </c>
      <c r="K286" s="64">
        <f t="shared" si="59"/>
        <v>0</v>
      </c>
      <c r="L286" s="754"/>
      <c r="M286" s="754"/>
    </row>
    <row r="287" spans="1:13" s="759" customFormat="1">
      <c r="A287" s="117">
        <f t="shared" si="56"/>
        <v>218</v>
      </c>
      <c r="B287" s="719" t="s">
        <v>205</v>
      </c>
      <c r="C287" s="720">
        <v>2016</v>
      </c>
      <c r="D287" s="1217">
        <v>0</v>
      </c>
      <c r="E287" s="64">
        <f>D287*'16-PlantAdditions'!$E$103</f>
        <v>0</v>
      </c>
      <c r="F287" s="64">
        <f t="shared" si="57"/>
        <v>0</v>
      </c>
      <c r="G287" s="1217">
        <v>0</v>
      </c>
      <c r="H287" s="1217">
        <v>0</v>
      </c>
      <c r="I287" s="64">
        <f>(G287-H287)*'16-PlantAdditions'!$E$103</f>
        <v>0</v>
      </c>
      <c r="J287" s="64">
        <f t="shared" si="58"/>
        <v>0</v>
      </c>
      <c r="K287" s="64">
        <f t="shared" si="59"/>
        <v>0</v>
      </c>
    </row>
    <row r="288" spans="1:13" s="759" customFormat="1">
      <c r="A288" s="117">
        <f t="shared" si="56"/>
        <v>219</v>
      </c>
      <c r="B288" s="722" t="s">
        <v>206</v>
      </c>
      <c r="C288" s="720">
        <v>2016</v>
      </c>
      <c r="D288" s="1217">
        <v>0</v>
      </c>
      <c r="E288" s="64">
        <f>D288*'16-PlantAdditions'!$E$103</f>
        <v>0</v>
      </c>
      <c r="F288" s="64">
        <f t="shared" si="57"/>
        <v>0</v>
      </c>
      <c r="G288" s="1217">
        <v>0</v>
      </c>
      <c r="H288" s="1217">
        <v>0</v>
      </c>
      <c r="I288" s="64">
        <f>(G288-H288)*'16-PlantAdditions'!$E$103</f>
        <v>0</v>
      </c>
      <c r="J288" s="64">
        <f t="shared" si="58"/>
        <v>0</v>
      </c>
      <c r="K288" s="64">
        <f t="shared" si="59"/>
        <v>0</v>
      </c>
    </row>
    <row r="289" spans="1:11" s="759" customFormat="1">
      <c r="A289" s="117">
        <f t="shared" si="56"/>
        <v>220</v>
      </c>
      <c r="B289" s="722" t="s">
        <v>207</v>
      </c>
      <c r="C289" s="720">
        <v>2016</v>
      </c>
      <c r="D289" s="1217">
        <v>0</v>
      </c>
      <c r="E289" s="64">
        <f>D289*'16-PlantAdditions'!$E$103</f>
        <v>0</v>
      </c>
      <c r="F289" s="64">
        <f t="shared" si="57"/>
        <v>0</v>
      </c>
      <c r="G289" s="1217">
        <v>0</v>
      </c>
      <c r="H289" s="1217">
        <v>0</v>
      </c>
      <c r="I289" s="64">
        <f>(G289-H289)*'16-PlantAdditions'!$E$103</f>
        <v>0</v>
      </c>
      <c r="J289" s="64">
        <f t="shared" si="58"/>
        <v>0</v>
      </c>
      <c r="K289" s="64">
        <f t="shared" si="59"/>
        <v>0</v>
      </c>
    </row>
    <row r="290" spans="1:11" s="759" customFormat="1">
      <c r="A290" s="117">
        <f t="shared" si="56"/>
        <v>221</v>
      </c>
      <c r="B290" s="719" t="s">
        <v>210</v>
      </c>
      <c r="C290" s="720">
        <v>2016</v>
      </c>
      <c r="D290" s="1217">
        <v>0</v>
      </c>
      <c r="E290" s="64">
        <f>D290*'16-PlantAdditions'!$E$103</f>
        <v>0</v>
      </c>
      <c r="F290" s="64">
        <f t="shared" si="57"/>
        <v>0</v>
      </c>
      <c r="G290" s="1217">
        <v>0</v>
      </c>
      <c r="H290" s="1217">
        <v>0</v>
      </c>
      <c r="I290" s="64">
        <f>(G290-H290)*'16-PlantAdditions'!$E$103</f>
        <v>0</v>
      </c>
      <c r="J290" s="64">
        <f t="shared" si="58"/>
        <v>0</v>
      </c>
      <c r="K290" s="64">
        <f t="shared" si="59"/>
        <v>0</v>
      </c>
    </row>
    <row r="291" spans="1:11" s="759" customFormat="1">
      <c r="A291" s="117">
        <f t="shared" si="56"/>
        <v>222</v>
      </c>
      <c r="B291" s="719" t="s">
        <v>209</v>
      </c>
      <c r="C291" s="720">
        <v>2016</v>
      </c>
      <c r="D291" s="1217">
        <v>0</v>
      </c>
      <c r="E291" s="64">
        <f>D291*'16-PlantAdditions'!$E$103</f>
        <v>0</v>
      </c>
      <c r="F291" s="64">
        <f t="shared" si="57"/>
        <v>0</v>
      </c>
      <c r="G291" s="1217">
        <v>0</v>
      </c>
      <c r="H291" s="1217">
        <v>0</v>
      </c>
      <c r="I291" s="64">
        <f>(G291-H291)*'16-PlantAdditions'!$E$103</f>
        <v>0</v>
      </c>
      <c r="J291" s="64">
        <f t="shared" si="58"/>
        <v>0</v>
      </c>
      <c r="K291" s="64">
        <f t="shared" si="59"/>
        <v>0</v>
      </c>
    </row>
    <row r="292" spans="1:11" s="759" customFormat="1">
      <c r="A292" s="117">
        <f t="shared" si="56"/>
        <v>223</v>
      </c>
      <c r="B292" s="719" t="s">
        <v>199</v>
      </c>
      <c r="C292" s="720">
        <v>2016</v>
      </c>
      <c r="D292" s="1217">
        <v>0</v>
      </c>
      <c r="E292" s="64">
        <f>D292*'16-PlantAdditions'!$E$103</f>
        <v>0</v>
      </c>
      <c r="F292" s="64">
        <f t="shared" si="57"/>
        <v>0</v>
      </c>
      <c r="G292" s="1217">
        <v>0</v>
      </c>
      <c r="H292" s="1217">
        <v>0</v>
      </c>
      <c r="I292" s="64">
        <f>(G292-H292)*'16-PlantAdditions'!$E$103</f>
        <v>0</v>
      </c>
      <c r="J292" s="64">
        <f t="shared" si="58"/>
        <v>0</v>
      </c>
      <c r="K292" s="64">
        <f t="shared" si="59"/>
        <v>0</v>
      </c>
    </row>
    <row r="293" spans="1:11" s="759" customFormat="1">
      <c r="A293" s="117">
        <f t="shared" si="56"/>
        <v>224</v>
      </c>
      <c r="B293" s="719" t="s">
        <v>200</v>
      </c>
      <c r="C293" s="720">
        <v>2017</v>
      </c>
      <c r="D293" s="1217">
        <v>0</v>
      </c>
      <c r="E293" s="64">
        <f>D293*'16-PlantAdditions'!$E$103</f>
        <v>0</v>
      </c>
      <c r="F293" s="64">
        <f t="shared" si="57"/>
        <v>0</v>
      </c>
      <c r="G293" s="1217">
        <v>0</v>
      </c>
      <c r="H293" s="1217">
        <v>0</v>
      </c>
      <c r="I293" s="64">
        <f>(G293-H293)*'16-PlantAdditions'!$E$103</f>
        <v>0</v>
      </c>
      <c r="J293" s="64">
        <f t="shared" si="58"/>
        <v>0</v>
      </c>
      <c r="K293" s="64">
        <f t="shared" si="59"/>
        <v>0</v>
      </c>
    </row>
    <row r="294" spans="1:11" s="759" customFormat="1">
      <c r="A294" s="117">
        <f t="shared" si="56"/>
        <v>225</v>
      </c>
      <c r="B294" s="722" t="s">
        <v>201</v>
      </c>
      <c r="C294" s="720">
        <v>2017</v>
      </c>
      <c r="D294" s="1217">
        <v>0</v>
      </c>
      <c r="E294" s="64">
        <f>D294*'16-PlantAdditions'!$E$103</f>
        <v>0</v>
      </c>
      <c r="F294" s="64">
        <f t="shared" si="57"/>
        <v>0</v>
      </c>
      <c r="G294" s="1217">
        <v>0</v>
      </c>
      <c r="H294" s="1217">
        <v>0</v>
      </c>
      <c r="I294" s="64">
        <f>(G294-H294)*'16-PlantAdditions'!$E$103</f>
        <v>0</v>
      </c>
      <c r="J294" s="64">
        <f t="shared" si="58"/>
        <v>0</v>
      </c>
      <c r="K294" s="64">
        <f t="shared" si="59"/>
        <v>0</v>
      </c>
    </row>
    <row r="295" spans="1:11" s="759" customFormat="1">
      <c r="A295" s="117">
        <f t="shared" si="56"/>
        <v>226</v>
      </c>
      <c r="B295" s="722" t="s">
        <v>214</v>
      </c>
      <c r="C295" s="720">
        <v>2017</v>
      </c>
      <c r="D295" s="1217">
        <v>0</v>
      </c>
      <c r="E295" s="64">
        <f>D295*'16-PlantAdditions'!$E$103</f>
        <v>0</v>
      </c>
      <c r="F295" s="64">
        <f t="shared" si="57"/>
        <v>0</v>
      </c>
      <c r="G295" s="1217">
        <v>0</v>
      </c>
      <c r="H295" s="1217">
        <v>0</v>
      </c>
      <c r="I295" s="64">
        <f>(G295-H295)*'16-PlantAdditions'!$E$103</f>
        <v>0</v>
      </c>
      <c r="J295" s="64">
        <f t="shared" si="58"/>
        <v>0</v>
      </c>
      <c r="K295" s="64">
        <f t="shared" si="59"/>
        <v>0</v>
      </c>
    </row>
    <row r="296" spans="1:11" s="759" customFormat="1">
      <c r="A296" s="117">
        <f t="shared" si="56"/>
        <v>227</v>
      </c>
      <c r="B296" s="719" t="s">
        <v>202</v>
      </c>
      <c r="C296" s="720">
        <v>2017</v>
      </c>
      <c r="D296" s="1217">
        <v>0</v>
      </c>
      <c r="E296" s="64">
        <f>D296*'16-PlantAdditions'!$E$103</f>
        <v>0</v>
      </c>
      <c r="F296" s="64">
        <f t="shared" si="57"/>
        <v>0</v>
      </c>
      <c r="G296" s="1217">
        <v>0</v>
      </c>
      <c r="H296" s="1217">
        <v>0</v>
      </c>
      <c r="I296" s="64">
        <f>(G296-H296)*'16-PlantAdditions'!$E$103</f>
        <v>0</v>
      </c>
      <c r="J296" s="64">
        <f t="shared" si="58"/>
        <v>0</v>
      </c>
      <c r="K296" s="64">
        <f t="shared" si="59"/>
        <v>0</v>
      </c>
    </row>
    <row r="297" spans="1:11" s="759" customFormat="1">
      <c r="A297" s="117">
        <f t="shared" si="56"/>
        <v>228</v>
      </c>
      <c r="B297" s="722" t="s">
        <v>203</v>
      </c>
      <c r="C297" s="720">
        <v>2017</v>
      </c>
      <c r="D297" s="1217">
        <v>0</v>
      </c>
      <c r="E297" s="64">
        <f>D297*'16-PlantAdditions'!$E$103</f>
        <v>0</v>
      </c>
      <c r="F297" s="64">
        <f t="shared" si="57"/>
        <v>0</v>
      </c>
      <c r="G297" s="1217">
        <v>0</v>
      </c>
      <c r="H297" s="1217">
        <v>0</v>
      </c>
      <c r="I297" s="64">
        <f>(G297-H297)*'16-PlantAdditions'!$E$103</f>
        <v>0</v>
      </c>
      <c r="J297" s="64">
        <f t="shared" si="58"/>
        <v>0</v>
      </c>
      <c r="K297" s="64">
        <f t="shared" si="59"/>
        <v>0</v>
      </c>
    </row>
    <row r="298" spans="1:11" s="759" customFormat="1">
      <c r="A298" s="117">
        <f t="shared" si="56"/>
        <v>229</v>
      </c>
      <c r="B298" s="722" t="s">
        <v>1663</v>
      </c>
      <c r="C298" s="720">
        <v>2017</v>
      </c>
      <c r="D298" s="1217">
        <v>0</v>
      </c>
      <c r="E298" s="64">
        <f>D298*'16-PlantAdditions'!$E$103</f>
        <v>0</v>
      </c>
      <c r="F298" s="64">
        <f t="shared" si="57"/>
        <v>0</v>
      </c>
      <c r="G298" s="1217">
        <v>0</v>
      </c>
      <c r="H298" s="1217">
        <v>0</v>
      </c>
      <c r="I298" s="64">
        <f>(G298-H298)*'16-PlantAdditions'!$E$103</f>
        <v>0</v>
      </c>
      <c r="J298" s="64">
        <f t="shared" si="58"/>
        <v>0</v>
      </c>
      <c r="K298" s="64">
        <f t="shared" si="59"/>
        <v>0</v>
      </c>
    </row>
    <row r="299" spans="1:11" s="759" customFormat="1">
      <c r="A299" s="117">
        <f t="shared" si="56"/>
        <v>230</v>
      </c>
      <c r="B299" s="719" t="s">
        <v>205</v>
      </c>
      <c r="C299" s="720">
        <v>2017</v>
      </c>
      <c r="D299" s="1217">
        <v>0</v>
      </c>
      <c r="E299" s="64">
        <f>D299*'16-PlantAdditions'!$E$103</f>
        <v>0</v>
      </c>
      <c r="F299" s="64">
        <f t="shared" si="57"/>
        <v>0</v>
      </c>
      <c r="G299" s="1217">
        <v>0</v>
      </c>
      <c r="H299" s="1217">
        <v>0</v>
      </c>
      <c r="I299" s="64">
        <f>(G299-H299)*'16-PlantAdditions'!$E$103</f>
        <v>0</v>
      </c>
      <c r="J299" s="64">
        <f t="shared" si="58"/>
        <v>0</v>
      </c>
      <c r="K299" s="64">
        <f t="shared" si="59"/>
        <v>0</v>
      </c>
    </row>
    <row r="300" spans="1:11" s="759" customFormat="1">
      <c r="A300" s="117">
        <f t="shared" si="56"/>
        <v>231</v>
      </c>
      <c r="B300" s="722" t="s">
        <v>206</v>
      </c>
      <c r="C300" s="720">
        <v>2017</v>
      </c>
      <c r="D300" s="1217">
        <v>0</v>
      </c>
      <c r="E300" s="64">
        <f>D300*'16-PlantAdditions'!$E$103</f>
        <v>0</v>
      </c>
      <c r="F300" s="64">
        <f t="shared" si="57"/>
        <v>0</v>
      </c>
      <c r="G300" s="1217">
        <v>0</v>
      </c>
      <c r="H300" s="1217">
        <v>0</v>
      </c>
      <c r="I300" s="64">
        <f>(G300-H300)*'16-PlantAdditions'!$E$103</f>
        <v>0</v>
      </c>
      <c r="J300" s="64">
        <f t="shared" si="58"/>
        <v>0</v>
      </c>
      <c r="K300" s="64">
        <f t="shared" si="59"/>
        <v>0</v>
      </c>
    </row>
    <row r="301" spans="1:11" s="759" customFormat="1">
      <c r="A301" s="117">
        <f t="shared" si="56"/>
        <v>232</v>
      </c>
      <c r="B301" s="722" t="s">
        <v>207</v>
      </c>
      <c r="C301" s="720">
        <v>2017</v>
      </c>
      <c r="D301" s="1217">
        <v>0</v>
      </c>
      <c r="E301" s="64">
        <f>D301*'16-PlantAdditions'!$E$103</f>
        <v>0</v>
      </c>
      <c r="F301" s="64">
        <f t="shared" si="57"/>
        <v>0</v>
      </c>
      <c r="G301" s="1217">
        <v>0</v>
      </c>
      <c r="H301" s="1217">
        <v>0</v>
      </c>
      <c r="I301" s="64">
        <f>(G301-H301)*'16-PlantAdditions'!$E$103</f>
        <v>0</v>
      </c>
      <c r="J301" s="64">
        <f t="shared" si="58"/>
        <v>0</v>
      </c>
      <c r="K301" s="64">
        <f t="shared" si="59"/>
        <v>0</v>
      </c>
    </row>
    <row r="302" spans="1:11" s="759" customFormat="1">
      <c r="A302" s="117">
        <f t="shared" si="56"/>
        <v>233</v>
      </c>
      <c r="B302" s="722" t="s">
        <v>210</v>
      </c>
      <c r="C302" s="720">
        <v>2017</v>
      </c>
      <c r="D302" s="1217">
        <v>0</v>
      </c>
      <c r="E302" s="64">
        <f>D302*'16-PlantAdditions'!$E$103</f>
        <v>0</v>
      </c>
      <c r="F302" s="64">
        <f t="shared" ref="F302:F304" si="60">E302+D302</f>
        <v>0</v>
      </c>
      <c r="G302" s="1217">
        <v>0</v>
      </c>
      <c r="H302" s="1217">
        <v>0</v>
      </c>
      <c r="I302" s="64">
        <f>(G302-H302)*'16-PlantAdditions'!$E$103</f>
        <v>0</v>
      </c>
      <c r="J302" s="64">
        <f t="shared" ref="J302:J304" si="61">J301+F302-G302-I302</f>
        <v>0</v>
      </c>
      <c r="K302" s="64">
        <f t="shared" si="59"/>
        <v>0</v>
      </c>
    </row>
    <row r="303" spans="1:11" s="759" customFormat="1">
      <c r="A303" s="117">
        <f t="shared" si="56"/>
        <v>234</v>
      </c>
      <c r="B303" s="722" t="s">
        <v>209</v>
      </c>
      <c r="C303" s="720">
        <v>2017</v>
      </c>
      <c r="D303" s="1217">
        <v>0</v>
      </c>
      <c r="E303" s="64">
        <f>D303*'16-PlantAdditions'!$E$103</f>
        <v>0</v>
      </c>
      <c r="F303" s="64">
        <f t="shared" si="60"/>
        <v>0</v>
      </c>
      <c r="G303" s="1217">
        <v>0</v>
      </c>
      <c r="H303" s="1217">
        <v>0</v>
      </c>
      <c r="I303" s="64">
        <f>(G303-H303)*'16-PlantAdditions'!$E$103</f>
        <v>0</v>
      </c>
      <c r="J303" s="64">
        <f t="shared" si="61"/>
        <v>0</v>
      </c>
      <c r="K303" s="64">
        <f t="shared" si="59"/>
        <v>0</v>
      </c>
    </row>
    <row r="304" spans="1:11" s="759" customFormat="1">
      <c r="A304" s="117">
        <f t="shared" si="56"/>
        <v>235</v>
      </c>
      <c r="B304" s="722" t="s">
        <v>199</v>
      </c>
      <c r="C304" s="720">
        <v>2017</v>
      </c>
      <c r="D304" s="1217">
        <v>0</v>
      </c>
      <c r="E304" s="64">
        <f>D304*'16-PlantAdditions'!$E$103</f>
        <v>0</v>
      </c>
      <c r="F304" s="64">
        <f t="shared" si="60"/>
        <v>0</v>
      </c>
      <c r="G304" s="1217">
        <v>0</v>
      </c>
      <c r="H304" s="1217">
        <v>0</v>
      </c>
      <c r="I304" s="64">
        <f>(G304-H304)*'16-PlantAdditions'!$E$103</f>
        <v>0</v>
      </c>
      <c r="J304" s="64">
        <f t="shared" si="61"/>
        <v>0</v>
      </c>
      <c r="K304" s="118">
        <f t="shared" si="59"/>
        <v>0</v>
      </c>
    </row>
    <row r="305" spans="1:12" s="759" customFormat="1">
      <c r="A305" s="117">
        <f t="shared" si="56"/>
        <v>236</v>
      </c>
      <c r="B305"/>
      <c r="C305" s="758" t="s">
        <v>1838</v>
      </c>
      <c r="D305"/>
      <c r="E305"/>
      <c r="F305"/>
      <c r="G305"/>
      <c r="H305"/>
      <c r="I305"/>
      <c r="J305"/>
      <c r="K305" s="79">
        <f>AVERAGE(K292:K304)</f>
        <v>0</v>
      </c>
    </row>
    <row r="306" spans="1:12" s="759" customFormat="1">
      <c r="A306" s="117"/>
      <c r="B306"/>
      <c r="C306" s="758"/>
      <c r="D306"/>
      <c r="E306"/>
      <c r="F306"/>
      <c r="G306"/>
      <c r="H306"/>
      <c r="I306"/>
      <c r="J306"/>
      <c r="K306" s="79"/>
    </row>
    <row r="307" spans="1:12" s="759" customFormat="1">
      <c r="B307" s="760" t="s">
        <v>2361</v>
      </c>
      <c r="D307" s="1438" t="s">
        <v>2362</v>
      </c>
      <c r="E307" s="1438"/>
    </row>
    <row r="308" spans="1:12" s="759" customFormat="1">
      <c r="A308" s="754"/>
      <c r="B308" s="754"/>
      <c r="C308" s="754"/>
      <c r="D308" s="754" t="s">
        <v>394</v>
      </c>
      <c r="E308" s="754" t="s">
        <v>378</v>
      </c>
      <c r="F308" s="754" t="s">
        <v>379</v>
      </c>
      <c r="G308" s="754" t="s">
        <v>380</v>
      </c>
      <c r="H308" s="754" t="s">
        <v>381</v>
      </c>
      <c r="I308" s="754" t="s">
        <v>382</v>
      </c>
      <c r="J308" s="754" t="s">
        <v>383</v>
      </c>
      <c r="K308" s="754" t="s">
        <v>596</v>
      </c>
    </row>
    <row r="309" spans="1:12" s="759" customFormat="1" ht="38.25">
      <c r="D309" s="761"/>
      <c r="E309" s="762" t="s">
        <v>2594</v>
      </c>
      <c r="F309" s="763" t="s">
        <v>2346</v>
      </c>
      <c r="G309" s="528"/>
      <c r="H309" s="761"/>
      <c r="I309" s="762" t="s">
        <v>2595</v>
      </c>
      <c r="J309" s="762" t="s">
        <v>2347</v>
      </c>
      <c r="K309" s="762" t="s">
        <v>2348</v>
      </c>
    </row>
    <row r="310" spans="1:12" s="759" customFormat="1">
      <c r="D310" s="761"/>
      <c r="E310" s="761"/>
      <c r="F310" s="761"/>
      <c r="G310" s="645" t="str">
        <f>G51</f>
        <v>Unloaded</v>
      </c>
      <c r="H310" s="761"/>
      <c r="I310" s="761"/>
    </row>
    <row r="311" spans="1:12" s="759" customFormat="1">
      <c r="A311" s="756"/>
      <c r="B311" s="756"/>
      <c r="C311" s="756"/>
      <c r="D311" s="756" t="str">
        <f>D$52</f>
        <v>Forecast</v>
      </c>
      <c r="E311" s="756" t="str">
        <f t="shared" ref="E311:J311" si="62">E$52</f>
        <v>Corporate</v>
      </c>
      <c r="F311" s="756" t="str">
        <f t="shared" si="62"/>
        <v xml:space="preserve">Total </v>
      </c>
      <c r="G311" s="645" t="str">
        <f>G52</f>
        <v>Total</v>
      </c>
      <c r="H311" s="756" t="str">
        <f t="shared" si="62"/>
        <v>Prior Period</v>
      </c>
      <c r="I311" s="756" t="str">
        <f t="shared" si="62"/>
        <v>Over Heads</v>
      </c>
      <c r="J311" s="756" t="str">
        <f t="shared" si="62"/>
        <v>Forecast</v>
      </c>
      <c r="K311" s="645" t="str">
        <f>K$52</f>
        <v>Forecast Period</v>
      </c>
    </row>
    <row r="312" spans="1:12" s="759" customFormat="1">
      <c r="A312" s="1008" t="s">
        <v>360</v>
      </c>
      <c r="B312" s="718" t="s">
        <v>211</v>
      </c>
      <c r="C312" s="718" t="s">
        <v>212</v>
      </c>
      <c r="D312" s="754" t="str">
        <f>D$53</f>
        <v>Expenditures</v>
      </c>
      <c r="E312" s="754" t="str">
        <f t="shared" ref="E312:J312" si="63">E$53</f>
        <v>Overheads</v>
      </c>
      <c r="F312" s="754" t="str">
        <f t="shared" si="63"/>
        <v>CWIP Exp</v>
      </c>
      <c r="G312" s="3" t="str">
        <f>G53</f>
        <v>Plant Adds</v>
      </c>
      <c r="H312" s="754" t="str">
        <f t="shared" si="63"/>
        <v>CWIP Closed</v>
      </c>
      <c r="I312" s="754" t="str">
        <f t="shared" si="63"/>
        <v>Closed to PIS</v>
      </c>
      <c r="J312" s="754" t="str">
        <f t="shared" si="63"/>
        <v>Period CWIP</v>
      </c>
      <c r="K312" s="754" t="str">
        <f>K$53</f>
        <v>Incremental CWIP</v>
      </c>
    </row>
    <row r="313" spans="1:12" s="759" customFormat="1">
      <c r="A313" s="117">
        <f>A305+1</f>
        <v>237</v>
      </c>
      <c r="B313" s="719" t="s">
        <v>199</v>
      </c>
      <c r="C313" s="720">
        <v>2015</v>
      </c>
      <c r="D313" s="763" t="s">
        <v>86</v>
      </c>
      <c r="E313" s="763" t="s">
        <v>86</v>
      </c>
      <c r="F313" s="763" t="s">
        <v>86</v>
      </c>
      <c r="G313" s="763" t="s">
        <v>86</v>
      </c>
      <c r="H313" s="763" t="s">
        <v>86</v>
      </c>
      <c r="I313" s="763" t="s">
        <v>86</v>
      </c>
      <c r="J313" s="64">
        <f>F45</f>
        <v>2844116.01</v>
      </c>
      <c r="K313" s="763" t="s">
        <v>86</v>
      </c>
    </row>
    <row r="314" spans="1:12" s="759" customFormat="1">
      <c r="A314" s="117">
        <f>A313+1</f>
        <v>238</v>
      </c>
      <c r="B314" s="719" t="s">
        <v>200</v>
      </c>
      <c r="C314" s="720">
        <v>2016</v>
      </c>
      <c r="D314" s="1217">
        <v>0</v>
      </c>
      <c r="E314" s="64">
        <f>D314*'16-PlantAdditions'!$E$103</f>
        <v>0</v>
      </c>
      <c r="F314" s="64">
        <f>E314+D314</f>
        <v>0</v>
      </c>
      <c r="G314" s="1217">
        <v>0</v>
      </c>
      <c r="H314" s="1217">
        <v>0</v>
      </c>
      <c r="I314" s="64">
        <f>(G314-H314)*'16-PlantAdditions'!$E$103</f>
        <v>0</v>
      </c>
      <c r="J314" s="64">
        <f>J313+F314-G314-I314</f>
        <v>2844116.01</v>
      </c>
      <c r="K314" s="64">
        <f>J314-$J$313</f>
        <v>0</v>
      </c>
      <c r="L314" s="756"/>
    </row>
    <row r="315" spans="1:12" s="759" customFormat="1">
      <c r="A315" s="117">
        <f t="shared" ref="A315:A338" si="64">A314+1</f>
        <v>239</v>
      </c>
      <c r="B315" s="722" t="s">
        <v>201</v>
      </c>
      <c r="C315" s="720">
        <v>2016</v>
      </c>
      <c r="D315" s="1217">
        <v>0</v>
      </c>
      <c r="E315" s="64">
        <f>D315*'16-PlantAdditions'!$E$103</f>
        <v>0</v>
      </c>
      <c r="F315" s="64">
        <f t="shared" ref="F315:F334" si="65">E315+D315</f>
        <v>0</v>
      </c>
      <c r="G315" s="1217">
        <v>0</v>
      </c>
      <c r="H315" s="1217">
        <v>0</v>
      </c>
      <c r="I315" s="64">
        <f>(G315-H315)*'16-PlantAdditions'!$E$103</f>
        <v>0</v>
      </c>
      <c r="J315" s="64">
        <f t="shared" ref="J315:J334" si="66">J314+F315-G315-I315</f>
        <v>2844116.01</v>
      </c>
      <c r="K315" s="64">
        <f t="shared" ref="K315:K337" si="67">J315-$J$313</f>
        <v>0</v>
      </c>
      <c r="L315" s="756"/>
    </row>
    <row r="316" spans="1:12" s="759" customFormat="1">
      <c r="A316" s="117">
        <f t="shared" si="64"/>
        <v>240</v>
      </c>
      <c r="B316" s="722" t="s">
        <v>214</v>
      </c>
      <c r="C316" s="720">
        <v>2016</v>
      </c>
      <c r="D316" s="1217">
        <v>39121</v>
      </c>
      <c r="E316" s="64">
        <f>D316*'16-PlantAdditions'!$E$103</f>
        <v>2934.0749999999998</v>
      </c>
      <c r="F316" s="64">
        <f t="shared" si="65"/>
        <v>42055.074999999997</v>
      </c>
      <c r="G316" s="1217">
        <v>0</v>
      </c>
      <c r="H316" s="1217">
        <v>0</v>
      </c>
      <c r="I316" s="64">
        <f>(G316-H316)*'16-PlantAdditions'!$E$103</f>
        <v>0</v>
      </c>
      <c r="J316" s="64">
        <f t="shared" si="66"/>
        <v>2886171.085</v>
      </c>
      <c r="K316" s="64">
        <f t="shared" si="67"/>
        <v>42055.075000000186</v>
      </c>
      <c r="L316" s="756"/>
    </row>
    <row r="317" spans="1:12" s="759" customFormat="1">
      <c r="A317" s="117">
        <f t="shared" si="64"/>
        <v>241</v>
      </c>
      <c r="B317" s="719" t="s">
        <v>202</v>
      </c>
      <c r="C317" s="720">
        <v>2016</v>
      </c>
      <c r="D317" s="1217">
        <v>80000</v>
      </c>
      <c r="E317" s="64">
        <f>D317*'16-PlantAdditions'!$E$103</f>
        <v>6000</v>
      </c>
      <c r="F317" s="64">
        <f t="shared" si="65"/>
        <v>86000</v>
      </c>
      <c r="G317" s="1217">
        <v>0</v>
      </c>
      <c r="H317" s="1217">
        <v>0</v>
      </c>
      <c r="I317" s="64">
        <f>(G317-H317)*'16-PlantAdditions'!$E$103</f>
        <v>0</v>
      </c>
      <c r="J317" s="64">
        <f t="shared" si="66"/>
        <v>2972171.085</v>
      </c>
      <c r="K317" s="64">
        <f t="shared" si="67"/>
        <v>128055.07500000019</v>
      </c>
      <c r="L317" s="754"/>
    </row>
    <row r="318" spans="1:12" s="759" customFormat="1">
      <c r="A318" s="117">
        <f t="shared" si="64"/>
        <v>242</v>
      </c>
      <c r="B318" s="722" t="s">
        <v>203</v>
      </c>
      <c r="C318" s="720">
        <v>2016</v>
      </c>
      <c r="D318" s="1217">
        <v>316343.29166666698</v>
      </c>
      <c r="E318" s="64">
        <f>D318*'16-PlantAdditions'!$E$103</f>
        <v>23725.746875000023</v>
      </c>
      <c r="F318" s="64">
        <f t="shared" si="65"/>
        <v>340069.03854166699</v>
      </c>
      <c r="G318" s="1217">
        <v>0</v>
      </c>
      <c r="H318" s="1217">
        <v>0</v>
      </c>
      <c r="I318" s="64">
        <f>(G318-H318)*'16-PlantAdditions'!$E$103</f>
        <v>0</v>
      </c>
      <c r="J318" s="64">
        <f t="shared" si="66"/>
        <v>3312240.1235416671</v>
      </c>
      <c r="K318" s="64">
        <f t="shared" si="67"/>
        <v>468124.11354166735</v>
      </c>
    </row>
    <row r="319" spans="1:12" s="759" customFormat="1">
      <c r="A319" s="117">
        <f t="shared" si="64"/>
        <v>243</v>
      </c>
      <c r="B319" s="722" t="s">
        <v>1663</v>
      </c>
      <c r="C319" s="720">
        <v>2016</v>
      </c>
      <c r="D319" s="1217">
        <v>316343.29166666698</v>
      </c>
      <c r="E319" s="64">
        <f>D319*'16-PlantAdditions'!$E$103</f>
        <v>23725.746875000023</v>
      </c>
      <c r="F319" s="64">
        <f t="shared" si="65"/>
        <v>340069.03854166699</v>
      </c>
      <c r="G319" s="1217">
        <v>0</v>
      </c>
      <c r="H319" s="1217">
        <v>0</v>
      </c>
      <c r="I319" s="64">
        <f>(G319-H319)*'16-PlantAdditions'!$E$103</f>
        <v>0</v>
      </c>
      <c r="J319" s="64">
        <f t="shared" si="66"/>
        <v>3652309.1620833343</v>
      </c>
      <c r="K319" s="64">
        <f t="shared" si="67"/>
        <v>808193.15208333451</v>
      </c>
    </row>
    <row r="320" spans="1:12" s="759" customFormat="1">
      <c r="A320" s="117">
        <f t="shared" si="64"/>
        <v>244</v>
      </c>
      <c r="B320" s="719" t="s">
        <v>205</v>
      </c>
      <c r="C320" s="720">
        <v>2016</v>
      </c>
      <c r="D320" s="1217">
        <v>316343.29166666698</v>
      </c>
      <c r="E320" s="64">
        <f>D320*'16-PlantAdditions'!$E$103</f>
        <v>23725.746875000023</v>
      </c>
      <c r="F320" s="64">
        <f t="shared" si="65"/>
        <v>340069.03854166699</v>
      </c>
      <c r="G320" s="1217">
        <v>0</v>
      </c>
      <c r="H320" s="1217">
        <v>0</v>
      </c>
      <c r="I320" s="64">
        <f>(G320-H320)*'16-PlantAdditions'!$E$103</f>
        <v>0</v>
      </c>
      <c r="J320" s="64">
        <f t="shared" si="66"/>
        <v>3992378.2006250015</v>
      </c>
      <c r="K320" s="64">
        <f t="shared" si="67"/>
        <v>1148262.1906250017</v>
      </c>
    </row>
    <row r="321" spans="1:11" s="759" customFormat="1">
      <c r="A321" s="117">
        <f t="shared" si="64"/>
        <v>245</v>
      </c>
      <c r="B321" s="722" t="s">
        <v>206</v>
      </c>
      <c r="C321" s="720">
        <v>2016</v>
      </c>
      <c r="D321" s="1217">
        <v>316343.29166666698</v>
      </c>
      <c r="E321" s="64">
        <f>D321*'16-PlantAdditions'!$E$103</f>
        <v>23725.746875000023</v>
      </c>
      <c r="F321" s="64">
        <f t="shared" si="65"/>
        <v>340069.03854166699</v>
      </c>
      <c r="G321" s="1217">
        <v>0</v>
      </c>
      <c r="H321" s="1217">
        <v>0</v>
      </c>
      <c r="I321" s="64">
        <f>(G321-H321)*'16-PlantAdditions'!$E$103</f>
        <v>0</v>
      </c>
      <c r="J321" s="64">
        <f t="shared" si="66"/>
        <v>4332447.2391666686</v>
      </c>
      <c r="K321" s="64">
        <f t="shared" si="67"/>
        <v>1488331.2291666688</v>
      </c>
    </row>
    <row r="322" spans="1:11" s="759" customFormat="1">
      <c r="A322" s="117">
        <f t="shared" si="64"/>
        <v>246</v>
      </c>
      <c r="B322" s="722" t="s">
        <v>207</v>
      </c>
      <c r="C322" s="720">
        <v>2016</v>
      </c>
      <c r="D322" s="1217">
        <v>316343.29166666698</v>
      </c>
      <c r="E322" s="64">
        <f>D322*'16-PlantAdditions'!$E$103</f>
        <v>23725.746875000023</v>
      </c>
      <c r="F322" s="64">
        <f t="shared" si="65"/>
        <v>340069.03854166699</v>
      </c>
      <c r="G322" s="1217">
        <v>0</v>
      </c>
      <c r="H322" s="1217">
        <v>0</v>
      </c>
      <c r="I322" s="64">
        <f>(G322-H322)*'16-PlantAdditions'!$E$103</f>
        <v>0</v>
      </c>
      <c r="J322" s="64">
        <f t="shared" si="66"/>
        <v>4672516.2777083358</v>
      </c>
      <c r="K322" s="64">
        <f t="shared" si="67"/>
        <v>1828400.267708336</v>
      </c>
    </row>
    <row r="323" spans="1:11" s="759" customFormat="1">
      <c r="A323" s="117">
        <f t="shared" si="64"/>
        <v>247</v>
      </c>
      <c r="B323" s="719" t="s">
        <v>210</v>
      </c>
      <c r="C323" s="720">
        <v>2016</v>
      </c>
      <c r="D323" s="1217">
        <v>316343.29166666698</v>
      </c>
      <c r="E323" s="64">
        <f>D323*'16-PlantAdditions'!$E$103</f>
        <v>23725.746875000023</v>
      </c>
      <c r="F323" s="64">
        <f t="shared" si="65"/>
        <v>340069.03854166699</v>
      </c>
      <c r="G323" s="1217">
        <v>0</v>
      </c>
      <c r="H323" s="1217">
        <v>0</v>
      </c>
      <c r="I323" s="64">
        <f>(G323-H323)*'16-PlantAdditions'!$E$103</f>
        <v>0</v>
      </c>
      <c r="J323" s="64">
        <f t="shared" si="66"/>
        <v>5012585.3162500029</v>
      </c>
      <c r="K323" s="64">
        <f t="shared" si="67"/>
        <v>2168469.3062500032</v>
      </c>
    </row>
    <row r="324" spans="1:11" s="759" customFormat="1">
      <c r="A324" s="117">
        <f t="shared" si="64"/>
        <v>248</v>
      </c>
      <c r="B324" s="719" t="s">
        <v>209</v>
      </c>
      <c r="C324" s="720">
        <v>2016</v>
      </c>
      <c r="D324" s="1217">
        <v>316343.29166666698</v>
      </c>
      <c r="E324" s="64">
        <f>D324*'16-PlantAdditions'!$E$103</f>
        <v>23725.746875000023</v>
      </c>
      <c r="F324" s="64">
        <f t="shared" si="65"/>
        <v>340069.03854166699</v>
      </c>
      <c r="G324" s="1217">
        <v>0</v>
      </c>
      <c r="H324" s="1217">
        <v>0</v>
      </c>
      <c r="I324" s="64">
        <f>(G324-H324)*'16-PlantAdditions'!$E$103</f>
        <v>0</v>
      </c>
      <c r="J324" s="64">
        <f t="shared" si="66"/>
        <v>5352654.3547916701</v>
      </c>
      <c r="K324" s="64">
        <f t="shared" si="67"/>
        <v>2508538.3447916703</v>
      </c>
    </row>
    <row r="325" spans="1:11" s="759" customFormat="1">
      <c r="A325" s="117">
        <f t="shared" si="64"/>
        <v>249</v>
      </c>
      <c r="B325" s="719" t="s">
        <v>199</v>
      </c>
      <c r="C325" s="720">
        <v>2016</v>
      </c>
      <c r="D325" s="1217">
        <v>316343.29166666698</v>
      </c>
      <c r="E325" s="64">
        <f>D325*'16-PlantAdditions'!$E$103</f>
        <v>23725.746875000023</v>
      </c>
      <c r="F325" s="64">
        <f t="shared" si="65"/>
        <v>340069.03854166699</v>
      </c>
      <c r="G325" s="1217">
        <v>0</v>
      </c>
      <c r="H325" s="1217">
        <v>0</v>
      </c>
      <c r="I325" s="64">
        <f>(G325-H325)*'16-PlantAdditions'!$E$103</f>
        <v>0</v>
      </c>
      <c r="J325" s="64">
        <f t="shared" si="66"/>
        <v>5692723.3933333373</v>
      </c>
      <c r="K325" s="64">
        <f t="shared" si="67"/>
        <v>2848607.3833333375</v>
      </c>
    </row>
    <row r="326" spans="1:11" s="759" customFormat="1">
      <c r="A326" s="117">
        <f t="shared" si="64"/>
        <v>250</v>
      </c>
      <c r="B326" s="719" t="s">
        <v>200</v>
      </c>
      <c r="C326" s="720">
        <v>2017</v>
      </c>
      <c r="D326" s="1217">
        <v>226776.08333333334</v>
      </c>
      <c r="E326" s="64">
        <f>D326*'16-PlantAdditions'!$E$103</f>
        <v>17008.206249999999</v>
      </c>
      <c r="F326" s="64">
        <f t="shared" si="65"/>
        <v>243784.28958333333</v>
      </c>
      <c r="G326" s="1217">
        <v>0</v>
      </c>
      <c r="H326" s="1217">
        <v>0</v>
      </c>
      <c r="I326" s="64">
        <f>(G326-H326)*'16-PlantAdditions'!$E$103</f>
        <v>0</v>
      </c>
      <c r="J326" s="64">
        <f t="shared" si="66"/>
        <v>5936507.682916671</v>
      </c>
      <c r="K326" s="64">
        <f t="shared" si="67"/>
        <v>3092391.6729166713</v>
      </c>
    </row>
    <row r="327" spans="1:11" s="759" customFormat="1">
      <c r="A327" s="117">
        <f t="shared" si="64"/>
        <v>251</v>
      </c>
      <c r="B327" s="722" t="s">
        <v>201</v>
      </c>
      <c r="C327" s="720">
        <v>2017</v>
      </c>
      <c r="D327" s="1217">
        <v>226776.08333333334</v>
      </c>
      <c r="E327" s="64">
        <f>D327*'16-PlantAdditions'!$E$103</f>
        <v>17008.206249999999</v>
      </c>
      <c r="F327" s="64">
        <f t="shared" si="65"/>
        <v>243784.28958333333</v>
      </c>
      <c r="G327" s="1217">
        <v>0</v>
      </c>
      <c r="H327" s="1217">
        <v>0</v>
      </c>
      <c r="I327" s="64">
        <f>(G327-H327)*'16-PlantAdditions'!$E$103</f>
        <v>0</v>
      </c>
      <c r="J327" s="64">
        <f t="shared" si="66"/>
        <v>6180291.9725000048</v>
      </c>
      <c r="K327" s="64">
        <f t="shared" si="67"/>
        <v>3336175.962500005</v>
      </c>
    </row>
    <row r="328" spans="1:11" s="759" customFormat="1">
      <c r="A328" s="117">
        <f t="shared" si="64"/>
        <v>252</v>
      </c>
      <c r="B328" s="722" t="s">
        <v>214</v>
      </c>
      <c r="C328" s="720">
        <v>2017</v>
      </c>
      <c r="D328" s="1217">
        <v>226776.08333333334</v>
      </c>
      <c r="E328" s="64">
        <f>D328*'16-PlantAdditions'!$E$103</f>
        <v>17008.206249999999</v>
      </c>
      <c r="F328" s="64">
        <f t="shared" si="65"/>
        <v>243784.28958333333</v>
      </c>
      <c r="G328" s="1217">
        <v>0</v>
      </c>
      <c r="H328" s="1217">
        <v>0</v>
      </c>
      <c r="I328" s="64">
        <f>(G328-H328)*'16-PlantAdditions'!$E$103</f>
        <v>0</v>
      </c>
      <c r="J328" s="64">
        <f t="shared" si="66"/>
        <v>6424076.2620833386</v>
      </c>
      <c r="K328" s="64">
        <f t="shared" si="67"/>
        <v>3579960.2520833388</v>
      </c>
    </row>
    <row r="329" spans="1:11" s="759" customFormat="1">
      <c r="A329" s="117">
        <f t="shared" si="64"/>
        <v>253</v>
      </c>
      <c r="B329" s="719" t="s">
        <v>202</v>
      </c>
      <c r="C329" s="720">
        <v>2017</v>
      </c>
      <c r="D329" s="1217">
        <v>226776.08333333334</v>
      </c>
      <c r="E329" s="64">
        <f>D329*'16-PlantAdditions'!$E$103</f>
        <v>17008.206249999999</v>
      </c>
      <c r="F329" s="64">
        <f t="shared" si="65"/>
        <v>243784.28958333333</v>
      </c>
      <c r="G329" s="1217">
        <v>0</v>
      </c>
      <c r="H329" s="1217">
        <v>0</v>
      </c>
      <c r="I329" s="64">
        <f>(G329-H329)*'16-PlantAdditions'!$E$103</f>
        <v>0</v>
      </c>
      <c r="J329" s="64">
        <f t="shared" si="66"/>
        <v>6667860.5516666723</v>
      </c>
      <c r="K329" s="64">
        <f t="shared" si="67"/>
        <v>3823744.5416666726</v>
      </c>
    </row>
    <row r="330" spans="1:11" s="759" customFormat="1">
      <c r="A330" s="117">
        <f t="shared" si="64"/>
        <v>254</v>
      </c>
      <c r="B330" s="722" t="s">
        <v>203</v>
      </c>
      <c r="C330" s="720">
        <v>2017</v>
      </c>
      <c r="D330" s="1217">
        <v>226776.08333333334</v>
      </c>
      <c r="E330" s="64">
        <f>D330*'16-PlantAdditions'!$E$103</f>
        <v>17008.206249999999</v>
      </c>
      <c r="F330" s="64">
        <f t="shared" si="65"/>
        <v>243784.28958333333</v>
      </c>
      <c r="G330" s="1217">
        <v>0</v>
      </c>
      <c r="H330" s="1217">
        <v>0</v>
      </c>
      <c r="I330" s="64">
        <f>(G330-H330)*'16-PlantAdditions'!$E$103</f>
        <v>0</v>
      </c>
      <c r="J330" s="64">
        <f t="shared" si="66"/>
        <v>6911644.8412500061</v>
      </c>
      <c r="K330" s="64">
        <f t="shared" si="67"/>
        <v>4067528.8312500063</v>
      </c>
    </row>
    <row r="331" spans="1:11" s="759" customFormat="1">
      <c r="A331" s="117">
        <f t="shared" si="64"/>
        <v>255</v>
      </c>
      <c r="B331" s="722" t="s">
        <v>1663</v>
      </c>
      <c r="C331" s="720">
        <v>2017</v>
      </c>
      <c r="D331" s="1217">
        <v>226776.08333333334</v>
      </c>
      <c r="E331" s="64">
        <f>D331*'16-PlantAdditions'!$E$103</f>
        <v>17008.206249999999</v>
      </c>
      <c r="F331" s="64">
        <f t="shared" si="65"/>
        <v>243784.28958333333</v>
      </c>
      <c r="G331" s="1217">
        <v>0</v>
      </c>
      <c r="H331" s="1217">
        <v>0</v>
      </c>
      <c r="I331" s="64">
        <f>(G331-H331)*'16-PlantAdditions'!$E$103</f>
        <v>0</v>
      </c>
      <c r="J331" s="64">
        <f t="shared" si="66"/>
        <v>7155429.1308333399</v>
      </c>
      <c r="K331" s="64">
        <f t="shared" si="67"/>
        <v>4311313.1208333401</v>
      </c>
    </row>
    <row r="332" spans="1:11" s="759" customFormat="1">
      <c r="A332" s="117">
        <f t="shared" si="64"/>
        <v>256</v>
      </c>
      <c r="B332" s="719" t="s">
        <v>205</v>
      </c>
      <c r="C332" s="720">
        <v>2017</v>
      </c>
      <c r="D332" s="1217">
        <v>226776.08333333334</v>
      </c>
      <c r="E332" s="64">
        <f>D332*'16-PlantAdditions'!$E$103</f>
        <v>17008.206249999999</v>
      </c>
      <c r="F332" s="64">
        <f t="shared" si="65"/>
        <v>243784.28958333333</v>
      </c>
      <c r="G332" s="1217">
        <v>0</v>
      </c>
      <c r="H332" s="1217">
        <v>0</v>
      </c>
      <c r="I332" s="64">
        <f>(G332-H332)*'16-PlantAdditions'!$E$103</f>
        <v>0</v>
      </c>
      <c r="J332" s="64">
        <f t="shared" si="66"/>
        <v>7399213.4204166736</v>
      </c>
      <c r="K332" s="64">
        <f t="shared" si="67"/>
        <v>4555097.4104166739</v>
      </c>
    </row>
    <row r="333" spans="1:11" s="759" customFormat="1">
      <c r="A333" s="117">
        <f t="shared" si="64"/>
        <v>257</v>
      </c>
      <c r="B333" s="722" t="s">
        <v>206</v>
      </c>
      <c r="C333" s="720">
        <v>2017</v>
      </c>
      <c r="D333" s="1217">
        <v>226776.08333333334</v>
      </c>
      <c r="E333" s="64">
        <f>D333*'16-PlantAdditions'!$E$103</f>
        <v>17008.206249999999</v>
      </c>
      <c r="F333" s="64">
        <f t="shared" si="65"/>
        <v>243784.28958333333</v>
      </c>
      <c r="G333" s="1217">
        <v>0</v>
      </c>
      <c r="H333" s="1217">
        <v>0</v>
      </c>
      <c r="I333" s="64">
        <f>(G333-H333)*'16-PlantAdditions'!$E$103</f>
        <v>0</v>
      </c>
      <c r="J333" s="64">
        <f t="shared" si="66"/>
        <v>7642997.7100000074</v>
      </c>
      <c r="K333" s="64">
        <f t="shared" si="67"/>
        <v>4798881.7000000076</v>
      </c>
    </row>
    <row r="334" spans="1:11" s="759" customFormat="1">
      <c r="A334" s="117">
        <f t="shared" si="64"/>
        <v>258</v>
      </c>
      <c r="B334" s="722" t="s">
        <v>207</v>
      </c>
      <c r="C334" s="720">
        <v>2017</v>
      </c>
      <c r="D334" s="1217">
        <v>226776.08333333334</v>
      </c>
      <c r="E334" s="64">
        <f>D334*'16-PlantAdditions'!$E$103</f>
        <v>17008.206249999999</v>
      </c>
      <c r="F334" s="64">
        <f t="shared" si="65"/>
        <v>243784.28958333333</v>
      </c>
      <c r="G334" s="1217">
        <v>0</v>
      </c>
      <c r="H334" s="1217">
        <v>0</v>
      </c>
      <c r="I334" s="64">
        <f>(G334-H334)*'16-PlantAdditions'!$E$103</f>
        <v>0</v>
      </c>
      <c r="J334" s="64">
        <f t="shared" si="66"/>
        <v>7886781.9995833412</v>
      </c>
      <c r="K334" s="64">
        <f t="shared" si="67"/>
        <v>5042665.9895833414</v>
      </c>
    </row>
    <row r="335" spans="1:11" s="759" customFormat="1">
      <c r="A335" s="117">
        <f t="shared" si="64"/>
        <v>259</v>
      </c>
      <c r="B335" s="722" t="s">
        <v>210</v>
      </c>
      <c r="C335" s="720">
        <v>2017</v>
      </c>
      <c r="D335" s="1217">
        <v>226776.08333333334</v>
      </c>
      <c r="E335" s="64">
        <f>D335*'16-PlantAdditions'!$E$103</f>
        <v>17008.206249999999</v>
      </c>
      <c r="F335" s="64">
        <f t="shared" ref="F335:F337" si="68">E335+D335</f>
        <v>243784.28958333333</v>
      </c>
      <c r="G335" s="1217">
        <v>0</v>
      </c>
      <c r="H335" s="1217">
        <v>0</v>
      </c>
      <c r="I335" s="64">
        <f>(G335-H335)*'16-PlantAdditions'!$E$103</f>
        <v>0</v>
      </c>
      <c r="J335" s="64">
        <f t="shared" ref="J335:J337" si="69">J334+F335-G335-I335</f>
        <v>8130566.2891666749</v>
      </c>
      <c r="K335" s="64">
        <f t="shared" si="67"/>
        <v>5286450.2791666752</v>
      </c>
    </row>
    <row r="336" spans="1:11" s="759" customFormat="1">
      <c r="A336" s="117">
        <f t="shared" si="64"/>
        <v>260</v>
      </c>
      <c r="B336" s="722" t="s">
        <v>209</v>
      </c>
      <c r="C336" s="720">
        <v>2017</v>
      </c>
      <c r="D336" s="1217">
        <v>226776.08333333334</v>
      </c>
      <c r="E336" s="64">
        <f>D336*'16-PlantAdditions'!$E$103</f>
        <v>17008.206249999999</v>
      </c>
      <c r="F336" s="64">
        <f t="shared" si="68"/>
        <v>243784.28958333333</v>
      </c>
      <c r="G336" s="1217">
        <v>0</v>
      </c>
      <c r="H336" s="1217">
        <v>0</v>
      </c>
      <c r="I336" s="64">
        <f>(G336-H336)*'16-PlantAdditions'!$E$103</f>
        <v>0</v>
      </c>
      <c r="J336" s="64">
        <f t="shared" si="69"/>
        <v>8374350.5787500087</v>
      </c>
      <c r="K336" s="64">
        <f t="shared" si="67"/>
        <v>5530234.5687500089</v>
      </c>
    </row>
    <row r="337" spans="1:11" s="759" customFormat="1">
      <c r="A337" s="117">
        <f t="shared" si="64"/>
        <v>261</v>
      </c>
      <c r="B337" s="722" t="s">
        <v>199</v>
      </c>
      <c r="C337" s="720">
        <v>2017</v>
      </c>
      <c r="D337" s="1217">
        <v>226776.08333333334</v>
      </c>
      <c r="E337" s="64">
        <f>D337*'16-PlantAdditions'!$E$103</f>
        <v>17008.206249999999</v>
      </c>
      <c r="F337" s="64">
        <f t="shared" si="68"/>
        <v>243784.28958333333</v>
      </c>
      <c r="G337" s="1217">
        <v>0</v>
      </c>
      <c r="H337" s="1217">
        <v>0</v>
      </c>
      <c r="I337" s="64">
        <f>(G337-H337)*'16-PlantAdditions'!$E$103</f>
        <v>0</v>
      </c>
      <c r="J337" s="64">
        <f t="shared" si="69"/>
        <v>8618134.8683333416</v>
      </c>
      <c r="K337" s="118">
        <f t="shared" si="67"/>
        <v>5774018.8583333418</v>
      </c>
    </row>
    <row r="338" spans="1:11" s="759" customFormat="1">
      <c r="A338" s="117">
        <f t="shared" si="64"/>
        <v>262</v>
      </c>
      <c r="B338"/>
      <c r="C338" s="758" t="s">
        <v>1838</v>
      </c>
      <c r="D338"/>
      <c r="E338"/>
      <c r="F338"/>
      <c r="G338"/>
      <c r="H338"/>
      <c r="I338"/>
      <c r="J338"/>
      <c r="K338" s="79">
        <f>AVERAGE(K325:K337)</f>
        <v>4311313.120833341</v>
      </c>
    </row>
    <row r="339" spans="1:11" s="759" customFormat="1">
      <c r="A339" s="117"/>
      <c r="B339"/>
      <c r="C339" s="758"/>
      <c r="D339"/>
      <c r="E339"/>
      <c r="F339"/>
      <c r="G339"/>
      <c r="H339"/>
      <c r="I339"/>
      <c r="J339"/>
      <c r="K339" s="79"/>
    </row>
    <row r="340" spans="1:11" s="759" customFormat="1">
      <c r="B340" s="760" t="s">
        <v>2363</v>
      </c>
      <c r="D340" s="1438" t="s">
        <v>2364</v>
      </c>
      <c r="E340" s="1438"/>
    </row>
    <row r="341" spans="1:11" s="759" customFormat="1">
      <c r="D341" s="761"/>
      <c r="E341" s="761"/>
      <c r="F341" s="761"/>
      <c r="G341" s="645" t="str">
        <f>G51</f>
        <v>Unloaded</v>
      </c>
      <c r="H341" s="761"/>
      <c r="I341" s="761"/>
    </row>
    <row r="342" spans="1:11" s="759" customFormat="1">
      <c r="A342" s="756"/>
      <c r="B342" s="756"/>
      <c r="C342" s="756"/>
      <c r="D342" s="756" t="str">
        <f>D$52</f>
        <v>Forecast</v>
      </c>
      <c r="E342" s="756" t="str">
        <f t="shared" ref="E342:J342" si="70">E$52</f>
        <v>Corporate</v>
      </c>
      <c r="F342" s="756" t="str">
        <f t="shared" si="70"/>
        <v xml:space="preserve">Total </v>
      </c>
      <c r="G342" s="645" t="str">
        <f>G52</f>
        <v>Total</v>
      </c>
      <c r="H342" s="756" t="str">
        <f t="shared" si="70"/>
        <v>Prior Period</v>
      </c>
      <c r="I342" s="756" t="str">
        <f t="shared" si="70"/>
        <v>Over Heads</v>
      </c>
      <c r="J342" s="756" t="str">
        <f t="shared" si="70"/>
        <v>Forecast</v>
      </c>
      <c r="K342" s="645" t="str">
        <f>K$52</f>
        <v>Forecast Period</v>
      </c>
    </row>
    <row r="343" spans="1:11" s="759" customFormat="1">
      <c r="A343" s="1008" t="s">
        <v>360</v>
      </c>
      <c r="B343" s="718" t="s">
        <v>211</v>
      </c>
      <c r="C343" s="718" t="s">
        <v>212</v>
      </c>
      <c r="D343" s="754" t="str">
        <f>D$53</f>
        <v>Expenditures</v>
      </c>
      <c r="E343" s="754" t="str">
        <f t="shared" ref="E343:J343" si="71">E$53</f>
        <v>Overheads</v>
      </c>
      <c r="F343" s="754" t="str">
        <f t="shared" si="71"/>
        <v>CWIP Exp</v>
      </c>
      <c r="G343" s="3" t="str">
        <f>G53</f>
        <v>Plant Adds</v>
      </c>
      <c r="H343" s="754" t="str">
        <f t="shared" si="71"/>
        <v>CWIP Closed</v>
      </c>
      <c r="I343" s="754" t="str">
        <f t="shared" si="71"/>
        <v>Closed to PIS</v>
      </c>
      <c r="J343" s="754" t="str">
        <f t="shared" si="71"/>
        <v>Period CWIP</v>
      </c>
      <c r="K343" s="754" t="str">
        <f>K$53</f>
        <v>Incremental CWIP</v>
      </c>
    </row>
    <row r="344" spans="1:11" s="759" customFormat="1">
      <c r="A344" s="117">
        <f>A338+1</f>
        <v>263</v>
      </c>
      <c r="B344" s="719" t="s">
        <v>199</v>
      </c>
      <c r="C344" s="720">
        <v>2015</v>
      </c>
      <c r="D344" s="763" t="s">
        <v>86</v>
      </c>
      <c r="E344" s="763" t="s">
        <v>86</v>
      </c>
      <c r="F344" s="763" t="s">
        <v>86</v>
      </c>
      <c r="G344" s="763" t="s">
        <v>86</v>
      </c>
      <c r="H344" s="763" t="s">
        <v>86</v>
      </c>
      <c r="I344" s="763" t="s">
        <v>86</v>
      </c>
      <c r="J344" s="64">
        <f>G45</f>
        <v>52084175.729999997</v>
      </c>
      <c r="K344" s="763" t="s">
        <v>86</v>
      </c>
    </row>
    <row r="345" spans="1:11" s="759" customFormat="1">
      <c r="A345" s="117">
        <f>A344+1</f>
        <v>264</v>
      </c>
      <c r="B345" s="719" t="s">
        <v>200</v>
      </c>
      <c r="C345" s="720">
        <v>2016</v>
      </c>
      <c r="D345" s="1217">
        <v>384128.99999999994</v>
      </c>
      <c r="E345" s="64">
        <f>D345*'16-PlantAdditions'!$E$103</f>
        <v>28809.674999999996</v>
      </c>
      <c r="F345" s="64">
        <f>E345+D345</f>
        <v>412938.67499999993</v>
      </c>
      <c r="G345" s="1217">
        <v>0</v>
      </c>
      <c r="H345" s="1217">
        <v>0</v>
      </c>
      <c r="I345" s="64">
        <f>(G345-H345)*'16-PlantAdditions'!$E$103</f>
        <v>0</v>
      </c>
      <c r="J345" s="64">
        <f>J344+F345-G345-I345</f>
        <v>52497114.404999994</v>
      </c>
      <c r="K345" s="64">
        <f>J345-$J$344</f>
        <v>412938.67499999702</v>
      </c>
    </row>
    <row r="346" spans="1:11" s="759" customFormat="1">
      <c r="A346" s="117">
        <f t="shared" ref="A346:A369" si="72">A345+1</f>
        <v>265</v>
      </c>
      <c r="B346" s="722" t="s">
        <v>201</v>
      </c>
      <c r="C346" s="720">
        <v>2016</v>
      </c>
      <c r="D346" s="1217">
        <v>265363</v>
      </c>
      <c r="E346" s="64">
        <f>D346*'16-PlantAdditions'!$E$103</f>
        <v>19902.224999999999</v>
      </c>
      <c r="F346" s="64">
        <f t="shared" ref="F346:F365" si="73">E346+D346</f>
        <v>285265.22499999998</v>
      </c>
      <c r="G346" s="1217">
        <v>0</v>
      </c>
      <c r="H346" s="1217">
        <v>0</v>
      </c>
      <c r="I346" s="64">
        <f>(G346-H346)*'16-PlantAdditions'!$E$103</f>
        <v>0</v>
      </c>
      <c r="J346" s="64">
        <f t="shared" ref="J346:J365" si="74">J345+F346-G346-I346</f>
        <v>52782379.629999995</v>
      </c>
      <c r="K346" s="64">
        <f t="shared" ref="K346:K368" si="75">J346-$J$344</f>
        <v>698203.89999999851</v>
      </c>
    </row>
    <row r="347" spans="1:11" s="759" customFormat="1">
      <c r="A347" s="117">
        <f t="shared" si="72"/>
        <v>266</v>
      </c>
      <c r="B347" s="722" t="s">
        <v>214</v>
      </c>
      <c r="C347" s="720">
        <v>2016</v>
      </c>
      <c r="D347" s="1217">
        <v>671117</v>
      </c>
      <c r="E347" s="64">
        <f>D347*'16-PlantAdditions'!$E$103</f>
        <v>50333.775000000001</v>
      </c>
      <c r="F347" s="64">
        <f t="shared" si="73"/>
        <v>721450.77500000002</v>
      </c>
      <c r="G347" s="1217">
        <v>0</v>
      </c>
      <c r="H347" s="1217">
        <v>0</v>
      </c>
      <c r="I347" s="64">
        <f>(G347-H347)*'16-PlantAdditions'!$E$103</f>
        <v>0</v>
      </c>
      <c r="J347" s="64">
        <f t="shared" si="74"/>
        <v>53503830.404999994</v>
      </c>
      <c r="K347" s="64">
        <f t="shared" si="75"/>
        <v>1419654.674999997</v>
      </c>
    </row>
    <row r="348" spans="1:11" s="759" customFormat="1">
      <c r="A348" s="117">
        <f t="shared" si="72"/>
        <v>267</v>
      </c>
      <c r="B348" s="719" t="s">
        <v>202</v>
      </c>
      <c r="C348" s="720">
        <v>2016</v>
      </c>
      <c r="D348" s="1217">
        <v>364228</v>
      </c>
      <c r="E348" s="64">
        <f>D348*'16-PlantAdditions'!$E$103</f>
        <v>27317.1</v>
      </c>
      <c r="F348" s="64">
        <f t="shared" si="73"/>
        <v>391545.1</v>
      </c>
      <c r="G348" s="1217">
        <v>0</v>
      </c>
      <c r="H348" s="1217">
        <v>0</v>
      </c>
      <c r="I348" s="64">
        <f>(G348-H348)*'16-PlantAdditions'!$E$103</f>
        <v>0</v>
      </c>
      <c r="J348" s="64">
        <f t="shared" si="74"/>
        <v>53895375.504999995</v>
      </c>
      <c r="K348" s="64">
        <f t="shared" si="75"/>
        <v>1811199.7749999985</v>
      </c>
    </row>
    <row r="349" spans="1:11" s="759" customFormat="1">
      <c r="A349" s="117">
        <f t="shared" si="72"/>
        <v>268</v>
      </c>
      <c r="B349" s="722" t="s">
        <v>203</v>
      </c>
      <c r="C349" s="720">
        <v>2016</v>
      </c>
      <c r="D349" s="1217">
        <v>370429</v>
      </c>
      <c r="E349" s="64">
        <f>D349*'16-PlantAdditions'!$E$103</f>
        <v>27782.174999999999</v>
      </c>
      <c r="F349" s="64">
        <f t="shared" si="73"/>
        <v>398211.17499999999</v>
      </c>
      <c r="G349" s="1217">
        <v>0</v>
      </c>
      <c r="H349" s="1217">
        <v>0</v>
      </c>
      <c r="I349" s="64">
        <f>(G349-H349)*'16-PlantAdditions'!$E$103</f>
        <v>0</v>
      </c>
      <c r="J349" s="64">
        <f t="shared" si="74"/>
        <v>54293586.679999992</v>
      </c>
      <c r="K349" s="64">
        <f t="shared" si="75"/>
        <v>2209410.9499999955</v>
      </c>
    </row>
    <row r="350" spans="1:11" s="759" customFormat="1">
      <c r="A350" s="117">
        <f t="shared" si="72"/>
        <v>269</v>
      </c>
      <c r="B350" s="722" t="s">
        <v>1663</v>
      </c>
      <c r="C350" s="720">
        <v>2016</v>
      </c>
      <c r="D350" s="1217">
        <v>979190</v>
      </c>
      <c r="E350" s="64">
        <f>D350*'16-PlantAdditions'!$E$103</f>
        <v>73439.25</v>
      </c>
      <c r="F350" s="64">
        <f t="shared" si="73"/>
        <v>1052629.25</v>
      </c>
      <c r="G350" s="1217">
        <v>0</v>
      </c>
      <c r="H350" s="1217">
        <v>0</v>
      </c>
      <c r="I350" s="64">
        <f>(G350-H350)*'16-PlantAdditions'!$E$103</f>
        <v>0</v>
      </c>
      <c r="J350" s="64">
        <f t="shared" si="74"/>
        <v>55346215.929999992</v>
      </c>
      <c r="K350" s="64">
        <f t="shared" si="75"/>
        <v>3262040.1999999955</v>
      </c>
    </row>
    <row r="351" spans="1:11" s="759" customFormat="1">
      <c r="A351" s="117">
        <f t="shared" si="72"/>
        <v>270</v>
      </c>
      <c r="B351" s="719" t="s">
        <v>205</v>
      </c>
      <c r="C351" s="720">
        <v>2016</v>
      </c>
      <c r="D351" s="1217">
        <v>1461746</v>
      </c>
      <c r="E351" s="64">
        <f>D351*'16-PlantAdditions'!$E$103</f>
        <v>109630.95</v>
      </c>
      <c r="F351" s="64">
        <f t="shared" si="73"/>
        <v>1571376.95</v>
      </c>
      <c r="G351" s="1217">
        <v>0</v>
      </c>
      <c r="H351" s="1217">
        <v>0</v>
      </c>
      <c r="I351" s="64">
        <f>(G351-H351)*'16-PlantAdditions'!$E$103</f>
        <v>0</v>
      </c>
      <c r="J351" s="64">
        <f t="shared" si="74"/>
        <v>56917592.879999995</v>
      </c>
      <c r="K351" s="64">
        <f t="shared" si="75"/>
        <v>4833417.1499999985</v>
      </c>
    </row>
    <row r="352" spans="1:11" s="759" customFormat="1">
      <c r="A352" s="117">
        <f t="shared" si="72"/>
        <v>271</v>
      </c>
      <c r="B352" s="722" t="s">
        <v>206</v>
      </c>
      <c r="C352" s="720">
        <v>2016</v>
      </c>
      <c r="D352" s="1217">
        <v>1676222</v>
      </c>
      <c r="E352" s="64">
        <f>D352*'16-PlantAdditions'!$E$103</f>
        <v>125716.65</v>
      </c>
      <c r="F352" s="64">
        <f t="shared" si="73"/>
        <v>1801938.65</v>
      </c>
      <c r="G352" s="1217">
        <v>0</v>
      </c>
      <c r="H352" s="1217">
        <v>0</v>
      </c>
      <c r="I352" s="64">
        <f>(G352-H352)*'16-PlantAdditions'!$E$103</f>
        <v>0</v>
      </c>
      <c r="J352" s="64">
        <f t="shared" si="74"/>
        <v>58719531.529999994</v>
      </c>
      <c r="K352" s="64">
        <f t="shared" si="75"/>
        <v>6635355.799999997</v>
      </c>
    </row>
    <row r="353" spans="1:11" s="759" customFormat="1">
      <c r="A353" s="117">
        <f t="shared" si="72"/>
        <v>272</v>
      </c>
      <c r="B353" s="722" t="s">
        <v>207</v>
      </c>
      <c r="C353" s="720">
        <v>2016</v>
      </c>
      <c r="D353" s="1217">
        <v>1682726</v>
      </c>
      <c r="E353" s="64">
        <f>D353*'16-PlantAdditions'!$E$103</f>
        <v>126204.45</v>
      </c>
      <c r="F353" s="64">
        <f t="shared" si="73"/>
        <v>1808930.45</v>
      </c>
      <c r="G353" s="1217">
        <v>0</v>
      </c>
      <c r="H353" s="1217">
        <v>0</v>
      </c>
      <c r="I353" s="64">
        <f>(G353-H353)*'16-PlantAdditions'!$E$103</f>
        <v>0</v>
      </c>
      <c r="J353" s="64">
        <f t="shared" si="74"/>
        <v>60528461.979999997</v>
      </c>
      <c r="K353" s="64">
        <f t="shared" si="75"/>
        <v>8444286.25</v>
      </c>
    </row>
    <row r="354" spans="1:11" s="759" customFormat="1">
      <c r="A354" s="117">
        <f t="shared" si="72"/>
        <v>273</v>
      </c>
      <c r="B354" s="719" t="s">
        <v>210</v>
      </c>
      <c r="C354" s="720">
        <v>2016</v>
      </c>
      <c r="D354" s="1217">
        <v>1826900</v>
      </c>
      <c r="E354" s="64">
        <f>D354*'16-PlantAdditions'!$E$103</f>
        <v>137017.5</v>
      </c>
      <c r="F354" s="64">
        <f t="shared" si="73"/>
        <v>1963917.5</v>
      </c>
      <c r="G354" s="1217">
        <v>0</v>
      </c>
      <c r="H354" s="1217">
        <v>0</v>
      </c>
      <c r="I354" s="64">
        <f>(G354-H354)*'16-PlantAdditions'!$E$103</f>
        <v>0</v>
      </c>
      <c r="J354" s="64">
        <f t="shared" si="74"/>
        <v>62492379.479999997</v>
      </c>
      <c r="K354" s="64">
        <f t="shared" si="75"/>
        <v>10408203.75</v>
      </c>
    </row>
    <row r="355" spans="1:11" s="759" customFormat="1">
      <c r="A355" s="117">
        <f t="shared" si="72"/>
        <v>274</v>
      </c>
      <c r="B355" s="719" t="s">
        <v>209</v>
      </c>
      <c r="C355" s="720">
        <v>2016</v>
      </c>
      <c r="D355" s="1217">
        <v>1613121</v>
      </c>
      <c r="E355" s="64">
        <f>D355*'16-PlantAdditions'!$E$103</f>
        <v>120984.075</v>
      </c>
      <c r="F355" s="64">
        <f t="shared" si="73"/>
        <v>1734105.075</v>
      </c>
      <c r="G355" s="1217">
        <v>0</v>
      </c>
      <c r="H355" s="1217">
        <v>0</v>
      </c>
      <c r="I355" s="64">
        <f>(G355-H355)*'16-PlantAdditions'!$E$103</f>
        <v>0</v>
      </c>
      <c r="J355" s="64">
        <f t="shared" si="74"/>
        <v>64226484.555</v>
      </c>
      <c r="K355" s="64">
        <f t="shared" si="75"/>
        <v>12142308.825000003</v>
      </c>
    </row>
    <row r="356" spans="1:11" s="759" customFormat="1">
      <c r="A356" s="117">
        <f t="shared" si="72"/>
        <v>275</v>
      </c>
      <c r="B356" s="719" t="s">
        <v>199</v>
      </c>
      <c r="C356" s="720">
        <v>2016</v>
      </c>
      <c r="D356" s="1217">
        <v>1560261</v>
      </c>
      <c r="E356" s="64">
        <f>D356*'16-PlantAdditions'!$E$103</f>
        <v>117019.575</v>
      </c>
      <c r="F356" s="64">
        <f t="shared" si="73"/>
        <v>1677280.575</v>
      </c>
      <c r="G356" s="1217">
        <v>0</v>
      </c>
      <c r="H356" s="1217">
        <v>0</v>
      </c>
      <c r="I356" s="64">
        <f>(G356-H356)*'16-PlantAdditions'!$E$103</f>
        <v>0</v>
      </c>
      <c r="J356" s="64">
        <f t="shared" si="74"/>
        <v>65903765.130000003</v>
      </c>
      <c r="K356" s="64">
        <f t="shared" si="75"/>
        <v>13819589.400000006</v>
      </c>
    </row>
    <row r="357" spans="1:11" s="759" customFormat="1">
      <c r="A357" s="117">
        <f t="shared" si="72"/>
        <v>276</v>
      </c>
      <c r="B357" s="719" t="s">
        <v>200</v>
      </c>
      <c r="C357" s="720">
        <v>2017</v>
      </c>
      <c r="D357" s="1217">
        <v>3287976.730769231</v>
      </c>
      <c r="E357" s="64">
        <f>D357*'16-PlantAdditions'!$E$103</f>
        <v>246598.25480769231</v>
      </c>
      <c r="F357" s="64">
        <f t="shared" si="73"/>
        <v>3534574.9855769235</v>
      </c>
      <c r="G357" s="1217">
        <v>0</v>
      </c>
      <c r="H357" s="1217">
        <v>0</v>
      </c>
      <c r="I357" s="64">
        <f>(G357-H357)*'16-PlantAdditions'!$E$103</f>
        <v>0</v>
      </c>
      <c r="J357" s="64">
        <f t="shared" si="74"/>
        <v>69438340.115576923</v>
      </c>
      <c r="K357" s="64">
        <f t="shared" si="75"/>
        <v>17354164.385576926</v>
      </c>
    </row>
    <row r="358" spans="1:11" s="759" customFormat="1">
      <c r="A358" s="117">
        <f t="shared" si="72"/>
        <v>277</v>
      </c>
      <c r="B358" s="722" t="s">
        <v>201</v>
      </c>
      <c r="C358" s="720">
        <v>2017</v>
      </c>
      <c r="D358" s="1217">
        <v>15836767.423076922</v>
      </c>
      <c r="E358" s="64">
        <f>D358*'16-PlantAdditions'!$E$103</f>
        <v>1187757.5567307691</v>
      </c>
      <c r="F358" s="64">
        <f t="shared" si="73"/>
        <v>17024524.97980769</v>
      </c>
      <c r="G358" s="1217">
        <v>0</v>
      </c>
      <c r="H358" s="1217">
        <v>0</v>
      </c>
      <c r="I358" s="64">
        <f>(G358-H358)*'16-PlantAdditions'!$E$103</f>
        <v>0</v>
      </c>
      <c r="J358" s="64">
        <f t="shared" si="74"/>
        <v>86462865.095384613</v>
      </c>
      <c r="K358" s="64">
        <f t="shared" si="75"/>
        <v>34378689.365384616</v>
      </c>
    </row>
    <row r="359" spans="1:11" s="759" customFormat="1">
      <c r="A359" s="117">
        <f t="shared" si="72"/>
        <v>278</v>
      </c>
      <c r="B359" s="722" t="s">
        <v>214</v>
      </c>
      <c r="C359" s="720">
        <v>2017</v>
      </c>
      <c r="D359" s="1217">
        <v>6836767.4230769239</v>
      </c>
      <c r="E359" s="64">
        <f>D359*'16-PlantAdditions'!$E$103</f>
        <v>512757.55673076928</v>
      </c>
      <c r="F359" s="64">
        <f t="shared" si="73"/>
        <v>7349524.9798076935</v>
      </c>
      <c r="G359" s="1217">
        <v>0</v>
      </c>
      <c r="H359" s="1217">
        <v>0</v>
      </c>
      <c r="I359" s="64">
        <f>(G359-H359)*'16-PlantAdditions'!$E$103</f>
        <v>0</v>
      </c>
      <c r="J359" s="64">
        <f t="shared" si="74"/>
        <v>93812390.075192302</v>
      </c>
      <c r="K359" s="64">
        <f t="shared" si="75"/>
        <v>41728214.345192306</v>
      </c>
    </row>
    <row r="360" spans="1:11" s="759" customFormat="1">
      <c r="A360" s="117">
        <f t="shared" si="72"/>
        <v>279</v>
      </c>
      <c r="B360" s="719" t="s">
        <v>202</v>
      </c>
      <c r="C360" s="720">
        <v>2017</v>
      </c>
      <c r="D360" s="1217">
        <v>7836767.4230769239</v>
      </c>
      <c r="E360" s="64">
        <f>D360*'16-PlantAdditions'!$E$103</f>
        <v>587757.55673076923</v>
      </c>
      <c r="F360" s="64">
        <f t="shared" si="73"/>
        <v>8424524.9798076935</v>
      </c>
      <c r="G360" s="1217">
        <v>0</v>
      </c>
      <c r="H360" s="1217">
        <v>0</v>
      </c>
      <c r="I360" s="64">
        <f>(G360-H360)*'16-PlantAdditions'!$E$103</f>
        <v>0</v>
      </c>
      <c r="J360" s="64">
        <f t="shared" si="74"/>
        <v>102236915.05499999</v>
      </c>
      <c r="K360" s="64">
        <f t="shared" si="75"/>
        <v>50152739.324999996</v>
      </c>
    </row>
    <row r="361" spans="1:11" s="759" customFormat="1">
      <c r="A361" s="117">
        <f t="shared" si="72"/>
        <v>280</v>
      </c>
      <c r="B361" s="722" t="s">
        <v>203</v>
      </c>
      <c r="C361" s="720">
        <v>2017</v>
      </c>
      <c r="D361" s="1217">
        <v>16972000</v>
      </c>
      <c r="E361" s="64">
        <f>D361*'16-PlantAdditions'!$E$103</f>
        <v>1272900</v>
      </c>
      <c r="F361" s="64">
        <f t="shared" si="73"/>
        <v>18244900</v>
      </c>
      <c r="G361" s="1217">
        <v>0</v>
      </c>
      <c r="H361" s="1217">
        <v>0</v>
      </c>
      <c r="I361" s="64">
        <f>(G361-H361)*'16-PlantAdditions'!$E$103</f>
        <v>0</v>
      </c>
      <c r="J361" s="64">
        <f t="shared" si="74"/>
        <v>120481815.05499999</v>
      </c>
      <c r="K361" s="64">
        <f t="shared" si="75"/>
        <v>68397639.324999988</v>
      </c>
    </row>
    <row r="362" spans="1:11" s="759" customFormat="1">
      <c r="A362" s="117">
        <f t="shared" si="72"/>
        <v>281</v>
      </c>
      <c r="B362" s="722" t="s">
        <v>1663</v>
      </c>
      <c r="C362" s="720">
        <v>2017</v>
      </c>
      <c r="D362" s="1217">
        <v>26972000</v>
      </c>
      <c r="E362" s="64">
        <f>D362*'16-PlantAdditions'!$E$103</f>
        <v>2022900</v>
      </c>
      <c r="F362" s="64">
        <f t="shared" si="73"/>
        <v>28994900</v>
      </c>
      <c r="G362" s="1217">
        <v>0</v>
      </c>
      <c r="H362" s="1217">
        <v>0</v>
      </c>
      <c r="I362" s="64">
        <f>(G362-H362)*'16-PlantAdditions'!$E$103</f>
        <v>0</v>
      </c>
      <c r="J362" s="64">
        <f t="shared" si="74"/>
        <v>149476715.05500001</v>
      </c>
      <c r="K362" s="64">
        <f t="shared" si="75"/>
        <v>97392539.325000018</v>
      </c>
    </row>
    <row r="363" spans="1:11" s="759" customFormat="1">
      <c r="A363" s="117">
        <f t="shared" si="72"/>
        <v>282</v>
      </c>
      <c r="B363" s="719" t="s">
        <v>205</v>
      </c>
      <c r="C363" s="720">
        <v>2017</v>
      </c>
      <c r="D363" s="1217">
        <v>36940000</v>
      </c>
      <c r="E363" s="64">
        <f>D363*'16-PlantAdditions'!$E$103</f>
        <v>2770500</v>
      </c>
      <c r="F363" s="64">
        <f t="shared" si="73"/>
        <v>39710500</v>
      </c>
      <c r="G363" s="1217">
        <v>0</v>
      </c>
      <c r="H363" s="1217">
        <v>0</v>
      </c>
      <c r="I363" s="64">
        <f>(G363-H363)*'16-PlantAdditions'!$E$103</f>
        <v>0</v>
      </c>
      <c r="J363" s="64">
        <f t="shared" si="74"/>
        <v>189187215.05500001</v>
      </c>
      <c r="K363" s="64">
        <f t="shared" si="75"/>
        <v>137103039.32500002</v>
      </c>
    </row>
    <row r="364" spans="1:11" s="759" customFormat="1">
      <c r="A364" s="117">
        <f t="shared" si="72"/>
        <v>283</v>
      </c>
      <c r="B364" s="722" t="s">
        <v>206</v>
      </c>
      <c r="C364" s="720">
        <v>2017</v>
      </c>
      <c r="D364" s="1217">
        <v>36940000</v>
      </c>
      <c r="E364" s="64">
        <f>D364*'16-PlantAdditions'!$E$103</f>
        <v>2770500</v>
      </c>
      <c r="F364" s="64">
        <f t="shared" si="73"/>
        <v>39710500</v>
      </c>
      <c r="G364" s="1217">
        <v>0</v>
      </c>
      <c r="H364" s="1217">
        <v>0</v>
      </c>
      <c r="I364" s="64">
        <f>(G364-H364)*'16-PlantAdditions'!$E$103</f>
        <v>0</v>
      </c>
      <c r="J364" s="64">
        <f t="shared" si="74"/>
        <v>228897715.05500001</v>
      </c>
      <c r="K364" s="64">
        <f t="shared" si="75"/>
        <v>176813539.32500002</v>
      </c>
    </row>
    <row r="365" spans="1:11" s="759" customFormat="1">
      <c r="A365" s="117">
        <f t="shared" si="72"/>
        <v>284</v>
      </c>
      <c r="B365" s="722" t="s">
        <v>207</v>
      </c>
      <c r="C365" s="720">
        <v>2017</v>
      </c>
      <c r="D365" s="1217">
        <v>36905000</v>
      </c>
      <c r="E365" s="64">
        <f>D365*'16-PlantAdditions'!$E$103</f>
        <v>2767875</v>
      </c>
      <c r="F365" s="64">
        <f t="shared" si="73"/>
        <v>39672875</v>
      </c>
      <c r="G365" s="1217">
        <v>0</v>
      </c>
      <c r="H365" s="1217">
        <v>0</v>
      </c>
      <c r="I365" s="64">
        <f>(G365-H365)*'16-PlantAdditions'!$E$103</f>
        <v>0</v>
      </c>
      <c r="J365" s="64">
        <f t="shared" si="74"/>
        <v>268570590.05500001</v>
      </c>
      <c r="K365" s="64">
        <f t="shared" si="75"/>
        <v>216486414.32500002</v>
      </c>
    </row>
    <row r="366" spans="1:11" s="759" customFormat="1">
      <c r="A366" s="117">
        <f t="shared" si="72"/>
        <v>285</v>
      </c>
      <c r="B366" s="722" t="s">
        <v>210</v>
      </c>
      <c r="C366" s="720">
        <v>2017</v>
      </c>
      <c r="D366" s="1217">
        <v>33750000</v>
      </c>
      <c r="E366" s="64">
        <f>D366*'16-PlantAdditions'!$E$103</f>
        <v>2531250</v>
      </c>
      <c r="F366" s="64">
        <f t="shared" ref="F366:F368" si="76">E366+D366</f>
        <v>36281250</v>
      </c>
      <c r="G366" s="1217">
        <v>0</v>
      </c>
      <c r="H366" s="1217">
        <v>0</v>
      </c>
      <c r="I366" s="64">
        <f>(G366-H366)*'16-PlantAdditions'!$E$103</f>
        <v>0</v>
      </c>
      <c r="J366" s="64">
        <f t="shared" ref="J366:J368" si="77">J365+F366-G366-I366</f>
        <v>304851840.05500001</v>
      </c>
      <c r="K366" s="64">
        <f t="shared" si="75"/>
        <v>252767664.32500002</v>
      </c>
    </row>
    <row r="367" spans="1:11" s="759" customFormat="1">
      <c r="A367" s="117">
        <f t="shared" si="72"/>
        <v>286</v>
      </c>
      <c r="B367" s="722" t="s">
        <v>209</v>
      </c>
      <c r="C367" s="720">
        <v>2017</v>
      </c>
      <c r="D367" s="1217">
        <v>15488000</v>
      </c>
      <c r="E367" s="64">
        <f>D367*'16-PlantAdditions'!$E$103</f>
        <v>1161600</v>
      </c>
      <c r="F367" s="64">
        <f t="shared" si="76"/>
        <v>16649600</v>
      </c>
      <c r="G367" s="1217">
        <v>0</v>
      </c>
      <c r="H367" s="1217">
        <v>0</v>
      </c>
      <c r="I367" s="64">
        <f>(G367-H367)*'16-PlantAdditions'!$E$103</f>
        <v>0</v>
      </c>
      <c r="J367" s="64">
        <f t="shared" si="77"/>
        <v>321501440.05500001</v>
      </c>
      <c r="K367" s="64">
        <f t="shared" si="75"/>
        <v>269417264.32499999</v>
      </c>
    </row>
    <row r="368" spans="1:11" s="759" customFormat="1">
      <c r="A368" s="117">
        <f t="shared" si="72"/>
        <v>287</v>
      </c>
      <c r="B368" s="722" t="s">
        <v>199</v>
      </c>
      <c r="C368" s="720">
        <v>2017</v>
      </c>
      <c r="D368" s="1217">
        <v>15517000</v>
      </c>
      <c r="E368" s="64">
        <f>D368*'16-PlantAdditions'!$E$103</f>
        <v>1163775</v>
      </c>
      <c r="F368" s="64">
        <f t="shared" si="76"/>
        <v>16680775</v>
      </c>
      <c r="G368" s="1217">
        <v>0</v>
      </c>
      <c r="H368" s="1217">
        <v>0</v>
      </c>
      <c r="I368" s="64">
        <f>(G368-H368)*'16-PlantAdditions'!$E$103</f>
        <v>0</v>
      </c>
      <c r="J368" s="64">
        <f t="shared" si="77"/>
        <v>338182215.05500001</v>
      </c>
      <c r="K368" s="953">
        <f t="shared" si="75"/>
        <v>286098039.32499999</v>
      </c>
    </row>
    <row r="369" spans="1:11" s="759" customFormat="1">
      <c r="A369" s="117">
        <f t="shared" si="72"/>
        <v>288</v>
      </c>
      <c r="B369"/>
      <c r="C369" s="758" t="s">
        <v>1838</v>
      </c>
      <c r="D369"/>
      <c r="E369"/>
      <c r="F369"/>
      <c r="G369"/>
      <c r="H369"/>
      <c r="I369"/>
      <c r="J369"/>
      <c r="K369" s="79">
        <f>AVERAGE(K356:K368)</f>
        <v>127839195.10931954</v>
      </c>
    </row>
    <row r="370" spans="1:11" s="759" customFormat="1">
      <c r="A370" s="117"/>
      <c r="B370"/>
      <c r="C370" s="758"/>
      <c r="D370"/>
      <c r="E370"/>
      <c r="F370"/>
      <c r="G370"/>
      <c r="H370"/>
      <c r="I370"/>
      <c r="J370"/>
      <c r="K370" s="79"/>
    </row>
    <row r="371" spans="1:11" s="759" customFormat="1">
      <c r="B371" s="760" t="s">
        <v>2365</v>
      </c>
      <c r="D371" s="765" t="s">
        <v>2366</v>
      </c>
      <c r="E371" s="765"/>
      <c r="F371" s="766"/>
    </row>
    <row r="372" spans="1:11" s="759" customFormat="1">
      <c r="A372" s="754"/>
      <c r="B372" s="754"/>
      <c r="C372" s="754"/>
      <c r="D372" s="754" t="s">
        <v>394</v>
      </c>
      <c r="E372" s="754" t="s">
        <v>378</v>
      </c>
      <c r="F372" s="754" t="s">
        <v>379</v>
      </c>
      <c r="G372" s="754" t="s">
        <v>380</v>
      </c>
      <c r="H372" s="754" t="s">
        <v>381</v>
      </c>
      <c r="I372" s="754" t="s">
        <v>382</v>
      </c>
      <c r="J372" s="754" t="s">
        <v>383</v>
      </c>
      <c r="K372" s="754" t="s">
        <v>596</v>
      </c>
    </row>
    <row r="373" spans="1:11" s="759" customFormat="1" ht="38.25">
      <c r="D373" s="761"/>
      <c r="E373" s="762" t="s">
        <v>2594</v>
      </c>
      <c r="F373" s="763" t="s">
        <v>2346</v>
      </c>
      <c r="G373" s="528"/>
      <c r="H373" s="761"/>
      <c r="I373" s="762" t="s">
        <v>2595</v>
      </c>
      <c r="J373" s="762" t="s">
        <v>2347</v>
      </c>
      <c r="K373" s="762" t="s">
        <v>2348</v>
      </c>
    </row>
    <row r="374" spans="1:11" s="759" customFormat="1">
      <c r="D374" s="761"/>
      <c r="E374" s="762"/>
      <c r="F374" s="763"/>
      <c r="G374" s="4" t="str">
        <f>G51</f>
        <v>Unloaded</v>
      </c>
      <c r="H374" s="761"/>
      <c r="I374" s="762"/>
      <c r="J374" s="762"/>
      <c r="K374" s="762"/>
    </row>
    <row r="375" spans="1:11" s="759" customFormat="1">
      <c r="A375" s="756"/>
      <c r="B375" s="756"/>
      <c r="C375" s="756"/>
      <c r="D375" s="756" t="str">
        <f>D$52</f>
        <v>Forecast</v>
      </c>
      <c r="E375" s="756" t="str">
        <f t="shared" ref="E375:J375" si="78">E$52</f>
        <v>Corporate</v>
      </c>
      <c r="F375" s="756" t="str">
        <f t="shared" si="78"/>
        <v xml:space="preserve">Total </v>
      </c>
      <c r="G375" s="4" t="str">
        <f>G52</f>
        <v>Total</v>
      </c>
      <c r="H375" s="756" t="str">
        <f t="shared" si="78"/>
        <v>Prior Period</v>
      </c>
      <c r="I375" s="756" t="str">
        <f t="shared" si="78"/>
        <v>Over Heads</v>
      </c>
      <c r="J375" s="756" t="str">
        <f t="shared" si="78"/>
        <v>Forecast</v>
      </c>
      <c r="K375" s="756" t="str">
        <f>K$52</f>
        <v>Forecast Period</v>
      </c>
    </row>
    <row r="376" spans="1:11" s="759" customFormat="1">
      <c r="A376" s="1008" t="s">
        <v>360</v>
      </c>
      <c r="B376" s="718" t="s">
        <v>211</v>
      </c>
      <c r="C376" s="718" t="s">
        <v>212</v>
      </c>
      <c r="D376" s="754" t="str">
        <f>D$53</f>
        <v>Expenditures</v>
      </c>
      <c r="E376" s="754" t="str">
        <f t="shared" ref="E376:J376" si="79">E$53</f>
        <v>Overheads</v>
      </c>
      <c r="F376" s="754" t="str">
        <f t="shared" si="79"/>
        <v>CWIP Exp</v>
      </c>
      <c r="G376" s="91" t="str">
        <f>G53</f>
        <v>Plant Adds</v>
      </c>
      <c r="H376" s="754" t="str">
        <f t="shared" si="79"/>
        <v>CWIP Closed</v>
      </c>
      <c r="I376" s="754" t="str">
        <f t="shared" si="79"/>
        <v>Closed to PIS</v>
      </c>
      <c r="J376" s="754" t="str">
        <f t="shared" si="79"/>
        <v>Period CWIP</v>
      </c>
      <c r="K376" s="754" t="str">
        <f>K$53</f>
        <v>Incremental CWIP</v>
      </c>
    </row>
    <row r="377" spans="1:11" s="759" customFormat="1">
      <c r="A377" s="117">
        <f>A369+1</f>
        <v>289</v>
      </c>
      <c r="B377" s="719" t="s">
        <v>199</v>
      </c>
      <c r="C377" s="720">
        <v>2015</v>
      </c>
      <c r="D377" s="763" t="s">
        <v>86</v>
      </c>
      <c r="E377" s="763" t="s">
        <v>86</v>
      </c>
      <c r="F377" s="763" t="s">
        <v>86</v>
      </c>
      <c r="G377" s="763" t="s">
        <v>86</v>
      </c>
      <c r="H377" s="763" t="s">
        <v>86</v>
      </c>
      <c r="I377" s="763" t="s">
        <v>86</v>
      </c>
      <c r="J377" s="64">
        <v>0</v>
      </c>
      <c r="K377" s="763" t="s">
        <v>86</v>
      </c>
    </row>
    <row r="378" spans="1:11" s="759" customFormat="1">
      <c r="A378" s="117">
        <f>A377+1</f>
        <v>290</v>
      </c>
      <c r="B378" s="719" t="s">
        <v>200</v>
      </c>
      <c r="C378" s="720">
        <v>2016</v>
      </c>
      <c r="D378" s="114"/>
      <c r="E378" s="64">
        <f>D378*'16-PlantAdditions'!$E$103</f>
        <v>0</v>
      </c>
      <c r="F378" s="64">
        <f>E378+D378</f>
        <v>0</v>
      </c>
      <c r="G378" s="114"/>
      <c r="H378" s="114"/>
      <c r="I378" s="64">
        <f>(G378-H378)*'16-PlantAdditions'!$E$103</f>
        <v>0</v>
      </c>
      <c r="J378" s="64">
        <f>J377+F378-G378-I378</f>
        <v>0</v>
      </c>
      <c r="K378" s="64">
        <f>J378-$J$377</f>
        <v>0</v>
      </c>
    </row>
    <row r="379" spans="1:11" s="759" customFormat="1">
      <c r="A379" s="117">
        <f t="shared" ref="A379:A402" si="80">A378+1</f>
        <v>291</v>
      </c>
      <c r="B379" s="722" t="s">
        <v>201</v>
      </c>
      <c r="C379" s="720">
        <v>2016</v>
      </c>
      <c r="D379" s="114"/>
      <c r="E379" s="64">
        <f>D379*'16-PlantAdditions'!$E$103</f>
        <v>0</v>
      </c>
      <c r="F379" s="64">
        <f t="shared" ref="F379:F398" si="81">E379+D379</f>
        <v>0</v>
      </c>
      <c r="G379" s="114"/>
      <c r="H379" s="114"/>
      <c r="I379" s="64">
        <f>(G379-H379)*'16-PlantAdditions'!$E$103</f>
        <v>0</v>
      </c>
      <c r="J379" s="64">
        <f t="shared" ref="J379:J398" si="82">J378+F379-G379-I379</f>
        <v>0</v>
      </c>
      <c r="K379" s="64">
        <f t="shared" ref="K379:K401" si="83">J379-$J$377</f>
        <v>0</v>
      </c>
    </row>
    <row r="380" spans="1:11" s="759" customFormat="1">
      <c r="A380" s="117">
        <f t="shared" si="80"/>
        <v>292</v>
      </c>
      <c r="B380" s="722" t="s">
        <v>214</v>
      </c>
      <c r="C380" s="720">
        <v>2016</v>
      </c>
      <c r="D380" s="114"/>
      <c r="E380" s="64">
        <f>D380*'16-PlantAdditions'!$E$103</f>
        <v>0</v>
      </c>
      <c r="F380" s="64">
        <f t="shared" si="81"/>
        <v>0</v>
      </c>
      <c r="G380" s="114"/>
      <c r="H380" s="114"/>
      <c r="I380" s="64">
        <f>(G380-H380)*'16-PlantAdditions'!$E$103</f>
        <v>0</v>
      </c>
      <c r="J380" s="64">
        <f t="shared" si="82"/>
        <v>0</v>
      </c>
      <c r="K380" s="64">
        <f t="shared" si="83"/>
        <v>0</v>
      </c>
    </row>
    <row r="381" spans="1:11" s="759" customFormat="1">
      <c r="A381" s="117">
        <f t="shared" si="80"/>
        <v>293</v>
      </c>
      <c r="B381" s="719" t="s">
        <v>202</v>
      </c>
      <c r="C381" s="720">
        <v>2016</v>
      </c>
      <c r="D381" s="114"/>
      <c r="E381" s="64">
        <f>D381*'16-PlantAdditions'!$E$103</f>
        <v>0</v>
      </c>
      <c r="F381" s="64">
        <f t="shared" si="81"/>
        <v>0</v>
      </c>
      <c r="G381" s="114"/>
      <c r="H381" s="114"/>
      <c r="I381" s="64">
        <f>(G381-H381)*'16-PlantAdditions'!$E$103</f>
        <v>0</v>
      </c>
      <c r="J381" s="64">
        <f t="shared" si="82"/>
        <v>0</v>
      </c>
      <c r="K381" s="64">
        <f t="shared" si="83"/>
        <v>0</v>
      </c>
    </row>
    <row r="382" spans="1:11" s="759" customFormat="1">
      <c r="A382" s="117">
        <f t="shared" si="80"/>
        <v>294</v>
      </c>
      <c r="B382" s="722" t="s">
        <v>203</v>
      </c>
      <c r="C382" s="720">
        <v>2016</v>
      </c>
      <c r="D382" s="114"/>
      <c r="E382" s="64">
        <f>D382*'16-PlantAdditions'!$E$103</f>
        <v>0</v>
      </c>
      <c r="F382" s="64">
        <f t="shared" si="81"/>
        <v>0</v>
      </c>
      <c r="G382" s="114"/>
      <c r="H382" s="114"/>
      <c r="I382" s="64">
        <f>(G382-H382)*'16-PlantAdditions'!$E$103</f>
        <v>0</v>
      </c>
      <c r="J382" s="64">
        <f t="shared" si="82"/>
        <v>0</v>
      </c>
      <c r="K382" s="64">
        <f t="shared" si="83"/>
        <v>0</v>
      </c>
    </row>
    <row r="383" spans="1:11" s="759" customFormat="1">
      <c r="A383" s="117">
        <f t="shared" si="80"/>
        <v>295</v>
      </c>
      <c r="B383" s="722" t="s">
        <v>1663</v>
      </c>
      <c r="C383" s="720">
        <v>2016</v>
      </c>
      <c r="D383" s="114"/>
      <c r="E383" s="64">
        <f>D383*'16-PlantAdditions'!$E$103</f>
        <v>0</v>
      </c>
      <c r="F383" s="64">
        <f t="shared" si="81"/>
        <v>0</v>
      </c>
      <c r="G383" s="114"/>
      <c r="H383" s="114"/>
      <c r="I383" s="64">
        <f>(G383-H383)*'16-PlantAdditions'!$E$103</f>
        <v>0</v>
      </c>
      <c r="J383" s="64">
        <f t="shared" si="82"/>
        <v>0</v>
      </c>
      <c r="K383" s="64">
        <f t="shared" si="83"/>
        <v>0</v>
      </c>
    </row>
    <row r="384" spans="1:11" s="759" customFormat="1">
      <c r="A384" s="117">
        <f t="shared" si="80"/>
        <v>296</v>
      </c>
      <c r="B384" s="719" t="s">
        <v>205</v>
      </c>
      <c r="C384" s="720">
        <v>2016</v>
      </c>
      <c r="D384" s="114"/>
      <c r="E384" s="64">
        <f>D384*'16-PlantAdditions'!$E$103</f>
        <v>0</v>
      </c>
      <c r="F384" s="64">
        <f t="shared" si="81"/>
        <v>0</v>
      </c>
      <c r="G384" s="114"/>
      <c r="H384" s="114"/>
      <c r="I384" s="64">
        <f>(G384-H384)*'16-PlantAdditions'!$E$103</f>
        <v>0</v>
      </c>
      <c r="J384" s="64">
        <f t="shared" si="82"/>
        <v>0</v>
      </c>
      <c r="K384" s="64">
        <f t="shared" si="83"/>
        <v>0</v>
      </c>
    </row>
    <row r="385" spans="1:11" s="759" customFormat="1">
      <c r="A385" s="117">
        <f t="shared" si="80"/>
        <v>297</v>
      </c>
      <c r="B385" s="722" t="s">
        <v>206</v>
      </c>
      <c r="C385" s="720">
        <v>2016</v>
      </c>
      <c r="D385" s="114"/>
      <c r="E385" s="64">
        <f>D385*'16-PlantAdditions'!$E$103</f>
        <v>0</v>
      </c>
      <c r="F385" s="64">
        <f t="shared" si="81"/>
        <v>0</v>
      </c>
      <c r="G385" s="114"/>
      <c r="H385" s="114"/>
      <c r="I385" s="64">
        <f>(G385-H385)*'16-PlantAdditions'!$E$103</f>
        <v>0</v>
      </c>
      <c r="J385" s="64">
        <f t="shared" si="82"/>
        <v>0</v>
      </c>
      <c r="K385" s="64">
        <f t="shared" si="83"/>
        <v>0</v>
      </c>
    </row>
    <row r="386" spans="1:11" s="759" customFormat="1">
      <c r="A386" s="117">
        <f t="shared" si="80"/>
        <v>298</v>
      </c>
      <c r="B386" s="722" t="s">
        <v>207</v>
      </c>
      <c r="C386" s="720">
        <v>2016</v>
      </c>
      <c r="D386" s="114"/>
      <c r="E386" s="64">
        <f>D386*'16-PlantAdditions'!$E$103</f>
        <v>0</v>
      </c>
      <c r="F386" s="64">
        <f t="shared" si="81"/>
        <v>0</v>
      </c>
      <c r="G386" s="114"/>
      <c r="H386" s="114"/>
      <c r="I386" s="64">
        <f>(G386-H386)*'16-PlantAdditions'!$E$103</f>
        <v>0</v>
      </c>
      <c r="J386" s="64">
        <f t="shared" si="82"/>
        <v>0</v>
      </c>
      <c r="K386" s="64">
        <f t="shared" si="83"/>
        <v>0</v>
      </c>
    </row>
    <row r="387" spans="1:11" s="759" customFormat="1">
      <c r="A387" s="117">
        <f t="shared" si="80"/>
        <v>299</v>
      </c>
      <c r="B387" s="719" t="s">
        <v>210</v>
      </c>
      <c r="C387" s="720">
        <v>2016</v>
      </c>
      <c r="D387" s="114"/>
      <c r="E387" s="64">
        <f>D387*'16-PlantAdditions'!$E$103</f>
        <v>0</v>
      </c>
      <c r="F387" s="64">
        <f t="shared" si="81"/>
        <v>0</v>
      </c>
      <c r="G387" s="114"/>
      <c r="H387" s="114"/>
      <c r="I387" s="64">
        <f>(G387-H387)*'16-PlantAdditions'!$E$103</f>
        <v>0</v>
      </c>
      <c r="J387" s="64">
        <f t="shared" si="82"/>
        <v>0</v>
      </c>
      <c r="K387" s="64">
        <f t="shared" si="83"/>
        <v>0</v>
      </c>
    </row>
    <row r="388" spans="1:11" s="759" customFormat="1">
      <c r="A388" s="117">
        <f t="shared" si="80"/>
        <v>300</v>
      </c>
      <c r="B388" s="719" t="s">
        <v>209</v>
      </c>
      <c r="C388" s="720">
        <v>2016</v>
      </c>
      <c r="D388" s="114"/>
      <c r="E388" s="64">
        <f>D388*'16-PlantAdditions'!$E$103</f>
        <v>0</v>
      </c>
      <c r="F388" s="64">
        <f t="shared" si="81"/>
        <v>0</v>
      </c>
      <c r="G388" s="114"/>
      <c r="H388" s="114"/>
      <c r="I388" s="64">
        <f>(G388-H388)*'16-PlantAdditions'!$E$103</f>
        <v>0</v>
      </c>
      <c r="J388" s="64">
        <f t="shared" si="82"/>
        <v>0</v>
      </c>
      <c r="K388" s="64">
        <f t="shared" si="83"/>
        <v>0</v>
      </c>
    </row>
    <row r="389" spans="1:11" s="759" customFormat="1">
      <c r="A389" s="117">
        <f t="shared" si="80"/>
        <v>301</v>
      </c>
      <c r="B389" s="719" t="s">
        <v>199</v>
      </c>
      <c r="C389" s="720">
        <v>2016</v>
      </c>
      <c r="D389" s="114"/>
      <c r="E389" s="64">
        <f>D389*'16-PlantAdditions'!$E$103</f>
        <v>0</v>
      </c>
      <c r="F389" s="64">
        <f t="shared" si="81"/>
        <v>0</v>
      </c>
      <c r="G389" s="114"/>
      <c r="H389" s="114"/>
      <c r="I389" s="64">
        <f>(G389-H389)*'16-PlantAdditions'!$E$103</f>
        <v>0</v>
      </c>
      <c r="J389" s="64">
        <f t="shared" si="82"/>
        <v>0</v>
      </c>
      <c r="K389" s="64">
        <f t="shared" si="83"/>
        <v>0</v>
      </c>
    </row>
    <row r="390" spans="1:11" s="759" customFormat="1">
      <c r="A390" s="117">
        <f t="shared" si="80"/>
        <v>302</v>
      </c>
      <c r="B390" s="719" t="s">
        <v>200</v>
      </c>
      <c r="C390" s="720">
        <v>2017</v>
      </c>
      <c r="D390" s="114"/>
      <c r="E390" s="64">
        <f>D390*'16-PlantAdditions'!$E$103</f>
        <v>0</v>
      </c>
      <c r="F390" s="64">
        <f t="shared" si="81"/>
        <v>0</v>
      </c>
      <c r="G390" s="114"/>
      <c r="H390" s="114"/>
      <c r="I390" s="64">
        <f>(G390-H390)*'16-PlantAdditions'!$E$103</f>
        <v>0</v>
      </c>
      <c r="J390" s="64">
        <f t="shared" si="82"/>
        <v>0</v>
      </c>
      <c r="K390" s="64">
        <f t="shared" si="83"/>
        <v>0</v>
      </c>
    </row>
    <row r="391" spans="1:11" s="759" customFormat="1">
      <c r="A391" s="117">
        <f t="shared" si="80"/>
        <v>303</v>
      </c>
      <c r="B391" s="722" t="s">
        <v>201</v>
      </c>
      <c r="C391" s="720">
        <v>2017</v>
      </c>
      <c r="D391" s="114"/>
      <c r="E391" s="64">
        <f>D391*'16-PlantAdditions'!$E$103</f>
        <v>0</v>
      </c>
      <c r="F391" s="64">
        <f t="shared" si="81"/>
        <v>0</v>
      </c>
      <c r="G391" s="114"/>
      <c r="H391" s="114"/>
      <c r="I391" s="64">
        <f>(G391-H391)*'16-PlantAdditions'!$E$103</f>
        <v>0</v>
      </c>
      <c r="J391" s="64">
        <f t="shared" si="82"/>
        <v>0</v>
      </c>
      <c r="K391" s="64">
        <f t="shared" si="83"/>
        <v>0</v>
      </c>
    </row>
    <row r="392" spans="1:11" s="759" customFormat="1">
      <c r="A392" s="117">
        <f t="shared" si="80"/>
        <v>304</v>
      </c>
      <c r="B392" s="722" t="s">
        <v>214</v>
      </c>
      <c r="C392" s="720">
        <v>2017</v>
      </c>
      <c r="D392" s="114"/>
      <c r="E392" s="64">
        <f>D392*'16-PlantAdditions'!$E$103</f>
        <v>0</v>
      </c>
      <c r="F392" s="64">
        <f t="shared" si="81"/>
        <v>0</v>
      </c>
      <c r="G392" s="114"/>
      <c r="H392" s="114"/>
      <c r="I392" s="64">
        <f>(G392-H392)*'16-PlantAdditions'!$E$103</f>
        <v>0</v>
      </c>
      <c r="J392" s="64">
        <f t="shared" si="82"/>
        <v>0</v>
      </c>
      <c r="K392" s="64">
        <f t="shared" si="83"/>
        <v>0</v>
      </c>
    </row>
    <row r="393" spans="1:11" s="759" customFormat="1">
      <c r="A393" s="117">
        <f t="shared" si="80"/>
        <v>305</v>
      </c>
      <c r="B393" s="719" t="s">
        <v>202</v>
      </c>
      <c r="C393" s="720">
        <v>2017</v>
      </c>
      <c r="D393" s="114"/>
      <c r="E393" s="64">
        <f>D393*'16-PlantAdditions'!$E$103</f>
        <v>0</v>
      </c>
      <c r="F393" s="64">
        <f t="shared" si="81"/>
        <v>0</v>
      </c>
      <c r="G393" s="114"/>
      <c r="H393" s="114"/>
      <c r="I393" s="64">
        <f>(G393-H393)*'16-PlantAdditions'!$E$103</f>
        <v>0</v>
      </c>
      <c r="J393" s="64">
        <f t="shared" si="82"/>
        <v>0</v>
      </c>
      <c r="K393" s="64">
        <f t="shared" si="83"/>
        <v>0</v>
      </c>
    </row>
    <row r="394" spans="1:11" s="759" customFormat="1">
      <c r="A394" s="117">
        <f t="shared" si="80"/>
        <v>306</v>
      </c>
      <c r="B394" s="722" t="s">
        <v>203</v>
      </c>
      <c r="C394" s="720">
        <v>2017</v>
      </c>
      <c r="D394" s="114"/>
      <c r="E394" s="64">
        <f>D394*'16-PlantAdditions'!$E$103</f>
        <v>0</v>
      </c>
      <c r="F394" s="64">
        <f t="shared" si="81"/>
        <v>0</v>
      </c>
      <c r="G394" s="114"/>
      <c r="H394" s="114"/>
      <c r="I394" s="64">
        <f>(G394-H394)*'16-PlantAdditions'!$E$103</f>
        <v>0</v>
      </c>
      <c r="J394" s="64">
        <f t="shared" si="82"/>
        <v>0</v>
      </c>
      <c r="K394" s="64">
        <f t="shared" si="83"/>
        <v>0</v>
      </c>
    </row>
    <row r="395" spans="1:11" s="759" customFormat="1">
      <c r="A395" s="117">
        <f t="shared" si="80"/>
        <v>307</v>
      </c>
      <c r="B395" s="722" t="s">
        <v>1663</v>
      </c>
      <c r="C395" s="720">
        <v>2017</v>
      </c>
      <c r="D395" s="114"/>
      <c r="E395" s="64">
        <f>D395*'16-PlantAdditions'!$E$103</f>
        <v>0</v>
      </c>
      <c r="F395" s="64">
        <f t="shared" si="81"/>
        <v>0</v>
      </c>
      <c r="G395" s="114"/>
      <c r="H395" s="114"/>
      <c r="I395" s="64">
        <f>(G395-H395)*'16-PlantAdditions'!$E$103</f>
        <v>0</v>
      </c>
      <c r="J395" s="64">
        <f t="shared" si="82"/>
        <v>0</v>
      </c>
      <c r="K395" s="64">
        <f t="shared" si="83"/>
        <v>0</v>
      </c>
    </row>
    <row r="396" spans="1:11" s="759" customFormat="1">
      <c r="A396" s="117">
        <f t="shared" si="80"/>
        <v>308</v>
      </c>
      <c r="B396" s="719" t="s">
        <v>205</v>
      </c>
      <c r="C396" s="720">
        <v>2017</v>
      </c>
      <c r="D396" s="114"/>
      <c r="E396" s="64">
        <f>D396*'16-PlantAdditions'!$E$103</f>
        <v>0</v>
      </c>
      <c r="F396" s="64">
        <f t="shared" si="81"/>
        <v>0</v>
      </c>
      <c r="G396" s="114"/>
      <c r="H396" s="114"/>
      <c r="I396" s="64">
        <f>(G396-H396)*'16-PlantAdditions'!$E$103</f>
        <v>0</v>
      </c>
      <c r="J396" s="64">
        <f t="shared" si="82"/>
        <v>0</v>
      </c>
      <c r="K396" s="64">
        <f t="shared" si="83"/>
        <v>0</v>
      </c>
    </row>
    <row r="397" spans="1:11" s="759" customFormat="1">
      <c r="A397" s="117">
        <f t="shared" si="80"/>
        <v>309</v>
      </c>
      <c r="B397" s="722" t="s">
        <v>206</v>
      </c>
      <c r="C397" s="720">
        <v>2017</v>
      </c>
      <c r="D397" s="114"/>
      <c r="E397" s="64">
        <f>D397*'16-PlantAdditions'!$E$103</f>
        <v>0</v>
      </c>
      <c r="F397" s="64">
        <f t="shared" si="81"/>
        <v>0</v>
      </c>
      <c r="G397" s="114"/>
      <c r="H397" s="114"/>
      <c r="I397" s="64">
        <f>(G397-H397)*'16-PlantAdditions'!$E$103</f>
        <v>0</v>
      </c>
      <c r="J397" s="64">
        <f t="shared" si="82"/>
        <v>0</v>
      </c>
      <c r="K397" s="64">
        <f t="shared" si="83"/>
        <v>0</v>
      </c>
    </row>
    <row r="398" spans="1:11" s="759" customFormat="1">
      <c r="A398" s="117">
        <f t="shared" si="80"/>
        <v>310</v>
      </c>
      <c r="B398" s="722" t="s">
        <v>207</v>
      </c>
      <c r="C398" s="720">
        <v>2017</v>
      </c>
      <c r="D398" s="114"/>
      <c r="E398" s="64">
        <f>D398*'16-PlantAdditions'!$E$103</f>
        <v>0</v>
      </c>
      <c r="F398" s="64">
        <f t="shared" si="81"/>
        <v>0</v>
      </c>
      <c r="G398" s="114"/>
      <c r="H398" s="114"/>
      <c r="I398" s="64">
        <f>(G398-H398)*'16-PlantAdditions'!$E$103</f>
        <v>0</v>
      </c>
      <c r="J398" s="64">
        <f t="shared" si="82"/>
        <v>0</v>
      </c>
      <c r="K398" s="64">
        <f t="shared" si="83"/>
        <v>0</v>
      </c>
    </row>
    <row r="399" spans="1:11" s="759" customFormat="1">
      <c r="A399" s="117">
        <f t="shared" si="80"/>
        <v>311</v>
      </c>
      <c r="B399" s="722" t="s">
        <v>210</v>
      </c>
      <c r="C399" s="720">
        <v>2017</v>
      </c>
      <c r="D399" s="114"/>
      <c r="E399" s="64">
        <f>D399*'16-PlantAdditions'!$E$103</f>
        <v>0</v>
      </c>
      <c r="F399" s="64">
        <f t="shared" ref="F399:F401" si="84">E399+D399</f>
        <v>0</v>
      </c>
      <c r="G399" s="114"/>
      <c r="H399" s="114"/>
      <c r="I399" s="64">
        <f>(G399-H399)*'16-PlantAdditions'!$E$103</f>
        <v>0</v>
      </c>
      <c r="J399" s="64">
        <f t="shared" ref="J399:J401" si="85">J398+F399-G399-I399</f>
        <v>0</v>
      </c>
      <c r="K399" s="64">
        <f t="shared" si="83"/>
        <v>0</v>
      </c>
    </row>
    <row r="400" spans="1:11" s="759" customFormat="1">
      <c r="A400" s="117">
        <f t="shared" si="80"/>
        <v>312</v>
      </c>
      <c r="B400" s="722" t="s">
        <v>209</v>
      </c>
      <c r="C400" s="720">
        <v>2017</v>
      </c>
      <c r="D400" s="114"/>
      <c r="E400" s="64">
        <f>D400*'16-PlantAdditions'!$E$103</f>
        <v>0</v>
      </c>
      <c r="F400" s="64">
        <f t="shared" si="84"/>
        <v>0</v>
      </c>
      <c r="G400" s="114"/>
      <c r="H400" s="114"/>
      <c r="I400" s="64">
        <f>(G400-H400)*'16-PlantAdditions'!$E$103</f>
        <v>0</v>
      </c>
      <c r="J400" s="64">
        <f t="shared" si="85"/>
        <v>0</v>
      </c>
      <c r="K400" s="64">
        <f t="shared" si="83"/>
        <v>0</v>
      </c>
    </row>
    <row r="401" spans="1:11" s="759" customFormat="1">
      <c r="A401" s="117">
        <f t="shared" si="80"/>
        <v>313</v>
      </c>
      <c r="B401" s="722" t="s">
        <v>199</v>
      </c>
      <c r="C401" s="720">
        <v>2017</v>
      </c>
      <c r="D401" s="114"/>
      <c r="E401" s="64">
        <f>D401*'16-PlantAdditions'!$E$103</f>
        <v>0</v>
      </c>
      <c r="F401" s="64">
        <f t="shared" si="84"/>
        <v>0</v>
      </c>
      <c r="G401" s="114"/>
      <c r="H401" s="114"/>
      <c r="I401" s="64">
        <f>(G401-H401)*'16-PlantAdditions'!$E$103</f>
        <v>0</v>
      </c>
      <c r="J401" s="64">
        <f t="shared" si="85"/>
        <v>0</v>
      </c>
      <c r="K401" s="118">
        <f t="shared" si="83"/>
        <v>0</v>
      </c>
    </row>
    <row r="402" spans="1:11" s="759" customFormat="1">
      <c r="A402" s="117">
        <f t="shared" si="80"/>
        <v>314</v>
      </c>
      <c r="B402"/>
      <c r="C402" s="758" t="s">
        <v>1838</v>
      </c>
      <c r="H402" s="763"/>
      <c r="I402" s="763"/>
      <c r="K402" s="79">
        <f>AVERAGE(K389:K401)</f>
        <v>0</v>
      </c>
    </row>
    <row r="403" spans="1:11" s="759" customFormat="1">
      <c r="A403" s="117"/>
      <c r="B403"/>
      <c r="C403" s="758"/>
      <c r="H403" s="763"/>
      <c r="I403" s="763"/>
      <c r="K403" s="79"/>
    </row>
    <row r="404" spans="1:11" s="759" customFormat="1">
      <c r="A404" s="117"/>
      <c r="B404"/>
      <c r="C404" s="758"/>
      <c r="H404" s="763"/>
      <c r="I404" s="763"/>
      <c r="K404" s="79"/>
    </row>
    <row r="405" spans="1:11" s="759" customFormat="1">
      <c r="A405" s="756"/>
      <c r="B405" s="727" t="s">
        <v>256</v>
      </c>
      <c r="C405"/>
      <c r="D405"/>
      <c r="E405"/>
      <c r="F405"/>
      <c r="G405"/>
      <c r="H405"/>
      <c r="I405"/>
    </row>
    <row r="406" spans="1:11" s="759" customFormat="1">
      <c r="A406" s="756"/>
      <c r="B406" s="722" t="s">
        <v>2591</v>
      </c>
    </row>
    <row r="407" spans="1:11" s="759" customFormat="1">
      <c r="A407" s="756"/>
      <c r="B407" s="722" t="s">
        <v>2592</v>
      </c>
      <c r="C407"/>
      <c r="D407"/>
      <c r="E407"/>
      <c r="F407"/>
      <c r="G407"/>
      <c r="H407"/>
      <c r="I407"/>
    </row>
    <row r="408" spans="1:11" s="759" customFormat="1">
      <c r="A408" s="756"/>
      <c r="C408"/>
      <c r="D408"/>
      <c r="E408"/>
      <c r="F408"/>
      <c r="G408"/>
      <c r="H408"/>
      <c r="I408"/>
    </row>
    <row r="409" spans="1:11" s="759" customFormat="1">
      <c r="A409" s="756"/>
      <c r="B409" s="1" t="s">
        <v>420</v>
      </c>
      <c r="C409"/>
      <c r="D409"/>
      <c r="E409"/>
      <c r="F409"/>
      <c r="G409"/>
      <c r="H409"/>
      <c r="I409"/>
    </row>
    <row r="410" spans="1:11" s="759" customFormat="1">
      <c r="A410" s="756"/>
      <c r="B410" s="522" t="s">
        <v>1089</v>
      </c>
      <c r="C410"/>
      <c r="D410"/>
      <c r="E410"/>
      <c r="F410"/>
      <c r="G410"/>
      <c r="H410"/>
      <c r="I410"/>
    </row>
    <row r="411" spans="1:11" s="759" customFormat="1">
      <c r="A411" s="756"/>
      <c r="B411" s="522" t="s">
        <v>2593</v>
      </c>
      <c r="C411"/>
      <c r="D411"/>
      <c r="E411"/>
      <c r="F411"/>
      <c r="G411"/>
      <c r="H411"/>
      <c r="I411"/>
    </row>
    <row r="412" spans="1:11" s="759" customFormat="1">
      <c r="A412" s="756"/>
      <c r="B412" s="524" t="s">
        <v>2367</v>
      </c>
      <c r="C412" s="14"/>
      <c r="D412" s="14"/>
      <c r="E412" s="14"/>
      <c r="F412" s="14"/>
      <c r="G412" s="14"/>
      <c r="H412" s="14"/>
      <c r="I412" s="14"/>
    </row>
    <row r="413" spans="1:11" s="759" customFormat="1">
      <c r="A413" s="756"/>
      <c r="B413" s="521"/>
      <c r="C413" s="14"/>
      <c r="D413" s="14"/>
      <c r="E413" s="14"/>
      <c r="F413" s="14"/>
      <c r="G413" s="14"/>
      <c r="H413" s="14"/>
      <c r="I413" s="14"/>
    </row>
    <row r="414" spans="1:11" s="759" customFormat="1">
      <c r="A414" s="756"/>
      <c r="B414" s="722"/>
      <c r="C414" s="767"/>
      <c r="H414" s="763"/>
      <c r="I414" s="763"/>
    </row>
    <row r="415" spans="1:11" s="759" customFormat="1">
      <c r="A415" s="756"/>
      <c r="B415" s="722"/>
      <c r="C415" s="767"/>
      <c r="H415" s="763"/>
      <c r="I415" s="763"/>
    </row>
    <row r="416" spans="1:11" s="759" customFormat="1">
      <c r="A416" s="756"/>
      <c r="B416" s="722"/>
      <c r="C416" s="767"/>
      <c r="H416" s="763"/>
      <c r="I416" s="763"/>
    </row>
    <row r="417" spans="1:11" s="759" customFormat="1">
      <c r="A417" s="756"/>
      <c r="B417" s="722"/>
      <c r="C417" s="767"/>
      <c r="H417" s="763"/>
      <c r="I417" s="763"/>
    </row>
    <row r="418" spans="1:11" s="759" customFormat="1">
      <c r="A418" s="756"/>
      <c r="B418" s="722"/>
      <c r="C418" s="767"/>
      <c r="D418" s="768"/>
      <c r="E418" s="768"/>
      <c r="F418" s="768"/>
      <c r="G418" s="768"/>
      <c r="H418" s="763"/>
      <c r="I418" s="763"/>
    </row>
    <row r="419" spans="1:11" s="759" customFormat="1">
      <c r="A419" s="756"/>
      <c r="C419" s="769"/>
      <c r="D419" s="770"/>
      <c r="E419" s="770"/>
      <c r="F419" s="770"/>
      <c r="G419" s="770"/>
      <c r="H419" s="763"/>
      <c r="I419" s="763"/>
    </row>
    <row r="420" spans="1:11" s="759" customFormat="1"/>
    <row r="421" spans="1:11" s="759" customFormat="1">
      <c r="B421" s="727"/>
    </row>
    <row r="422" spans="1:11" s="759" customFormat="1">
      <c r="B422" s="722"/>
    </row>
    <row r="423" spans="1:11">
      <c r="A423" s="759"/>
      <c r="B423" s="759"/>
      <c r="C423" s="759"/>
      <c r="D423" s="759"/>
      <c r="E423" s="759"/>
      <c r="F423" s="759"/>
      <c r="G423" s="759"/>
      <c r="H423" s="759"/>
      <c r="I423" s="759"/>
      <c r="J423" s="759"/>
      <c r="K423" s="759"/>
    </row>
    <row r="424" spans="1:11">
      <c r="A424" s="759"/>
      <c r="B424" s="771"/>
      <c r="C424" s="759"/>
      <c r="D424" s="759"/>
      <c r="E424" s="759"/>
      <c r="F424" s="759"/>
      <c r="G424" s="759"/>
      <c r="H424" s="759"/>
      <c r="I424" s="759"/>
      <c r="J424" s="759"/>
      <c r="K424" s="759"/>
    </row>
    <row r="425" spans="1:11">
      <c r="A425" s="759"/>
      <c r="B425" s="772"/>
      <c r="C425" s="759"/>
      <c r="D425" s="759"/>
      <c r="E425" s="759"/>
      <c r="F425" s="759"/>
      <c r="G425" s="759"/>
      <c r="H425" s="759"/>
      <c r="I425" s="759"/>
      <c r="J425" s="759"/>
      <c r="K425" s="759"/>
    </row>
    <row r="426" spans="1:11">
      <c r="A426" s="759"/>
      <c r="B426" s="772"/>
      <c r="C426" s="759"/>
      <c r="D426" s="759"/>
      <c r="E426" s="759"/>
      <c r="F426" s="759"/>
      <c r="G426" s="759"/>
      <c r="H426" s="759"/>
      <c r="I426" s="759"/>
      <c r="J426" s="759"/>
      <c r="K426" s="759"/>
    </row>
    <row r="427" spans="1:11">
      <c r="A427" s="759"/>
      <c r="B427" s="772"/>
      <c r="C427" s="759"/>
      <c r="D427" s="759"/>
      <c r="E427" s="759"/>
      <c r="F427" s="759"/>
      <c r="G427" s="759"/>
      <c r="H427" s="759"/>
      <c r="I427" s="759"/>
      <c r="J427" s="759"/>
      <c r="K427" s="759"/>
    </row>
    <row r="428" spans="1:11">
      <c r="A428" s="759"/>
      <c r="B428" s="773"/>
      <c r="C428" s="759"/>
      <c r="D428" s="759"/>
      <c r="E428" s="759"/>
      <c r="F428" s="759"/>
      <c r="G428" s="759"/>
      <c r="H428" s="759"/>
      <c r="I428" s="759"/>
      <c r="J428" s="759"/>
      <c r="K428" s="759"/>
    </row>
  </sheetData>
  <mergeCells count="9">
    <mergeCell ref="D276:E276"/>
    <mergeCell ref="D307:E307"/>
    <mergeCell ref="D340:E340"/>
    <mergeCell ref="D82:E82"/>
    <mergeCell ref="D115:E115"/>
    <mergeCell ref="D148:E148"/>
    <mergeCell ref="D179:E179"/>
    <mergeCell ref="D212:E212"/>
    <mergeCell ref="D243:E243"/>
  </mergeCells>
  <pageMargins left="0.7" right="0.7" top="0.75" bottom="0.75" header="0.3" footer="0.3"/>
  <pageSetup scale="59" orientation="landscape" cellComments="asDisplayed" r:id="rId1"/>
  <headerFooter>
    <oddHeader>&amp;CSchedule 10
CWIP
&amp;RTO11 Draft Annual Update
Attachment 1</oddHeader>
    <oddFooter>&amp;R&amp;A</oddFooter>
  </headerFooter>
  <rowBreaks count="6" manualBreakCount="6">
    <brk id="47" max="16383" man="1"/>
    <brk id="113" max="10" man="1"/>
    <brk id="177" max="10" man="1"/>
    <brk id="241" max="10" man="1"/>
    <brk id="305" max="10" man="1"/>
    <brk id="369" max="1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zoomScaleNormal="100" workbookViewId="0"/>
  </sheetViews>
  <sheetFormatPr defaultRowHeight="12.75"/>
  <cols>
    <col min="1" max="1" width="4.7109375" customWidth="1"/>
    <col min="2" max="2" width="22.7109375" customWidth="1"/>
    <col min="3" max="3" width="8.7109375" customWidth="1"/>
    <col min="4" max="5" width="25.7109375" customWidth="1"/>
    <col min="6" max="6" width="22.7109375" customWidth="1"/>
  </cols>
  <sheetData>
    <row r="1" spans="1:6">
      <c r="A1" s="37" t="s">
        <v>1339</v>
      </c>
      <c r="B1" s="127"/>
      <c r="C1" s="38"/>
      <c r="D1" s="38"/>
      <c r="E1" s="38"/>
      <c r="F1" s="38"/>
    </row>
    <row r="2" spans="1:6">
      <c r="A2" s="129"/>
      <c r="B2" s="14"/>
      <c r="C2" s="130"/>
      <c r="D2" s="130"/>
      <c r="F2" s="43" t="s">
        <v>17</v>
      </c>
    </row>
    <row r="3" spans="1:6">
      <c r="A3" s="129"/>
      <c r="B3" s="15" t="s">
        <v>549</v>
      </c>
      <c r="C3" s="130"/>
      <c r="D3" s="130"/>
      <c r="E3" s="130"/>
    </row>
    <row r="4" spans="1:6">
      <c r="A4" s="129"/>
      <c r="B4" s="15" t="s">
        <v>429</v>
      </c>
      <c r="C4" s="130"/>
      <c r="D4" s="130"/>
      <c r="E4" s="130"/>
    </row>
    <row r="5" spans="1:6">
      <c r="A5" s="129"/>
      <c r="B5" s="15" t="s">
        <v>434</v>
      </c>
      <c r="C5" s="130"/>
      <c r="D5" s="130"/>
      <c r="E5" s="130"/>
    </row>
    <row r="6" spans="1:6">
      <c r="A6" s="129"/>
    </row>
    <row r="7" spans="1:6">
      <c r="A7" s="52" t="s">
        <v>360</v>
      </c>
      <c r="B7" s="14"/>
      <c r="C7" s="130"/>
      <c r="D7" s="3" t="s">
        <v>432</v>
      </c>
      <c r="E7" s="128" t="s">
        <v>431</v>
      </c>
      <c r="F7" s="131" t="s">
        <v>198</v>
      </c>
    </row>
    <row r="8" spans="1:6">
      <c r="A8" s="2">
        <v>1</v>
      </c>
      <c r="B8" s="15" t="s">
        <v>443</v>
      </c>
      <c r="D8" s="6">
        <v>16261747</v>
      </c>
      <c r="E8" s="6">
        <v>16261747</v>
      </c>
      <c r="F8" s="13" t="s">
        <v>1354</v>
      </c>
    </row>
    <row r="9" spans="1:6">
      <c r="A9" s="2"/>
      <c r="B9" s="15"/>
      <c r="D9" s="14"/>
      <c r="E9" s="12"/>
    </row>
    <row r="10" spans="1:6">
      <c r="A10" s="2"/>
      <c r="B10" s="15" t="s">
        <v>437</v>
      </c>
      <c r="D10" s="14"/>
      <c r="E10" s="12"/>
    </row>
    <row r="11" spans="1:6">
      <c r="A11" s="2"/>
      <c r="B11" s="15"/>
      <c r="D11" s="14"/>
      <c r="E11" s="12"/>
    </row>
    <row r="12" spans="1:6">
      <c r="A12" s="2"/>
      <c r="B12" s="91" t="s">
        <v>394</v>
      </c>
      <c r="C12" s="91" t="s">
        <v>378</v>
      </c>
      <c r="D12" s="91" t="s">
        <v>379</v>
      </c>
      <c r="E12" s="91" t="s">
        <v>380</v>
      </c>
      <c r="F12" s="91" t="s">
        <v>381</v>
      </c>
    </row>
    <row r="13" spans="1:6">
      <c r="A13" s="2"/>
      <c r="B13" s="15"/>
      <c r="C13" s="2" t="s">
        <v>440</v>
      </c>
      <c r="D13" s="14"/>
      <c r="E13" s="12"/>
    </row>
    <row r="14" spans="1:6">
      <c r="A14" s="2"/>
      <c r="B14" s="52" t="s">
        <v>111</v>
      </c>
      <c r="C14" s="3" t="s">
        <v>439</v>
      </c>
      <c r="D14" s="3" t="s">
        <v>432</v>
      </c>
      <c r="E14" s="128" t="s">
        <v>431</v>
      </c>
      <c r="F14" s="128" t="s">
        <v>198</v>
      </c>
    </row>
    <row r="15" spans="1:6">
      <c r="A15" s="2" t="s">
        <v>568</v>
      </c>
      <c r="B15" s="529" t="s">
        <v>3027</v>
      </c>
      <c r="C15" s="102" t="s">
        <v>3028</v>
      </c>
      <c r="D15" s="6">
        <v>9942155</v>
      </c>
      <c r="E15" s="6">
        <v>9942155</v>
      </c>
      <c r="F15" s="102" t="s">
        <v>3029</v>
      </c>
    </row>
    <row r="16" spans="1:6">
      <c r="A16" s="2" t="s">
        <v>569</v>
      </c>
      <c r="B16" s="122"/>
      <c r="C16" s="102"/>
      <c r="D16" s="6"/>
      <c r="E16" s="6"/>
      <c r="F16" s="102"/>
    </row>
    <row r="17" spans="1:6">
      <c r="A17" s="2" t="s">
        <v>570</v>
      </c>
      <c r="B17" s="122"/>
      <c r="C17" s="102"/>
      <c r="D17" s="6"/>
      <c r="E17" s="6"/>
      <c r="F17" s="102"/>
    </row>
    <row r="18" spans="1:6">
      <c r="A18" s="2" t="s">
        <v>571</v>
      </c>
      <c r="B18" s="122"/>
      <c r="C18" s="102"/>
      <c r="D18" s="6"/>
      <c r="E18" s="6"/>
      <c r="F18" s="102"/>
    </row>
    <row r="19" spans="1:6">
      <c r="A19" s="2" t="s">
        <v>572</v>
      </c>
      <c r="B19" s="122"/>
      <c r="C19" s="102"/>
      <c r="D19" s="6"/>
      <c r="E19" s="6"/>
      <c r="F19" s="102"/>
    </row>
    <row r="20" spans="1:6">
      <c r="A20" s="2" t="s">
        <v>573</v>
      </c>
      <c r="B20" s="122"/>
      <c r="C20" s="102"/>
      <c r="D20" s="6"/>
      <c r="E20" s="6"/>
      <c r="F20" s="102"/>
    </row>
    <row r="21" spans="1:6">
      <c r="A21" s="2" t="s">
        <v>574</v>
      </c>
      <c r="B21" s="122"/>
      <c r="C21" s="102"/>
      <c r="D21" s="6"/>
      <c r="E21" s="6"/>
      <c r="F21" s="102"/>
    </row>
    <row r="22" spans="1:6">
      <c r="A22" s="2" t="s">
        <v>575</v>
      </c>
      <c r="B22" s="122"/>
      <c r="C22" s="102"/>
      <c r="D22" s="6"/>
      <c r="E22" s="6"/>
      <c r="F22" s="102"/>
    </row>
    <row r="23" spans="1:6">
      <c r="A23" s="199"/>
      <c r="B23" s="435" t="s">
        <v>564</v>
      </c>
      <c r="C23" s="102"/>
      <c r="D23" s="436"/>
      <c r="E23" s="436"/>
      <c r="F23" s="102"/>
    </row>
    <row r="24" spans="1:6">
      <c r="A24" s="2">
        <v>3</v>
      </c>
      <c r="C24" s="12" t="s">
        <v>4</v>
      </c>
      <c r="D24" s="7">
        <f>SUM(D15:D22)</f>
        <v>9942155</v>
      </c>
      <c r="E24" s="7">
        <f>SUM(E15:E22)</f>
        <v>9942155</v>
      </c>
      <c r="F24" s="13" t="s">
        <v>577</v>
      </c>
    </row>
    <row r="25" spans="1:6">
      <c r="C25" s="12"/>
    </row>
    <row r="26" spans="1:6">
      <c r="C26" s="12"/>
      <c r="D26" s="3" t="s">
        <v>432</v>
      </c>
      <c r="E26" s="128" t="s">
        <v>431</v>
      </c>
      <c r="F26" s="131" t="s">
        <v>198</v>
      </c>
    </row>
    <row r="27" spans="1:6">
      <c r="A27" s="2">
        <v>4</v>
      </c>
      <c r="B27" s="12" t="s">
        <v>433</v>
      </c>
      <c r="C27" s="12"/>
      <c r="D27" s="6">
        <v>0</v>
      </c>
      <c r="E27" s="6">
        <v>0</v>
      </c>
      <c r="F27" s="46" t="s">
        <v>430</v>
      </c>
    </row>
    <row r="28" spans="1:6">
      <c r="A28" s="2">
        <v>5</v>
      </c>
      <c r="B28" s="12" t="s">
        <v>333</v>
      </c>
      <c r="D28" s="132">
        <f>'27-Allocators'!G15</f>
        <v>6.0220089469584258E-2</v>
      </c>
      <c r="E28" s="132">
        <f>'27-Allocators'!G15</f>
        <v>6.0220089469584258E-2</v>
      </c>
      <c r="F28" s="46" t="str">
        <f>"27-Allocators, L "&amp;'27-Allocators'!A15&amp;""</f>
        <v>27-Allocators, L 9</v>
      </c>
    </row>
    <row r="29" spans="1:6">
      <c r="A29" s="2">
        <v>6</v>
      </c>
      <c r="B29" s="12" t="s">
        <v>441</v>
      </c>
      <c r="C29" s="12"/>
      <c r="D29" s="64">
        <f>D27*D28</f>
        <v>0</v>
      </c>
      <c r="E29" s="64">
        <f>E27*E28</f>
        <v>0</v>
      </c>
      <c r="F29" s="13" t="str">
        <f>"L "&amp;A27&amp;" * L "&amp;A28&amp;""</f>
        <v>L 4 * L 5</v>
      </c>
    </row>
    <row r="30" spans="1:6">
      <c r="C30" s="12"/>
    </row>
    <row r="31" spans="1:6">
      <c r="B31" s="12" t="s">
        <v>438</v>
      </c>
    </row>
    <row r="32" spans="1:6">
      <c r="C32" s="32"/>
      <c r="D32" s="33"/>
      <c r="E32" s="35"/>
    </row>
    <row r="33" spans="1:6">
      <c r="D33" s="3" t="s">
        <v>432</v>
      </c>
      <c r="E33" s="128" t="s">
        <v>431</v>
      </c>
      <c r="F33" s="131" t="s">
        <v>198</v>
      </c>
    </row>
    <row r="34" spans="1:6">
      <c r="A34" s="2">
        <v>7</v>
      </c>
      <c r="C34" s="12"/>
      <c r="D34" s="6">
        <v>6319593</v>
      </c>
      <c r="E34" s="6">
        <v>6319593</v>
      </c>
      <c r="F34" s="13" t="s">
        <v>395</v>
      </c>
    </row>
    <row r="37" spans="1:6">
      <c r="B37" s="12" t="s">
        <v>442</v>
      </c>
      <c r="D37" s="3" t="s">
        <v>432</v>
      </c>
      <c r="E37" s="128" t="s">
        <v>431</v>
      </c>
      <c r="F37" s="131" t="s">
        <v>198</v>
      </c>
    </row>
    <row r="38" spans="1:6">
      <c r="A38" s="2">
        <v>8</v>
      </c>
      <c r="D38" s="108">
        <f>D24+D29</f>
        <v>9942155</v>
      </c>
      <c r="E38" s="108">
        <f>E24+E29</f>
        <v>9942155</v>
      </c>
      <c r="F38" s="13" t="str">
        <f>"L "&amp;A24&amp;" + L "&amp;A29&amp;""</f>
        <v>L 3 + L 6</v>
      </c>
    </row>
    <row r="39" spans="1:6">
      <c r="A39" s="2"/>
      <c r="D39" s="108"/>
      <c r="E39" s="108"/>
      <c r="F39" s="13"/>
    </row>
    <row r="40" spans="1:6">
      <c r="B40" t="s">
        <v>444</v>
      </c>
    </row>
    <row r="41" spans="1:6">
      <c r="A41" s="2">
        <v>9</v>
      </c>
      <c r="B41" s="12" t="s">
        <v>442</v>
      </c>
      <c r="D41" s="47">
        <f>(D38+E38)/2</f>
        <v>9942155</v>
      </c>
      <c r="E41" s="108"/>
      <c r="F41" s="13" t="str">
        <f>"Sum of Line "&amp;A38&amp;" / 2"</f>
        <v>Sum of Line 8 / 2</v>
      </c>
    </row>
    <row r="42" spans="1:6">
      <c r="B42" s="12"/>
    </row>
    <row r="43" spans="1:6">
      <c r="B43" s="1" t="s">
        <v>551</v>
      </c>
      <c r="C43" s="12"/>
    </row>
    <row r="44" spans="1:6">
      <c r="C44" s="12"/>
    </row>
    <row r="45" spans="1:6">
      <c r="A45" s="2"/>
      <c r="F45" s="131" t="s">
        <v>198</v>
      </c>
    </row>
    <row r="46" spans="1:6">
      <c r="A46" s="2">
        <v>10</v>
      </c>
      <c r="B46" s="12" t="s">
        <v>550</v>
      </c>
      <c r="E46" s="1208">
        <v>0</v>
      </c>
      <c r="F46" s="13" t="s">
        <v>33</v>
      </c>
    </row>
    <row r="49" spans="2:2">
      <c r="B49" s="1" t="s">
        <v>420</v>
      </c>
    </row>
    <row r="50" spans="2:2">
      <c r="B50" s="12" t="s">
        <v>435</v>
      </c>
    </row>
    <row r="51" spans="2:2">
      <c r="B51" s="12" t="s">
        <v>1345</v>
      </c>
    </row>
    <row r="52" spans="2:2">
      <c r="B52" s="12" t="s">
        <v>1346</v>
      </c>
    </row>
    <row r="53" spans="2:2">
      <c r="B53" s="12" t="s">
        <v>576</v>
      </c>
    </row>
    <row r="54" spans="2:2">
      <c r="B54" s="12" t="str">
        <f>"2) For any Electric Plant Held for Future Use classified as General note amount on Line "&amp;A27&amp;"."</f>
        <v>2) For any Electric Plant Held for Future Use classified as General note amount on Line 4.</v>
      </c>
    </row>
    <row r="55" spans="2:2">
      <c r="B55" s="12" t="s">
        <v>1347</v>
      </c>
    </row>
    <row r="56" spans="2:2">
      <c r="B56" s="12" t="s">
        <v>436</v>
      </c>
    </row>
    <row r="57" spans="2:2">
      <c r="B57" s="522" t="s">
        <v>1891</v>
      </c>
    </row>
    <row r="58" spans="2:2">
      <c r="B58" s="12" t="s">
        <v>1344</v>
      </c>
    </row>
    <row r="59" spans="2:2">
      <c r="B59" s="12"/>
    </row>
    <row r="60" spans="2:2">
      <c r="B60" s="1" t="s">
        <v>256</v>
      </c>
    </row>
    <row r="61" spans="2:2">
      <c r="B61" s="12" t="s">
        <v>1355</v>
      </c>
    </row>
  </sheetData>
  <pageMargins left="0.7" right="0.7" top="0.75" bottom="0.75" header="0.3" footer="0.3"/>
  <pageSetup scale="80" orientation="portrait" cellComments="asDisplayed" r:id="rId1"/>
  <headerFooter>
    <oddHeader>&amp;CSchedule 11
Plant Held for Future Use
&amp;RTO11 Draft Annual Update
Attachment 1</oddHeader>
    <oddFooter>&amp;R11-PHFU</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zoomScaleNormal="100" workbookViewId="0"/>
  </sheetViews>
  <sheetFormatPr defaultRowHeight="12.75"/>
  <cols>
    <col min="1" max="1" width="4.7109375" customWidth="1"/>
    <col min="2" max="2" width="5.7109375" customWidth="1"/>
    <col min="3" max="10" width="12.7109375" customWidth="1"/>
    <col min="12" max="12" width="9.140625" style="14"/>
  </cols>
  <sheetData>
    <row r="1" spans="1:10">
      <c r="A1" s="1" t="s">
        <v>321</v>
      </c>
    </row>
    <row r="2" spans="1:10">
      <c r="I2" s="585" t="s">
        <v>272</v>
      </c>
      <c r="J2" s="585"/>
    </row>
    <row r="3" spans="1:10">
      <c r="B3" t="s">
        <v>346</v>
      </c>
    </row>
    <row r="5" spans="1:10">
      <c r="B5" t="s">
        <v>341</v>
      </c>
    </row>
    <row r="6" spans="1:10">
      <c r="B6" t="s">
        <v>347</v>
      </c>
    </row>
    <row r="7" spans="1:10">
      <c r="F7" s="81" t="s">
        <v>250</v>
      </c>
      <c r="H7" s="81" t="s">
        <v>2182</v>
      </c>
    </row>
    <row r="8" spans="1:10">
      <c r="B8" s="14" t="s">
        <v>2181</v>
      </c>
      <c r="C8" s="14"/>
      <c r="D8" s="14"/>
      <c r="E8" s="14"/>
      <c r="F8" s="102"/>
      <c r="G8" s="102"/>
      <c r="H8" s="102"/>
      <c r="I8" s="102"/>
      <c r="J8" s="102"/>
    </row>
    <row r="9" spans="1:10">
      <c r="B9" s="14"/>
      <c r="C9" s="14"/>
      <c r="D9" s="14"/>
      <c r="E9" s="14"/>
      <c r="F9" s="1196"/>
      <c r="G9" s="102"/>
      <c r="H9" s="1196"/>
      <c r="I9" s="102"/>
      <c r="J9" s="102"/>
    </row>
    <row r="10" spans="1:10">
      <c r="B10" s="14"/>
      <c r="C10" s="14"/>
      <c r="D10" s="14"/>
      <c r="E10" s="14"/>
      <c r="F10" s="1053" t="s">
        <v>564</v>
      </c>
      <c r="G10" s="14"/>
      <c r="H10" s="1053" t="s">
        <v>564</v>
      </c>
      <c r="I10" s="14"/>
    </row>
    <row r="12" spans="1:10">
      <c r="B12" s="522" t="s">
        <v>418</v>
      </c>
    </row>
    <row r="13" spans="1:10">
      <c r="B13" s="522"/>
    </row>
    <row r="14" spans="1:10">
      <c r="B14" s="522" t="s">
        <v>416</v>
      </c>
    </row>
    <row r="15" spans="1:10">
      <c r="B15" s="522" t="s">
        <v>417</v>
      </c>
    </row>
    <row r="16" spans="1:10">
      <c r="B16" s="522"/>
      <c r="G16" s="645" t="s">
        <v>419</v>
      </c>
    </row>
    <row r="17" spans="1:10">
      <c r="A17" s="52" t="s">
        <v>360</v>
      </c>
      <c r="G17" s="3" t="s">
        <v>73</v>
      </c>
      <c r="I17" s="52" t="s">
        <v>262</v>
      </c>
    </row>
    <row r="18" spans="1:10">
      <c r="A18" s="645">
        <v>1</v>
      </c>
      <c r="F18" s="36" t="s">
        <v>342</v>
      </c>
      <c r="G18" s="64">
        <v>0</v>
      </c>
      <c r="I18" s="522" t="s">
        <v>428</v>
      </c>
    </row>
    <row r="19" spans="1:10">
      <c r="A19" s="645">
        <v>2</v>
      </c>
      <c r="F19" s="520" t="s">
        <v>422</v>
      </c>
      <c r="G19" s="64">
        <v>0</v>
      </c>
      <c r="I19" s="522" t="s">
        <v>428</v>
      </c>
    </row>
    <row r="20" spans="1:10">
      <c r="A20" s="645">
        <v>3</v>
      </c>
      <c r="F20" s="36" t="s">
        <v>344</v>
      </c>
      <c r="G20" s="64">
        <v>0</v>
      </c>
      <c r="I20" s="522" t="s">
        <v>428</v>
      </c>
    </row>
    <row r="21" spans="1:10">
      <c r="A21" s="645">
        <v>4</v>
      </c>
      <c r="F21" s="36" t="s">
        <v>345</v>
      </c>
      <c r="G21" s="64">
        <f>(G19+G20)/2</f>
        <v>0</v>
      </c>
      <c r="I21" s="522" t="str">
        <f>"Average of Lines "&amp;A19&amp;" and "&amp;A20&amp;"."</f>
        <v>Average of Lines 2 and 3.</v>
      </c>
    </row>
    <row r="22" spans="1:10">
      <c r="I22" s="522"/>
    </row>
    <row r="24" spans="1:10">
      <c r="A24" s="645">
        <v>5</v>
      </c>
      <c r="C24" s="1" t="s">
        <v>562</v>
      </c>
      <c r="D24" s="1196" t="s">
        <v>563</v>
      </c>
      <c r="E24" s="14"/>
      <c r="F24" s="14"/>
      <c r="G24" s="160" t="s">
        <v>565</v>
      </c>
      <c r="H24" s="529" t="s">
        <v>563</v>
      </c>
      <c r="I24" s="647"/>
      <c r="J24" s="524"/>
    </row>
    <row r="25" spans="1:10">
      <c r="A25" s="645"/>
      <c r="C25" s="1"/>
      <c r="D25" s="524"/>
      <c r="E25" s="14"/>
      <c r="G25" s="647"/>
      <c r="H25" s="524"/>
      <c r="I25" s="647"/>
      <c r="J25" s="524"/>
    </row>
    <row r="26" spans="1:10">
      <c r="D26" s="117" t="s">
        <v>1937</v>
      </c>
      <c r="E26" s="117" t="s">
        <v>413</v>
      </c>
      <c r="F26" s="14"/>
      <c r="G26" s="14"/>
      <c r="H26" s="117" t="s">
        <v>1937</v>
      </c>
      <c r="I26" s="645" t="s">
        <v>413</v>
      </c>
      <c r="J26" s="117"/>
    </row>
    <row r="27" spans="1:10">
      <c r="C27" s="645" t="s">
        <v>330</v>
      </c>
      <c r="D27" s="117" t="s">
        <v>413</v>
      </c>
      <c r="E27" s="117" t="s">
        <v>414</v>
      </c>
      <c r="F27" s="14"/>
      <c r="G27" s="117" t="s">
        <v>330</v>
      </c>
      <c r="H27" s="117" t="s">
        <v>413</v>
      </c>
      <c r="I27" s="645" t="s">
        <v>414</v>
      </c>
      <c r="J27" s="117"/>
    </row>
    <row r="28" spans="1:10">
      <c r="C28" s="645" t="s">
        <v>413</v>
      </c>
      <c r="D28" s="117" t="s">
        <v>414</v>
      </c>
      <c r="E28" s="117" t="s">
        <v>415</v>
      </c>
      <c r="F28" s="14"/>
      <c r="G28" s="117" t="s">
        <v>413</v>
      </c>
      <c r="H28" s="117" t="s">
        <v>414</v>
      </c>
      <c r="I28" s="645" t="s">
        <v>415</v>
      </c>
      <c r="J28" s="117"/>
    </row>
    <row r="29" spans="1:10">
      <c r="A29" s="645"/>
      <c r="B29" s="3" t="s">
        <v>212</v>
      </c>
      <c r="C29" s="3" t="s">
        <v>414</v>
      </c>
      <c r="D29" s="131" t="s">
        <v>1938</v>
      </c>
      <c r="E29" s="131" t="s">
        <v>354</v>
      </c>
      <c r="F29" s="14"/>
      <c r="G29" s="131" t="s">
        <v>414</v>
      </c>
      <c r="H29" s="131" t="s">
        <v>1938</v>
      </c>
      <c r="I29" s="3" t="s">
        <v>354</v>
      </c>
      <c r="J29" s="131"/>
    </row>
    <row r="30" spans="1:10">
      <c r="A30" s="645">
        <v>6</v>
      </c>
      <c r="B30">
        <v>2011</v>
      </c>
      <c r="C30" s="827"/>
      <c r="D30" s="827"/>
      <c r="E30" s="102"/>
      <c r="G30" s="102"/>
      <c r="H30" s="102"/>
      <c r="I30" s="102"/>
      <c r="J30" s="14"/>
    </row>
    <row r="31" spans="1:10">
      <c r="A31" s="645">
        <v>7</v>
      </c>
      <c r="B31">
        <v>2012</v>
      </c>
      <c r="C31" s="102"/>
      <c r="D31" s="102"/>
      <c r="E31" s="827"/>
      <c r="G31" s="102"/>
      <c r="H31" s="102"/>
      <c r="I31" s="102"/>
      <c r="J31" s="14"/>
    </row>
    <row r="32" spans="1:10">
      <c r="A32" s="645">
        <v>8</v>
      </c>
      <c r="B32">
        <v>2013</v>
      </c>
      <c r="C32" s="1182"/>
      <c r="D32" s="1182"/>
      <c r="E32" s="102"/>
      <c r="G32" s="102"/>
      <c r="H32" s="102"/>
      <c r="I32" s="102"/>
      <c r="J32" s="14"/>
    </row>
    <row r="33" spans="1:10">
      <c r="A33" s="645">
        <v>9</v>
      </c>
      <c r="B33">
        <v>2014</v>
      </c>
      <c r="C33" s="1182"/>
      <c r="D33" s="1182"/>
      <c r="E33" s="1182"/>
      <c r="G33" s="102"/>
      <c r="H33" s="102"/>
      <c r="I33" s="102"/>
      <c r="J33" s="14"/>
    </row>
    <row r="34" spans="1:10">
      <c r="A34" s="645">
        <v>10</v>
      </c>
      <c r="B34">
        <v>2015</v>
      </c>
      <c r="C34" s="102"/>
      <c r="D34" s="102"/>
      <c r="E34" s="1182"/>
      <c r="G34" s="102"/>
      <c r="H34" s="102"/>
      <c r="I34" s="102"/>
      <c r="J34" s="14"/>
    </row>
    <row r="35" spans="1:10">
      <c r="A35" s="645">
        <v>11</v>
      </c>
      <c r="B35">
        <v>2016</v>
      </c>
      <c r="C35" s="102"/>
      <c r="D35" s="102"/>
      <c r="E35" s="102"/>
      <c r="G35" s="102"/>
      <c r="H35" s="102"/>
      <c r="I35" s="102"/>
      <c r="J35" s="14"/>
    </row>
    <row r="36" spans="1:10">
      <c r="A36" s="645">
        <v>12</v>
      </c>
      <c r="B36">
        <v>2017</v>
      </c>
      <c r="C36" s="102"/>
      <c r="D36" s="102"/>
      <c r="E36" s="102"/>
      <c r="G36" s="102"/>
      <c r="H36" s="102"/>
      <c r="I36" s="102"/>
      <c r="J36" s="14"/>
    </row>
    <row r="37" spans="1:10">
      <c r="A37" s="645">
        <v>13</v>
      </c>
      <c r="B37">
        <v>2018</v>
      </c>
      <c r="C37" s="102"/>
      <c r="D37" s="102"/>
      <c r="E37" s="102"/>
      <c r="G37" s="102"/>
      <c r="H37" s="102"/>
      <c r="I37" s="102"/>
      <c r="J37" s="14"/>
    </row>
    <row r="38" spans="1:10">
      <c r="A38" s="645">
        <v>14</v>
      </c>
      <c r="B38">
        <v>2019</v>
      </c>
      <c r="C38" s="102"/>
      <c r="D38" s="102"/>
      <c r="E38" s="102"/>
      <c r="G38" s="102"/>
      <c r="H38" s="102"/>
      <c r="I38" s="102"/>
      <c r="J38" s="14"/>
    </row>
    <row r="39" spans="1:10">
      <c r="A39" s="645">
        <v>15</v>
      </c>
      <c r="B39">
        <v>2020</v>
      </c>
      <c r="C39" s="102"/>
      <c r="D39" s="102"/>
      <c r="E39" s="102"/>
      <c r="G39" s="102"/>
      <c r="H39" s="102"/>
      <c r="I39" s="102"/>
      <c r="J39" s="14"/>
    </row>
    <row r="40" spans="1:10">
      <c r="A40" s="645">
        <v>16</v>
      </c>
      <c r="B40">
        <v>2021</v>
      </c>
      <c r="C40" s="102"/>
      <c r="D40" s="102"/>
      <c r="E40" s="102"/>
      <c r="G40" s="102"/>
      <c r="H40" s="102"/>
      <c r="I40" s="102"/>
      <c r="J40" s="14"/>
    </row>
    <row r="41" spans="1:10">
      <c r="A41" s="645">
        <v>17</v>
      </c>
      <c r="B41">
        <v>2022</v>
      </c>
      <c r="C41" s="102"/>
      <c r="D41" s="102"/>
      <c r="E41" s="102"/>
      <c r="G41" s="102"/>
      <c r="H41" s="102"/>
      <c r="I41" s="102"/>
      <c r="J41" s="14"/>
    </row>
    <row r="42" spans="1:10">
      <c r="A42" s="645">
        <v>18</v>
      </c>
      <c r="B42">
        <v>2023</v>
      </c>
      <c r="C42" s="102"/>
      <c r="D42" s="102"/>
      <c r="E42" s="102"/>
      <c r="G42" s="102"/>
      <c r="H42" s="102"/>
      <c r="I42" s="102"/>
      <c r="J42" s="14"/>
    </row>
    <row r="43" spans="1:10">
      <c r="A43" s="645">
        <v>19</v>
      </c>
      <c r="B43">
        <v>2024</v>
      </c>
      <c r="C43" s="102"/>
      <c r="D43" s="102"/>
      <c r="E43" s="102"/>
      <c r="G43" s="102"/>
      <c r="H43" s="102"/>
      <c r="I43" s="102"/>
      <c r="J43" s="14"/>
    </row>
    <row r="44" spans="1:10">
      <c r="A44" s="645">
        <v>20</v>
      </c>
      <c r="B44">
        <v>2025</v>
      </c>
      <c r="C44" s="102"/>
      <c r="D44" s="102"/>
      <c r="E44" s="102"/>
      <c r="G44" s="102"/>
      <c r="H44" s="102"/>
      <c r="I44" s="102"/>
      <c r="J44" s="14"/>
    </row>
    <row r="45" spans="1:10">
      <c r="A45" s="645">
        <v>21</v>
      </c>
      <c r="B45">
        <v>2026</v>
      </c>
      <c r="C45" s="102"/>
      <c r="D45" s="102"/>
      <c r="E45" s="102"/>
      <c r="G45" s="102"/>
      <c r="H45" s="102"/>
      <c r="I45" s="102"/>
      <c r="J45" s="14"/>
    </row>
    <row r="46" spans="1:10">
      <c r="A46" s="645">
        <v>22</v>
      </c>
      <c r="B46">
        <v>2027</v>
      </c>
      <c r="C46" s="102"/>
      <c r="D46" s="102"/>
      <c r="E46" s="102"/>
      <c r="G46" s="102"/>
      <c r="H46" s="102"/>
      <c r="I46" s="102"/>
      <c r="J46" s="14"/>
    </row>
    <row r="47" spans="1:10">
      <c r="A47" s="645">
        <v>23</v>
      </c>
      <c r="B47">
        <v>2028</v>
      </c>
      <c r="C47" s="102"/>
      <c r="D47" s="102"/>
      <c r="E47" s="102"/>
      <c r="G47" s="102"/>
      <c r="H47" s="102"/>
      <c r="I47" s="102"/>
      <c r="J47" s="14"/>
    </row>
    <row r="48" spans="1:10">
      <c r="A48" s="645">
        <v>24</v>
      </c>
      <c r="B48">
        <v>2029</v>
      </c>
      <c r="C48" s="102"/>
      <c r="D48" s="102"/>
      <c r="E48" s="102"/>
      <c r="G48" s="102"/>
      <c r="H48" s="102"/>
      <c r="I48" s="102"/>
      <c r="J48" s="14"/>
    </row>
    <row r="49" spans="1:10">
      <c r="A49" s="645">
        <v>25</v>
      </c>
      <c r="B49">
        <v>2030</v>
      </c>
      <c r="C49" s="102"/>
      <c r="D49" s="102"/>
      <c r="E49" s="102"/>
      <c r="G49" s="102"/>
      <c r="H49" s="102"/>
      <c r="I49" s="102"/>
      <c r="J49" s="14"/>
    </row>
    <row r="50" spans="1:10">
      <c r="A50" s="645">
        <v>26</v>
      </c>
      <c r="B50">
        <v>2031</v>
      </c>
      <c r="C50" s="102"/>
      <c r="D50" s="102"/>
      <c r="E50" s="102"/>
      <c r="G50" s="102"/>
      <c r="H50" s="102"/>
      <c r="I50" s="102"/>
      <c r="J50" s="14"/>
    </row>
    <row r="51" spans="1:10">
      <c r="A51" s="645">
        <v>27</v>
      </c>
      <c r="B51">
        <v>2032</v>
      </c>
      <c r="C51" s="102"/>
      <c r="D51" s="102"/>
      <c r="E51" s="102"/>
      <c r="G51" s="102"/>
      <c r="H51" s="102"/>
      <c r="I51" s="102"/>
      <c r="J51" s="14"/>
    </row>
    <row r="52" spans="1:10">
      <c r="A52" s="645">
        <v>28</v>
      </c>
      <c r="B52">
        <v>2033</v>
      </c>
      <c r="C52" s="102"/>
      <c r="D52" s="102"/>
      <c r="E52" s="102"/>
      <c r="G52" s="102"/>
      <c r="H52" s="102"/>
      <c r="I52" s="102"/>
      <c r="J52" s="14"/>
    </row>
    <row r="53" spans="1:10">
      <c r="A53" s="645">
        <v>29</v>
      </c>
      <c r="B53">
        <v>2034</v>
      </c>
      <c r="C53" s="102"/>
      <c r="D53" s="102"/>
      <c r="E53" s="102"/>
      <c r="G53" s="102"/>
      <c r="H53" s="102"/>
      <c r="I53" s="102"/>
      <c r="J53" s="14"/>
    </row>
    <row r="54" spans="1:10">
      <c r="A54" s="645">
        <v>30</v>
      </c>
      <c r="B54">
        <v>2035</v>
      </c>
      <c r="C54" s="102"/>
      <c r="D54" s="102"/>
      <c r="E54" s="102"/>
      <c r="G54" s="102"/>
      <c r="H54" s="102"/>
      <c r="I54" s="102"/>
      <c r="J54" s="14"/>
    </row>
    <row r="55" spans="1:10">
      <c r="A55" s="645">
        <v>31</v>
      </c>
      <c r="B55" s="648" t="s">
        <v>564</v>
      </c>
    </row>
    <row r="56" spans="1:10">
      <c r="A56" s="645"/>
      <c r="B56" s="648"/>
    </row>
    <row r="57" spans="1:10">
      <c r="A57" s="645"/>
      <c r="B57" s="44" t="s">
        <v>256</v>
      </c>
      <c r="C57" s="14"/>
      <c r="D57" s="14"/>
      <c r="E57" s="14"/>
      <c r="F57" s="14"/>
      <c r="G57" s="14"/>
      <c r="H57" s="14"/>
      <c r="I57" s="14"/>
      <c r="J57" s="14"/>
    </row>
    <row r="58" spans="1:10">
      <c r="A58" s="645"/>
      <c r="B58" s="524" t="s">
        <v>1939</v>
      </c>
      <c r="C58" s="14"/>
      <c r="D58" s="14"/>
      <c r="E58" s="14"/>
      <c r="F58" s="14"/>
      <c r="G58" s="14"/>
      <c r="H58" s="14"/>
      <c r="I58" s="14"/>
      <c r="J58" s="14"/>
    </row>
    <row r="59" spans="1:10">
      <c r="A59" s="645"/>
      <c r="B59" s="14"/>
      <c r="C59" s="14"/>
      <c r="D59" s="14"/>
      <c r="E59" s="14"/>
      <c r="F59" s="14"/>
      <c r="G59" s="14"/>
      <c r="H59" s="14"/>
      <c r="I59" s="14"/>
      <c r="J59" s="14"/>
    </row>
    <row r="60" spans="1:10">
      <c r="A60" s="645"/>
      <c r="B60" s="44" t="s">
        <v>420</v>
      </c>
      <c r="C60" s="14"/>
      <c r="D60" s="14"/>
      <c r="E60" s="14"/>
      <c r="F60" s="14"/>
      <c r="G60" s="14"/>
      <c r="H60" s="14"/>
      <c r="I60" s="14"/>
      <c r="J60" s="14"/>
    </row>
    <row r="61" spans="1:10">
      <c r="A61" s="645"/>
      <c r="B61" s="524" t="s">
        <v>421</v>
      </c>
      <c r="C61" s="14"/>
      <c r="D61" s="14"/>
      <c r="E61" s="14"/>
      <c r="F61" s="14"/>
      <c r="G61" s="14"/>
      <c r="H61" s="14"/>
      <c r="I61" s="14"/>
      <c r="J61" s="14"/>
    </row>
    <row r="62" spans="1:10">
      <c r="A62" s="645"/>
      <c r="B62" s="521" t="s">
        <v>1940</v>
      </c>
      <c r="C62" s="14"/>
      <c r="D62" s="14"/>
      <c r="E62" s="14"/>
      <c r="F62" s="14"/>
      <c r="G62" s="14"/>
      <c r="H62" s="14"/>
      <c r="I62" s="14"/>
      <c r="J62" s="14"/>
    </row>
    <row r="63" spans="1:10">
      <c r="A63" s="645"/>
      <c r="B63" s="521" t="s">
        <v>1941</v>
      </c>
      <c r="C63" s="14"/>
      <c r="D63" s="14"/>
      <c r="E63" s="14"/>
      <c r="F63" s="14"/>
      <c r="G63" s="14"/>
      <c r="H63" s="14"/>
      <c r="I63" s="14"/>
      <c r="J63" s="14"/>
    </row>
    <row r="64" spans="1:10">
      <c r="A64" s="645"/>
      <c r="B64" s="521" t="s">
        <v>426</v>
      </c>
      <c r="C64" s="14"/>
      <c r="D64" s="14"/>
      <c r="E64" s="14"/>
      <c r="F64" s="14"/>
      <c r="G64" s="14"/>
      <c r="H64" s="14"/>
      <c r="I64" s="14"/>
      <c r="J64" s="14"/>
    </row>
    <row r="65" spans="1:10">
      <c r="A65" s="645"/>
      <c r="B65" s="521" t="s">
        <v>427</v>
      </c>
      <c r="C65" s="14"/>
      <c r="D65" s="14"/>
      <c r="E65" s="14"/>
      <c r="F65" s="14"/>
      <c r="G65" s="14"/>
      <c r="H65" s="14"/>
      <c r="I65" s="14"/>
      <c r="J65" s="14"/>
    </row>
    <row r="66" spans="1:10">
      <c r="B66" s="521" t="s">
        <v>424</v>
      </c>
      <c r="C66" s="14"/>
      <c r="D66" s="14"/>
      <c r="E66" s="14"/>
      <c r="F66" s="14"/>
      <c r="G66" s="14"/>
      <c r="H66" s="14"/>
      <c r="I66" s="14"/>
      <c r="J66" s="14"/>
    </row>
    <row r="67" spans="1:10">
      <c r="B67" s="1028" t="s">
        <v>566</v>
      </c>
      <c r="C67" s="14"/>
      <c r="D67" s="14"/>
      <c r="E67" s="14"/>
      <c r="F67" s="14"/>
      <c r="G67" s="14"/>
      <c r="H67" s="14"/>
      <c r="I67" s="14"/>
      <c r="J67" s="14"/>
    </row>
    <row r="68" spans="1:10">
      <c r="B68" s="524" t="s">
        <v>425</v>
      </c>
      <c r="C68" s="14"/>
      <c r="D68" s="14"/>
      <c r="E68" s="14"/>
      <c r="F68" s="14"/>
      <c r="G68" s="14"/>
      <c r="H68" s="14"/>
      <c r="I68" s="14"/>
      <c r="J68" s="14"/>
    </row>
    <row r="69" spans="1:10">
      <c r="B69" s="524" t="s">
        <v>567</v>
      </c>
      <c r="C69" s="14"/>
      <c r="D69" s="14"/>
      <c r="E69" s="14"/>
      <c r="F69" s="14"/>
      <c r="G69" s="14"/>
      <c r="H69" s="14"/>
      <c r="I69" s="14"/>
      <c r="J69" s="14"/>
    </row>
  </sheetData>
  <pageMargins left="0.7" right="0.7" top="0.75" bottom="0.75" header="0.3" footer="0.3"/>
  <pageSetup scale="80" orientation="portrait" cellComments="asDisplayed" r:id="rId1"/>
  <headerFooter>
    <oddHeader>&amp;CSchedule 12
Abandoned Plant
&amp;RTO11 Draft Annual Update
Attachment 1</oddHead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heetViews>
  <sheetFormatPr defaultRowHeight="12.75"/>
  <cols>
    <col min="1" max="1" width="4.7109375" customWidth="1"/>
    <col min="2" max="2" width="3.7109375" customWidth="1"/>
    <col min="3" max="3" width="14.7109375" customWidth="1"/>
    <col min="4" max="4" width="8.7109375" customWidth="1"/>
    <col min="5" max="5" width="15.28515625" customWidth="1"/>
    <col min="6" max="6" width="24.7109375" customWidth="1"/>
    <col min="7" max="7" width="35.7109375" customWidth="1"/>
    <col min="11" max="11" width="11.140625" bestFit="1" customWidth="1"/>
  </cols>
  <sheetData>
    <row r="1" spans="1:7">
      <c r="A1" s="1" t="s">
        <v>6</v>
      </c>
    </row>
    <row r="2" spans="1:7">
      <c r="F2" s="43" t="s">
        <v>17</v>
      </c>
    </row>
    <row r="3" spans="1:7">
      <c r="B3" s="1" t="s">
        <v>177</v>
      </c>
    </row>
    <row r="4" spans="1:7">
      <c r="C4" s="12" t="s">
        <v>612</v>
      </c>
      <c r="E4" s="18"/>
      <c r="F4" s="28"/>
      <c r="G4" s="27"/>
    </row>
    <row r="5" spans="1:7">
      <c r="C5" s="12" t="s">
        <v>613</v>
      </c>
      <c r="E5" s="18"/>
      <c r="F5" s="28"/>
      <c r="G5" s="27"/>
    </row>
    <row r="6" spans="1:7">
      <c r="E6" s="18"/>
      <c r="F6" s="80"/>
      <c r="G6" s="27"/>
    </row>
    <row r="7" spans="1:7">
      <c r="C7" s="21"/>
      <c r="D7" s="17"/>
      <c r="E7" s="26" t="s">
        <v>213</v>
      </c>
      <c r="F7" s="26" t="s">
        <v>1921</v>
      </c>
      <c r="G7" s="26"/>
    </row>
    <row r="8" spans="1:7">
      <c r="A8" s="54" t="s">
        <v>350</v>
      </c>
      <c r="C8" s="25" t="s">
        <v>211</v>
      </c>
      <c r="D8" s="25" t="s">
        <v>212</v>
      </c>
      <c r="E8" s="25" t="s">
        <v>198</v>
      </c>
      <c r="F8" s="31" t="s">
        <v>1920</v>
      </c>
      <c r="G8" s="29" t="s">
        <v>187</v>
      </c>
    </row>
    <row r="9" spans="1:7">
      <c r="A9" s="2">
        <v>1</v>
      </c>
      <c r="C9" s="19" t="s">
        <v>199</v>
      </c>
      <c r="D9" s="153">
        <v>2014</v>
      </c>
      <c r="E9" s="30" t="s">
        <v>611</v>
      </c>
      <c r="F9" s="67">
        <v>268228990</v>
      </c>
      <c r="G9" s="30" t="s">
        <v>95</v>
      </c>
    </row>
    <row r="10" spans="1:7">
      <c r="A10" s="117">
        <f>A9+1</f>
        <v>2</v>
      </c>
      <c r="B10" s="14"/>
      <c r="C10" s="976" t="s">
        <v>200</v>
      </c>
      <c r="D10" s="153">
        <v>2015</v>
      </c>
      <c r="E10" s="568" t="s">
        <v>33</v>
      </c>
      <c r="F10" s="114">
        <v>268593818.06999999</v>
      </c>
      <c r="G10" s="30"/>
    </row>
    <row r="11" spans="1:7">
      <c r="A11" s="117">
        <f t="shared" ref="A11:A21" si="0">A10+1</f>
        <v>3</v>
      </c>
      <c r="B11" s="14"/>
      <c r="C11" s="976" t="s">
        <v>201</v>
      </c>
      <c r="D11" s="153">
        <v>2015</v>
      </c>
      <c r="E11" s="568" t="s">
        <v>33</v>
      </c>
      <c r="F11" s="114">
        <v>270938601.55000001</v>
      </c>
      <c r="G11" s="30"/>
    </row>
    <row r="12" spans="1:7">
      <c r="A12" s="117">
        <f t="shared" si="0"/>
        <v>4</v>
      </c>
      <c r="B12" s="14"/>
      <c r="C12" s="976" t="s">
        <v>214</v>
      </c>
      <c r="D12" s="153">
        <v>2015</v>
      </c>
      <c r="E12" s="568" t="s">
        <v>33</v>
      </c>
      <c r="F12" s="114">
        <v>274280687.64999998</v>
      </c>
      <c r="G12" s="30"/>
    </row>
    <row r="13" spans="1:7">
      <c r="A13" s="117">
        <f t="shared" si="0"/>
        <v>5</v>
      </c>
      <c r="B13" s="14"/>
      <c r="C13" s="976" t="s">
        <v>202</v>
      </c>
      <c r="D13" s="153">
        <v>2015</v>
      </c>
      <c r="E13" s="568" t="s">
        <v>33</v>
      </c>
      <c r="F13" s="114">
        <v>277578313.62</v>
      </c>
      <c r="G13" s="30"/>
    </row>
    <row r="14" spans="1:7">
      <c r="A14" s="117">
        <f t="shared" si="0"/>
        <v>6</v>
      </c>
      <c r="B14" s="14"/>
      <c r="C14" s="976" t="s">
        <v>203</v>
      </c>
      <c r="D14" s="153">
        <v>2015</v>
      </c>
      <c r="E14" s="568" t="s">
        <v>33</v>
      </c>
      <c r="F14" s="114">
        <v>277654774.24000001</v>
      </c>
      <c r="G14" s="30"/>
    </row>
    <row r="15" spans="1:7">
      <c r="A15" s="117">
        <f t="shared" si="0"/>
        <v>7</v>
      </c>
      <c r="B15" s="14"/>
      <c r="C15" s="976" t="s">
        <v>1663</v>
      </c>
      <c r="D15" s="153">
        <v>2015</v>
      </c>
      <c r="E15" s="568" t="s">
        <v>33</v>
      </c>
      <c r="F15" s="114">
        <v>255157376.38999999</v>
      </c>
      <c r="G15" s="30"/>
    </row>
    <row r="16" spans="1:7">
      <c r="A16" s="117">
        <f t="shared" si="0"/>
        <v>8</v>
      </c>
      <c r="B16" s="14"/>
      <c r="C16" s="976" t="s">
        <v>205</v>
      </c>
      <c r="D16" s="153">
        <v>2015</v>
      </c>
      <c r="E16" s="568" t="s">
        <v>33</v>
      </c>
      <c r="F16" s="114">
        <v>256304348.31999999</v>
      </c>
      <c r="G16" s="30"/>
    </row>
    <row r="17" spans="1:7">
      <c r="A17" s="117">
        <f t="shared" si="0"/>
        <v>9</v>
      </c>
      <c r="B17" s="14"/>
      <c r="C17" s="976" t="s">
        <v>206</v>
      </c>
      <c r="D17" s="153">
        <v>2015</v>
      </c>
      <c r="E17" s="568" t="s">
        <v>33</v>
      </c>
      <c r="F17" s="114">
        <v>252768632.25999999</v>
      </c>
      <c r="G17" s="30"/>
    </row>
    <row r="18" spans="1:7">
      <c r="A18" s="117">
        <f t="shared" si="0"/>
        <v>10</v>
      </c>
      <c r="B18" s="14"/>
      <c r="C18" s="976" t="s">
        <v>207</v>
      </c>
      <c r="D18" s="153">
        <v>2015</v>
      </c>
      <c r="E18" s="568" t="s">
        <v>33</v>
      </c>
      <c r="F18" s="114">
        <v>251343932.81999999</v>
      </c>
      <c r="G18" s="30"/>
    </row>
    <row r="19" spans="1:7">
      <c r="A19" s="117">
        <f t="shared" si="0"/>
        <v>11</v>
      </c>
      <c r="B19" s="14"/>
      <c r="C19" s="976" t="s">
        <v>210</v>
      </c>
      <c r="D19" s="153">
        <v>2015</v>
      </c>
      <c r="E19" s="568" t="s">
        <v>33</v>
      </c>
      <c r="F19" s="114">
        <v>254015443.91</v>
      </c>
      <c r="G19" s="30"/>
    </row>
    <row r="20" spans="1:7">
      <c r="A20" s="117">
        <f t="shared" si="0"/>
        <v>12</v>
      </c>
      <c r="B20" s="14"/>
      <c r="C20" s="976" t="s">
        <v>209</v>
      </c>
      <c r="D20" s="153">
        <v>2015</v>
      </c>
      <c r="E20" s="568" t="s">
        <v>33</v>
      </c>
      <c r="F20" s="557">
        <v>252177560.63</v>
      </c>
      <c r="G20" s="30"/>
    </row>
    <row r="21" spans="1:7">
      <c r="A21" s="117">
        <f t="shared" si="0"/>
        <v>13</v>
      </c>
      <c r="B21" s="14"/>
      <c r="C21" s="21" t="s">
        <v>199</v>
      </c>
      <c r="D21" s="153">
        <v>2015</v>
      </c>
      <c r="E21" s="30" t="s">
        <v>610</v>
      </c>
      <c r="F21" s="67">
        <v>251648702</v>
      </c>
      <c r="G21" s="120" t="s">
        <v>100</v>
      </c>
    </row>
    <row r="22" spans="1:7">
      <c r="A22" s="14"/>
      <c r="B22" s="14"/>
      <c r="C22" s="22"/>
      <c r="D22" s="22"/>
      <c r="E22" s="18"/>
      <c r="G22" s="30"/>
    </row>
    <row r="23" spans="1:7">
      <c r="A23" s="117">
        <f>A21+1</f>
        <v>14</v>
      </c>
      <c r="B23" s="14"/>
      <c r="C23" s="22"/>
      <c r="D23" s="22"/>
      <c r="E23" s="560" t="s">
        <v>2196</v>
      </c>
      <c r="F23" s="33">
        <f>SUM(F9:F21)/13</f>
        <v>262360860.11230773</v>
      </c>
      <c r="G23" s="120" t="str">
        <f>"(Sum Line "&amp;A9&amp;" to Line "&amp;A21&amp;") / 13"</f>
        <v>(Sum Line 1 to Line 13) / 13</v>
      </c>
    </row>
    <row r="24" spans="1:7">
      <c r="A24" s="117">
        <f>A23+1</f>
        <v>15</v>
      </c>
      <c r="B24" s="14"/>
      <c r="C24" s="22"/>
      <c r="D24" s="22"/>
      <c r="E24" s="34" t="s">
        <v>340</v>
      </c>
      <c r="F24" s="1305">
        <f>'27-Allocators'!G15</f>
        <v>6.0220089469584258E-2</v>
      </c>
      <c r="G24" s="120" t="str">
        <f>"27-Allocators, Line "&amp;'27-Allocators'!A15&amp;""</f>
        <v>27-Allocators, Line 9</v>
      </c>
    </row>
    <row r="25" spans="1:7">
      <c r="A25" s="14"/>
      <c r="B25" s="14"/>
      <c r="C25" s="14"/>
      <c r="D25" s="22"/>
      <c r="E25" s="34"/>
      <c r="F25" s="33"/>
      <c r="G25" s="16"/>
    </row>
    <row r="26" spans="1:7">
      <c r="A26" s="117">
        <f>A24+1</f>
        <v>16</v>
      </c>
      <c r="B26" s="14"/>
      <c r="C26" s="22" t="s">
        <v>102</v>
      </c>
      <c r="D26" s="22"/>
      <c r="E26" s="374" t="s">
        <v>173</v>
      </c>
      <c r="F26" s="33">
        <f>F21*F24</f>
        <v>15154307.349344747</v>
      </c>
      <c r="G26" s="13" t="str">
        <f>"Line "&amp;A21&amp;" * Line "&amp;A24&amp;""</f>
        <v>Line 13 * Line 15</v>
      </c>
    </row>
    <row r="27" spans="1:7">
      <c r="A27" s="117">
        <f>A26+1</f>
        <v>17</v>
      </c>
      <c r="B27" s="14"/>
      <c r="C27" s="22"/>
      <c r="D27" s="22"/>
      <c r="E27" s="560" t="s">
        <v>2197</v>
      </c>
      <c r="F27" s="33">
        <f>F23*F24</f>
        <v>15799394.46928025</v>
      </c>
      <c r="G27" s="13" t="str">
        <f>"Line "&amp;A23&amp;" * Line "&amp;A24&amp;""</f>
        <v>Line 14 * Line 15</v>
      </c>
    </row>
    <row r="28" spans="1:7">
      <c r="A28" s="14"/>
      <c r="B28" s="14"/>
      <c r="C28" s="14"/>
      <c r="D28" s="14"/>
      <c r="E28" s="14"/>
      <c r="F28" s="14"/>
    </row>
    <row r="29" spans="1:7">
      <c r="A29" s="14"/>
      <c r="B29" s="44" t="s">
        <v>175</v>
      </c>
      <c r="C29" s="14"/>
      <c r="D29" s="14"/>
      <c r="E29" s="14"/>
      <c r="F29" s="14"/>
    </row>
    <row r="30" spans="1:7">
      <c r="A30" s="14"/>
      <c r="B30" s="14"/>
      <c r="C30" s="14" t="s">
        <v>7</v>
      </c>
      <c r="D30" s="14"/>
      <c r="E30" s="578"/>
      <c r="F30" s="28"/>
      <c r="G30" s="27"/>
    </row>
    <row r="31" spans="1:7">
      <c r="A31" s="14"/>
      <c r="B31" s="14"/>
      <c r="C31" s="14" t="s">
        <v>2038</v>
      </c>
      <c r="D31" s="14"/>
      <c r="E31" s="578"/>
      <c r="F31" s="28"/>
      <c r="G31" s="27"/>
    </row>
    <row r="32" spans="1:7">
      <c r="C32" s="21"/>
      <c r="D32" s="17"/>
      <c r="E32" s="26" t="s">
        <v>213</v>
      </c>
      <c r="F32" s="80" t="s">
        <v>268</v>
      </c>
      <c r="G32" s="26"/>
    </row>
    <row r="33" spans="1:11">
      <c r="C33" s="25" t="s">
        <v>211</v>
      </c>
      <c r="D33" s="25" t="s">
        <v>212</v>
      </c>
      <c r="E33" s="25" t="s">
        <v>198</v>
      </c>
      <c r="F33" s="31" t="s">
        <v>2</v>
      </c>
      <c r="G33" s="29" t="s">
        <v>187</v>
      </c>
    </row>
    <row r="34" spans="1:11">
      <c r="A34" s="117">
        <f>A27+1</f>
        <v>18</v>
      </c>
      <c r="B34" s="14"/>
      <c r="C34" s="305" t="s">
        <v>199</v>
      </c>
      <c r="D34" s="153">
        <v>2014</v>
      </c>
      <c r="E34" s="568" t="s">
        <v>2063</v>
      </c>
      <c r="F34" s="561">
        <f>F63</f>
        <v>88925394</v>
      </c>
      <c r="G34" s="568" t="str">
        <f>"See Note 1, "&amp;B63&amp;""</f>
        <v>See Note 1, c</v>
      </c>
    </row>
    <row r="35" spans="1:11">
      <c r="A35" s="117">
        <f>A34+1</f>
        <v>19</v>
      </c>
      <c r="B35" s="14"/>
      <c r="C35" s="976" t="s">
        <v>200</v>
      </c>
      <c r="D35" s="153">
        <v>2015</v>
      </c>
      <c r="E35" s="568" t="s">
        <v>33</v>
      </c>
      <c r="F35" s="114">
        <v>86123498.189999998</v>
      </c>
      <c r="G35" s="568"/>
      <c r="J35" s="7"/>
      <c r="K35" s="7"/>
    </row>
    <row r="36" spans="1:11">
      <c r="A36" s="117">
        <f t="shared" ref="A36:A46" si="1">A35+1</f>
        <v>20</v>
      </c>
      <c r="B36" s="14"/>
      <c r="C36" s="976" t="s">
        <v>201</v>
      </c>
      <c r="D36" s="153">
        <v>2015</v>
      </c>
      <c r="E36" s="568" t="s">
        <v>33</v>
      </c>
      <c r="F36" s="114">
        <v>83470757.920000002</v>
      </c>
      <c r="G36" s="568"/>
      <c r="J36" s="7"/>
      <c r="K36" s="7"/>
    </row>
    <row r="37" spans="1:11">
      <c r="A37" s="117">
        <f t="shared" si="1"/>
        <v>21</v>
      </c>
      <c r="B37" s="14"/>
      <c r="C37" s="976" t="s">
        <v>214</v>
      </c>
      <c r="D37" s="153">
        <v>2015</v>
      </c>
      <c r="E37" s="568" t="s">
        <v>33</v>
      </c>
      <c r="F37" s="114">
        <v>71913979</v>
      </c>
      <c r="G37" s="568"/>
      <c r="J37" s="7"/>
      <c r="K37" s="7"/>
    </row>
    <row r="38" spans="1:11">
      <c r="A38" s="117">
        <f t="shared" si="1"/>
        <v>22</v>
      </c>
      <c r="B38" s="14"/>
      <c r="C38" s="976" t="s">
        <v>202</v>
      </c>
      <c r="D38" s="153">
        <v>2015</v>
      </c>
      <c r="E38" s="568" t="s">
        <v>33</v>
      </c>
      <c r="F38" s="114">
        <v>107967484.14</v>
      </c>
      <c r="G38" s="568"/>
      <c r="J38" s="7"/>
      <c r="K38" s="7"/>
    </row>
    <row r="39" spans="1:11">
      <c r="A39" s="117">
        <f t="shared" si="1"/>
        <v>23</v>
      </c>
      <c r="B39" s="14"/>
      <c r="C39" s="976" t="s">
        <v>203</v>
      </c>
      <c r="D39" s="153">
        <v>2015</v>
      </c>
      <c r="E39" s="568" t="s">
        <v>33</v>
      </c>
      <c r="F39" s="114">
        <v>73406081</v>
      </c>
      <c r="G39" s="568"/>
      <c r="J39" s="7"/>
      <c r="K39" s="7"/>
    </row>
    <row r="40" spans="1:11">
      <c r="A40" s="117">
        <f t="shared" si="1"/>
        <v>24</v>
      </c>
      <c r="B40" s="14"/>
      <c r="C40" s="976" t="s">
        <v>1663</v>
      </c>
      <c r="D40" s="153">
        <v>2015</v>
      </c>
      <c r="E40" s="568" t="s">
        <v>33</v>
      </c>
      <c r="F40" s="114">
        <v>104324620.5</v>
      </c>
      <c r="G40" s="568"/>
      <c r="J40" s="7"/>
      <c r="K40" s="7"/>
    </row>
    <row r="41" spans="1:11">
      <c r="A41" s="117">
        <f t="shared" si="1"/>
        <v>25</v>
      </c>
      <c r="B41" s="14"/>
      <c r="C41" s="976" t="s">
        <v>205</v>
      </c>
      <c r="D41" s="153">
        <v>2015</v>
      </c>
      <c r="E41" s="568" t="s">
        <v>33</v>
      </c>
      <c r="F41" s="114">
        <v>99328635.739999995</v>
      </c>
      <c r="G41" s="568"/>
      <c r="J41" s="7"/>
      <c r="K41" s="7"/>
    </row>
    <row r="42" spans="1:11">
      <c r="A42" s="117">
        <f t="shared" si="1"/>
        <v>26</v>
      </c>
      <c r="B42" s="14"/>
      <c r="C42" s="976" t="s">
        <v>206</v>
      </c>
      <c r="D42" s="153">
        <v>2015</v>
      </c>
      <c r="E42" s="568" t="s">
        <v>33</v>
      </c>
      <c r="F42" s="114">
        <v>93490849.280000001</v>
      </c>
      <c r="G42" s="568"/>
      <c r="J42" s="7"/>
      <c r="K42" s="7"/>
    </row>
    <row r="43" spans="1:11">
      <c r="A43" s="117">
        <f t="shared" si="1"/>
        <v>27</v>
      </c>
      <c r="B43" s="14"/>
      <c r="C43" s="976" t="s">
        <v>207</v>
      </c>
      <c r="D43" s="153">
        <v>2015</v>
      </c>
      <c r="E43" s="568" t="s">
        <v>33</v>
      </c>
      <c r="F43" s="114">
        <v>71609544.530000001</v>
      </c>
      <c r="G43" s="568"/>
      <c r="J43" s="7"/>
      <c r="K43" s="7"/>
    </row>
    <row r="44" spans="1:11">
      <c r="A44" s="117">
        <f t="shared" si="1"/>
        <v>28</v>
      </c>
      <c r="B44" s="14"/>
      <c r="C44" s="976" t="s">
        <v>210</v>
      </c>
      <c r="D44" s="153">
        <v>2015</v>
      </c>
      <c r="E44" s="568" t="s">
        <v>33</v>
      </c>
      <c r="F44" s="114">
        <v>58284760.630000003</v>
      </c>
      <c r="G44" s="568"/>
      <c r="J44" s="7"/>
      <c r="K44" s="7"/>
    </row>
    <row r="45" spans="1:11">
      <c r="A45" s="117">
        <f t="shared" si="1"/>
        <v>29</v>
      </c>
      <c r="B45" s="14"/>
      <c r="C45" s="976" t="s">
        <v>209</v>
      </c>
      <c r="D45" s="153">
        <v>2015</v>
      </c>
      <c r="E45" s="568" t="s">
        <v>33</v>
      </c>
      <c r="F45" s="557">
        <v>66475173</v>
      </c>
      <c r="G45" s="568"/>
      <c r="J45" s="7"/>
      <c r="K45" s="7"/>
    </row>
    <row r="46" spans="1:11">
      <c r="A46" s="117">
        <f t="shared" si="1"/>
        <v>30</v>
      </c>
      <c r="B46" s="14"/>
      <c r="C46" s="21" t="s">
        <v>199</v>
      </c>
      <c r="D46" s="153">
        <v>2015</v>
      </c>
      <c r="E46" s="568" t="s">
        <v>2040</v>
      </c>
      <c r="F46" s="33">
        <f>F69</f>
        <v>91007488</v>
      </c>
      <c r="G46" s="568" t="str">
        <f>"See Note 1, "&amp;B69&amp;""</f>
        <v>See Note 1, f</v>
      </c>
    </row>
    <row r="47" spans="1:11">
      <c r="A47" s="14"/>
      <c r="B47" s="14"/>
      <c r="C47" s="21"/>
      <c r="D47" s="24"/>
      <c r="E47" s="23"/>
      <c r="F47" s="33"/>
      <c r="G47" s="16"/>
    </row>
    <row r="48" spans="1:11">
      <c r="A48" s="14"/>
      <c r="B48" s="14"/>
      <c r="C48" s="727" t="s">
        <v>2036</v>
      </c>
      <c r="D48" s="727"/>
      <c r="E48" s="1054"/>
      <c r="F48" s="14"/>
      <c r="G48" s="30"/>
    </row>
    <row r="49" spans="1:8">
      <c r="A49" s="117">
        <f>A46+1</f>
        <v>31</v>
      </c>
      <c r="B49" s="14"/>
      <c r="C49" s="22"/>
      <c r="D49" s="22"/>
      <c r="E49" s="769" t="s">
        <v>2037</v>
      </c>
      <c r="F49" s="33">
        <f>SUM(F34:F46)/13</f>
        <v>84332943.533076912</v>
      </c>
      <c r="G49" s="120" t="str">
        <f>"(Sum Line "&amp;A34&amp;" to Line "&amp;A46&amp;") / 13"</f>
        <v>(Sum Line 18 to Line 30) / 13</v>
      </c>
    </row>
    <row r="50" spans="1:8">
      <c r="A50" s="117">
        <f>A49+1</f>
        <v>32</v>
      </c>
      <c r="B50" s="14"/>
      <c r="C50" s="22"/>
      <c r="D50" s="22"/>
      <c r="E50" s="34" t="s">
        <v>340</v>
      </c>
      <c r="F50" s="1299">
        <f>'27-Allocators'!G15</f>
        <v>6.0220089469584258E-2</v>
      </c>
      <c r="G50" s="120" t="str">
        <f>"27-Allocators, Line "&amp;'27-Allocators'!A15&amp;""</f>
        <v>27-Allocators, Line 9</v>
      </c>
    </row>
    <row r="51" spans="1:8">
      <c r="A51" s="117">
        <f>A50+1</f>
        <v>33</v>
      </c>
      <c r="B51" s="14"/>
      <c r="C51" s="22"/>
      <c r="D51" s="22"/>
      <c r="E51" s="1055" t="s">
        <v>180</v>
      </c>
      <c r="F51" s="33">
        <f>F49*F50</f>
        <v>5078537.404795289</v>
      </c>
      <c r="G51" s="46" t="str">
        <f>"Line "&amp;A49&amp;" * Line "&amp;A50&amp;""</f>
        <v>Line 31 * Line 32</v>
      </c>
    </row>
    <row r="52" spans="1:8">
      <c r="A52" s="14"/>
      <c r="B52" s="14"/>
      <c r="C52" s="22" t="s">
        <v>267</v>
      </c>
      <c r="D52" s="22"/>
      <c r="E52" s="578"/>
      <c r="F52" s="14"/>
      <c r="G52" s="35"/>
    </row>
    <row r="53" spans="1:8">
      <c r="A53" s="117">
        <f>A51+1</f>
        <v>34</v>
      </c>
      <c r="B53" s="14"/>
      <c r="C53" s="22"/>
      <c r="D53" s="22"/>
      <c r="E53" s="34" t="s">
        <v>173</v>
      </c>
      <c r="F53" s="33">
        <f>F46</f>
        <v>91007488</v>
      </c>
      <c r="G53" s="35" t="str">
        <f>"Line "&amp;A46&amp;""</f>
        <v>Line 30</v>
      </c>
    </row>
    <row r="54" spans="1:8">
      <c r="A54" s="117">
        <f>A53+1</f>
        <v>35</v>
      </c>
      <c r="B54" s="14"/>
      <c r="C54" s="22"/>
      <c r="D54" s="22"/>
      <c r="E54" s="34" t="s">
        <v>340</v>
      </c>
      <c r="F54" s="1299">
        <f>'27-Allocators'!G15</f>
        <v>6.0220089469584258E-2</v>
      </c>
      <c r="G54" s="120" t="str">
        <f>"27-Allocators, Line "&amp;'27-Allocators'!A15&amp;""</f>
        <v>27-Allocators, Line 9</v>
      </c>
    </row>
    <row r="55" spans="1:8">
      <c r="A55" s="117">
        <f>A54+1</f>
        <v>36</v>
      </c>
      <c r="B55" s="14"/>
      <c r="C55" s="22"/>
      <c r="D55" s="22"/>
      <c r="E55" s="32" t="s">
        <v>180</v>
      </c>
      <c r="F55" s="33">
        <f>F53*F54</f>
        <v>5480479.0697621154</v>
      </c>
      <c r="G55" s="13" t="str">
        <f>"Line "&amp;A53&amp;" * Line "&amp;A54&amp;""</f>
        <v>Line 34 * Line 35</v>
      </c>
    </row>
    <row r="56" spans="1:8">
      <c r="B56" s="52" t="s">
        <v>256</v>
      </c>
      <c r="C56" s="12"/>
    </row>
    <row r="57" spans="1:8">
      <c r="B57" t="s">
        <v>1917</v>
      </c>
      <c r="C57" s="522" t="str">
        <f>"Remove any amounts related to years prior to the effective date of the formula on "&amp;B62&amp;" and "&amp;B68&amp;" below."</f>
        <v>Remove any amounts related to years prior to the effective date of the formula on b and e below.</v>
      </c>
    </row>
    <row r="58" spans="1:8">
      <c r="A58" s="2"/>
      <c r="E58" s="99"/>
      <c r="F58" s="7"/>
      <c r="G58" s="420"/>
      <c r="H58" s="1"/>
    </row>
    <row r="59" spans="1:8">
      <c r="A59" s="2"/>
      <c r="C59" s="522" t="s">
        <v>2698</v>
      </c>
      <c r="E59" s="99"/>
      <c r="F59" s="80" t="s">
        <v>103</v>
      </c>
      <c r="G59" s="120"/>
    </row>
    <row r="60" spans="1:8">
      <c r="A60" s="2"/>
      <c r="E60" s="99"/>
      <c r="F60" s="31" t="s">
        <v>2</v>
      </c>
      <c r="G60" s="421" t="s">
        <v>198</v>
      </c>
    </row>
    <row r="61" spans="1:8">
      <c r="A61" s="641"/>
      <c r="B61" s="644" t="s">
        <v>1928</v>
      </c>
      <c r="C61" s="19"/>
      <c r="E61" s="520" t="s">
        <v>1918</v>
      </c>
      <c r="F61" s="828">
        <v>88925394</v>
      </c>
      <c r="G61" s="30" t="s">
        <v>178</v>
      </c>
    </row>
    <row r="62" spans="1:8">
      <c r="A62" s="641"/>
      <c r="B62" s="644" t="s">
        <v>1929</v>
      </c>
      <c r="E62" s="520" t="s">
        <v>1927</v>
      </c>
      <c r="F62" s="123">
        <v>0</v>
      </c>
      <c r="G62" s="526" t="s">
        <v>395</v>
      </c>
    </row>
    <row r="63" spans="1:8">
      <c r="A63" s="641"/>
      <c r="B63" s="644" t="s">
        <v>1930</v>
      </c>
      <c r="E63" s="36" t="s">
        <v>1919</v>
      </c>
      <c r="F63" s="7">
        <f>F61-F62</f>
        <v>88925394</v>
      </c>
      <c r="G63" s="13" t="str">
        <f>""&amp;B61&amp;" - "&amp;B62&amp;""</f>
        <v>a - b</v>
      </c>
    </row>
    <row r="64" spans="1:8">
      <c r="A64" s="641"/>
    </row>
    <row r="65" spans="1:7">
      <c r="A65" s="641"/>
      <c r="C65" s="522" t="s">
        <v>2699</v>
      </c>
      <c r="E65" s="99"/>
      <c r="F65" s="80" t="s">
        <v>103</v>
      </c>
      <c r="G65" s="120"/>
    </row>
    <row r="66" spans="1:7">
      <c r="A66" s="641"/>
      <c r="E66" s="99"/>
      <c r="F66" s="31" t="s">
        <v>2</v>
      </c>
      <c r="G66" s="421" t="s">
        <v>198</v>
      </c>
    </row>
    <row r="67" spans="1:7">
      <c r="A67" s="641"/>
      <c r="B67" s="644" t="s">
        <v>1931</v>
      </c>
      <c r="C67" s="19"/>
      <c r="E67" s="520" t="s">
        <v>1918</v>
      </c>
      <c r="F67" s="67">
        <v>91007488</v>
      </c>
      <c r="G67" s="30" t="s">
        <v>179</v>
      </c>
    </row>
    <row r="68" spans="1:7">
      <c r="A68" s="641"/>
      <c r="B68" s="644" t="s">
        <v>1932</v>
      </c>
      <c r="E68" s="520" t="s">
        <v>1927</v>
      </c>
      <c r="F68" s="123">
        <v>0</v>
      </c>
      <c r="G68" s="526" t="s">
        <v>395</v>
      </c>
    </row>
    <row r="69" spans="1:7">
      <c r="A69" s="641"/>
      <c r="B69" s="644" t="s">
        <v>1933</v>
      </c>
      <c r="D69" s="14"/>
      <c r="E69" s="520" t="s">
        <v>1973</v>
      </c>
      <c r="F69" s="7">
        <f>F67-F68</f>
        <v>91007488</v>
      </c>
      <c r="G69" s="13" t="str">
        <f>""&amp;B67&amp;" - "&amp;B68&amp;""</f>
        <v>d - e</v>
      </c>
    </row>
    <row r="73" spans="1:7">
      <c r="F73" s="642"/>
    </row>
  </sheetData>
  <phoneticPr fontId="25" type="noConversion"/>
  <pageMargins left="0.75" right="0.75" top="1" bottom="1" header="0.5" footer="0.5"/>
  <pageSetup scale="75" orientation="portrait" cellComments="asDisplayed" r:id="rId1"/>
  <headerFooter alignWithMargins="0">
    <oddHeader>&amp;CSchedule 13
Working Capital
&amp;RTO11 Draft Annual Update
Attachment 1</oddHeader>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2"/>
  <sheetViews>
    <sheetView zoomScaleNormal="100" workbookViewId="0"/>
  </sheetViews>
  <sheetFormatPr defaultRowHeight="12.75"/>
  <cols>
    <col min="1" max="1" width="4.7109375" customWidth="1"/>
    <col min="2" max="2" width="3.7109375" customWidth="1"/>
    <col min="3" max="3" width="16.7109375" customWidth="1"/>
    <col min="4" max="4" width="9.7109375" customWidth="1"/>
    <col min="5" max="8" width="15.7109375" customWidth="1"/>
    <col min="9" max="11" width="14.7109375" customWidth="1"/>
  </cols>
  <sheetData>
    <row r="1" spans="1:10">
      <c r="A1" s="1" t="s">
        <v>270</v>
      </c>
    </row>
    <row r="2" spans="1:10">
      <c r="A2" s="1" t="s">
        <v>271</v>
      </c>
    </row>
    <row r="3" spans="1:10">
      <c r="B3" s="1"/>
      <c r="H3" s="197" t="s">
        <v>272</v>
      </c>
      <c r="I3" s="102"/>
      <c r="J3" s="57"/>
    </row>
    <row r="4" spans="1:10">
      <c r="B4" s="1" t="s">
        <v>273</v>
      </c>
    </row>
    <row r="5" spans="1:10">
      <c r="B5" s="56" t="s">
        <v>274</v>
      </c>
    </row>
    <row r="6" spans="1:10">
      <c r="B6" s="56" t="s">
        <v>328</v>
      </c>
    </row>
    <row r="7" spans="1:10">
      <c r="B7" s="110" t="s">
        <v>1091</v>
      </c>
    </row>
    <row r="8" spans="1:10">
      <c r="B8" s="110" t="s">
        <v>1691</v>
      </c>
    </row>
    <row r="9" spans="1:10">
      <c r="B9" s="110" t="s">
        <v>1692</v>
      </c>
      <c r="D9" s="1"/>
      <c r="E9" s="1"/>
    </row>
    <row r="10" spans="1:10">
      <c r="B10" s="56"/>
    </row>
    <row r="11" spans="1:10">
      <c r="B11" s="56"/>
      <c r="C11" s="12" t="s">
        <v>391</v>
      </c>
    </row>
    <row r="12" spans="1:10">
      <c r="B12" s="56"/>
      <c r="C12" s="526" t="s">
        <v>1694</v>
      </c>
    </row>
    <row r="13" spans="1:10">
      <c r="B13" s="56"/>
      <c r="C13" s="521" t="s">
        <v>2064</v>
      </c>
      <c r="D13" s="14"/>
      <c r="E13" s="14"/>
      <c r="F13" s="14"/>
      <c r="G13" s="14"/>
      <c r="H13" s="14"/>
      <c r="I13" s="14"/>
    </row>
    <row r="14" spans="1:10">
      <c r="B14" s="56"/>
      <c r="C14" s="521" t="s">
        <v>1695</v>
      </c>
      <c r="D14" s="14"/>
      <c r="E14" s="14"/>
      <c r="F14" s="14"/>
      <c r="G14" s="14"/>
      <c r="H14" s="14"/>
      <c r="I14" s="14"/>
    </row>
    <row r="15" spans="1:10">
      <c r="B15" s="56"/>
      <c r="C15" s="1022" t="s">
        <v>1696</v>
      </c>
      <c r="D15" s="14"/>
      <c r="E15" s="14"/>
      <c r="F15" s="14"/>
      <c r="G15" s="14"/>
      <c r="H15" s="14"/>
      <c r="I15" s="14"/>
    </row>
    <row r="16" spans="1:10">
      <c r="B16" s="56"/>
      <c r="C16" s="521" t="s">
        <v>1698</v>
      </c>
      <c r="D16" s="14"/>
      <c r="E16" s="14"/>
      <c r="F16" s="14"/>
      <c r="G16" s="14"/>
      <c r="H16" s="14"/>
      <c r="I16" s="14"/>
    </row>
    <row r="17" spans="1:10">
      <c r="B17" s="56"/>
      <c r="C17" s="521" t="s">
        <v>1697</v>
      </c>
      <c r="D17" s="14"/>
      <c r="E17" s="14"/>
      <c r="F17" s="14"/>
      <c r="G17" s="14"/>
      <c r="H17" s="14"/>
      <c r="I17" s="14"/>
    </row>
    <row r="18" spans="1:10">
      <c r="B18" s="56"/>
      <c r="C18" s="46"/>
      <c r="D18" s="14"/>
      <c r="E18" s="14"/>
      <c r="F18" s="14"/>
      <c r="G18" s="14"/>
      <c r="H18" s="14"/>
      <c r="I18" s="14"/>
    </row>
    <row r="19" spans="1:10">
      <c r="C19" s="44" t="s">
        <v>1090</v>
      </c>
      <c r="D19" s="14"/>
      <c r="E19" s="14"/>
      <c r="F19" s="14"/>
      <c r="G19" s="14"/>
      <c r="H19" s="14"/>
      <c r="I19" s="14"/>
    </row>
    <row r="20" spans="1:10">
      <c r="C20" s="44"/>
      <c r="D20" s="14"/>
      <c r="E20" s="131" t="s">
        <v>394</v>
      </c>
      <c r="F20" s="131" t="s">
        <v>378</v>
      </c>
      <c r="G20" s="131" t="s">
        <v>379</v>
      </c>
      <c r="H20" s="14"/>
      <c r="I20" s="14"/>
    </row>
    <row r="21" spans="1:10">
      <c r="B21" s="1"/>
      <c r="C21" s="14"/>
      <c r="D21" s="14"/>
      <c r="E21" s="14"/>
      <c r="F21" s="117" t="s">
        <v>73</v>
      </c>
      <c r="G21" s="117" t="s">
        <v>18</v>
      </c>
      <c r="H21" s="14"/>
      <c r="I21" s="14"/>
    </row>
    <row r="22" spans="1:10">
      <c r="B22" s="1"/>
      <c r="C22" s="14"/>
      <c r="D22" s="14"/>
      <c r="E22" s="117" t="s">
        <v>73</v>
      </c>
      <c r="F22" s="1033" t="s">
        <v>254</v>
      </c>
      <c r="G22" s="117" t="s">
        <v>327</v>
      </c>
      <c r="H22" s="14"/>
      <c r="I22" s="14"/>
    </row>
    <row r="23" spans="1:10">
      <c r="B23" s="1"/>
      <c r="C23" s="15"/>
      <c r="D23" s="14"/>
      <c r="E23" s="117" t="s">
        <v>253</v>
      </c>
      <c r="F23" s="117" t="s">
        <v>255</v>
      </c>
      <c r="G23" s="117" t="s">
        <v>1</v>
      </c>
      <c r="H23" s="14"/>
      <c r="I23" s="14"/>
    </row>
    <row r="24" spans="1:10">
      <c r="B24" s="1"/>
      <c r="C24" s="117" t="s">
        <v>8</v>
      </c>
      <c r="D24" s="14"/>
      <c r="E24" s="117" t="s">
        <v>266</v>
      </c>
      <c r="F24" s="117" t="s">
        <v>266</v>
      </c>
      <c r="G24" s="1033" t="s">
        <v>10</v>
      </c>
      <c r="H24" s="14"/>
      <c r="I24" s="14"/>
    </row>
    <row r="25" spans="1:10">
      <c r="A25" s="52" t="s">
        <v>360</v>
      </c>
      <c r="B25" s="1"/>
      <c r="C25" s="131" t="s">
        <v>250</v>
      </c>
      <c r="D25" s="14"/>
      <c r="E25" s="131" t="s">
        <v>194</v>
      </c>
      <c r="F25" s="131" t="s">
        <v>194</v>
      </c>
      <c r="G25" s="131" t="s">
        <v>194</v>
      </c>
      <c r="H25" s="131" t="s">
        <v>256</v>
      </c>
      <c r="I25" s="116"/>
      <c r="J25" s="51"/>
    </row>
    <row r="26" spans="1:10">
      <c r="A26" s="2">
        <v>1</v>
      </c>
      <c r="B26" s="1"/>
      <c r="C26" s="15" t="s">
        <v>369</v>
      </c>
      <c r="D26" s="14"/>
      <c r="E26" s="64">
        <f>'10-CWIP'!E25</f>
        <v>225689500.47</v>
      </c>
      <c r="F26" s="64">
        <f>'10-CWIP'!E26</f>
        <v>288028357.17769235</v>
      </c>
      <c r="G26" s="64">
        <f>'10-CWIP'!K113</f>
        <v>-225689500.46999964</v>
      </c>
      <c r="H26" s="46" t="str">
        <f>"10-CWIP Lines "&amp;'10-CWIP'!A25&amp;", "&amp;'10-CWIP'!A26&amp;", and "&amp;'10-CWIP'!A113&amp;""</f>
        <v>10-CWIP Lines 13, 14, and 80</v>
      </c>
      <c r="I26" s="14"/>
    </row>
    <row r="27" spans="1:10">
      <c r="A27" s="2">
        <f t="shared" ref="A27:A37" si="0">A26+1</f>
        <v>2</v>
      </c>
      <c r="B27" s="1"/>
      <c r="C27" s="15" t="s">
        <v>370</v>
      </c>
      <c r="D27" s="14"/>
      <c r="E27" s="64">
        <f>'10-CWIP'!F25</f>
        <v>0</v>
      </c>
      <c r="F27" s="64">
        <f>'10-CWIP'!F26</f>
        <v>73070.496153846165</v>
      </c>
      <c r="G27" s="64">
        <f>'10-CWIP'!K146</f>
        <v>0</v>
      </c>
      <c r="H27" s="46" t="str">
        <f>"10-CWIP Lines "&amp;'10-CWIP'!A25&amp;", "&amp;'10-CWIP'!A26&amp;", and "&amp;'10-CWIP'!A146&amp;""</f>
        <v>10-CWIP Lines 13, 14, and 106</v>
      </c>
      <c r="I27" s="14"/>
    </row>
    <row r="28" spans="1:10">
      <c r="A28" s="2">
        <f t="shared" si="0"/>
        <v>3</v>
      </c>
      <c r="B28" s="1"/>
      <c r="C28" s="15" t="s">
        <v>371</v>
      </c>
      <c r="D28" s="14"/>
      <c r="E28" s="64">
        <f>'10-CWIP'!G25</f>
        <v>0</v>
      </c>
      <c r="F28" s="64">
        <f>'10-CWIP'!G26</f>
        <v>0</v>
      </c>
      <c r="G28" s="64">
        <f>'10-CWIP'!K177</f>
        <v>0</v>
      </c>
      <c r="H28" s="46" t="str">
        <f>"10-CWIP Lines "&amp;'10-CWIP'!A25&amp;", "&amp;'10-CWIP'!A26&amp;", and "&amp;'10-CWIP'!A177&amp;""</f>
        <v>10-CWIP Lines 13, 14, and 132</v>
      </c>
      <c r="I28" s="14"/>
    </row>
    <row r="29" spans="1:10">
      <c r="A29" s="2">
        <f t="shared" si="0"/>
        <v>4</v>
      </c>
      <c r="B29" s="1"/>
      <c r="C29" s="15" t="s">
        <v>1096</v>
      </c>
      <c r="D29" s="14"/>
      <c r="E29" s="64">
        <f>'10-CWIP'!H25</f>
        <v>0</v>
      </c>
      <c r="F29" s="64">
        <f>'10-CWIP'!H26</f>
        <v>0</v>
      </c>
      <c r="G29" s="64">
        <f>'10-CWIP'!K210</f>
        <v>0</v>
      </c>
      <c r="H29" s="46" t="str">
        <f>"10-CWIP Lines "&amp;'10-CWIP'!A25&amp;", "&amp;'10-CWIP'!A26&amp;", and "&amp;'10-CWIP'!A210&amp;""</f>
        <v>10-CWIP Lines 13, 14, and 158</v>
      </c>
      <c r="I29" s="14"/>
    </row>
    <row r="30" spans="1:10">
      <c r="A30" s="2">
        <f t="shared" si="0"/>
        <v>5</v>
      </c>
      <c r="B30" s="1"/>
      <c r="C30" s="15" t="s">
        <v>1097</v>
      </c>
      <c r="D30" s="14"/>
      <c r="E30" s="64">
        <f>'10-CWIP'!I25</f>
        <v>9220094.2599999998</v>
      </c>
      <c r="F30" s="64">
        <f>'10-CWIP'!I26</f>
        <v>6908502.0492307711</v>
      </c>
      <c r="G30" s="64">
        <f>'10-CWIP'!K241</f>
        <v>-9220094.2599999942</v>
      </c>
      <c r="H30" s="46" t="str">
        <f>"10-CWIP Lines "&amp;'10-CWIP'!A25&amp;", "&amp;'10-CWIP'!A26&amp;", and "&amp;'10-CWIP'!A241&amp;""</f>
        <v>10-CWIP Lines 13, 14, and 184</v>
      </c>
      <c r="I30" s="14"/>
    </row>
    <row r="31" spans="1:10">
      <c r="A31" s="2">
        <f t="shared" si="0"/>
        <v>6</v>
      </c>
      <c r="B31" s="1"/>
      <c r="C31" s="15" t="s">
        <v>1098</v>
      </c>
      <c r="D31" s="14"/>
      <c r="E31" s="64">
        <f>'10-CWIP'!D45</f>
        <v>6769086.5099999998</v>
      </c>
      <c r="F31" s="64">
        <f>'10-CWIP'!D46</f>
        <v>2561180.597692308</v>
      </c>
      <c r="G31" s="64">
        <f>'10-CWIP'!K274</f>
        <v>-1093025.8662307733</v>
      </c>
      <c r="H31" s="46" t="str">
        <f>"10-CWIP Lines "&amp;'10-CWIP'!A45&amp;", "&amp;'10-CWIP'!A46&amp;", and "&amp;'10-CWIP'!A274&amp;""</f>
        <v>10-CWIP Lines 27, 28, and 210</v>
      </c>
      <c r="I31" s="14"/>
    </row>
    <row r="32" spans="1:10">
      <c r="A32" s="2">
        <f t="shared" si="0"/>
        <v>7</v>
      </c>
      <c r="B32" s="1"/>
      <c r="C32" s="15" t="s">
        <v>1099</v>
      </c>
      <c r="D32" s="14"/>
      <c r="E32" s="64">
        <f>'10-CWIP'!E45</f>
        <v>0</v>
      </c>
      <c r="F32" s="64">
        <f>'10-CWIP'!E46</f>
        <v>443475.07</v>
      </c>
      <c r="G32" s="64">
        <f>'10-CWIP'!K305</f>
        <v>0</v>
      </c>
      <c r="H32" s="46" t="str">
        <f>"10-CWIP Lines "&amp;'10-CWIP'!A45&amp;", "&amp;'10-CWIP'!A46&amp;", and "&amp;'10-CWIP'!A305&amp;""</f>
        <v>10-CWIP Lines 27, 28, and 236</v>
      </c>
      <c r="I32" s="14"/>
    </row>
    <row r="33" spans="1:10">
      <c r="A33" s="2">
        <f t="shared" si="0"/>
        <v>8</v>
      </c>
      <c r="B33" s="1"/>
      <c r="C33" s="15" t="s">
        <v>1100</v>
      </c>
      <c r="D33" s="14"/>
      <c r="E33" s="64">
        <f>'10-CWIP'!F45</f>
        <v>2844116.01</v>
      </c>
      <c r="F33" s="64">
        <f>'10-CWIP'!F46</f>
        <v>35833148.962307684</v>
      </c>
      <c r="G33" s="64">
        <f>'10-CWIP'!K338</f>
        <v>4311313.120833341</v>
      </c>
      <c r="H33" s="46" t="str">
        <f>"10-CWIP Lines "&amp;'10-CWIP'!A45&amp;", "&amp;'10-CWIP'!A46&amp;", and "&amp;'10-CWIP'!A338&amp;""</f>
        <v>10-CWIP Lines 27, 28, and 262</v>
      </c>
      <c r="I33" s="14"/>
    </row>
    <row r="34" spans="1:10">
      <c r="A34" s="2">
        <f t="shared" si="0"/>
        <v>9</v>
      </c>
      <c r="B34" s="1"/>
      <c r="C34" s="15" t="s">
        <v>1101</v>
      </c>
      <c r="D34" s="14"/>
      <c r="E34" s="64">
        <f>'10-CWIP'!G45</f>
        <v>52084175.729999997</v>
      </c>
      <c r="F34" s="64">
        <f>'10-CWIP'!G46</f>
        <v>44730230.869230777</v>
      </c>
      <c r="G34" s="64">
        <f>'10-CWIP'!K369</f>
        <v>127839195.10931954</v>
      </c>
      <c r="H34" s="46" t="str">
        <f>"10-CWIP Lines "&amp;'10-CWIP'!A45&amp;", "&amp;'10-CWIP'!A46&amp;", and "&amp;'10-CWIP'!A369&amp;""</f>
        <v>10-CWIP Lines 27, 28, and 288</v>
      </c>
      <c r="I34" s="14"/>
    </row>
    <row r="35" spans="1:10">
      <c r="A35" s="2">
        <f t="shared" si="0"/>
        <v>10</v>
      </c>
      <c r="B35" s="1"/>
      <c r="C35" s="599" t="s">
        <v>564</v>
      </c>
      <c r="E35" s="203" t="s">
        <v>86</v>
      </c>
      <c r="F35" s="203" t="s">
        <v>86</v>
      </c>
      <c r="G35" s="203" t="s">
        <v>86</v>
      </c>
      <c r="H35" s="599" t="s">
        <v>564</v>
      </c>
      <c r="I35" s="14"/>
      <c r="J35" s="14"/>
    </row>
    <row r="36" spans="1:10">
      <c r="A36" s="2">
        <f t="shared" si="0"/>
        <v>11</v>
      </c>
      <c r="B36" s="1"/>
      <c r="C36" s="198"/>
      <c r="E36" s="203"/>
      <c r="F36" s="203"/>
      <c r="G36" s="203"/>
      <c r="H36" s="13"/>
    </row>
    <row r="37" spans="1:10">
      <c r="A37" s="2">
        <f t="shared" si="0"/>
        <v>12</v>
      </c>
      <c r="B37" s="1"/>
      <c r="D37" s="36" t="s">
        <v>216</v>
      </c>
      <c r="E37" s="7">
        <f>SUM(E26:E34)</f>
        <v>296606972.97999996</v>
      </c>
      <c r="F37" s="7">
        <f>SUM(F26:F34)</f>
        <v>378577965.22230768</v>
      </c>
      <c r="G37" s="7">
        <f>SUM(G26:G34)</f>
        <v>-103852112.36607754</v>
      </c>
      <c r="H37" s="53"/>
    </row>
    <row r="38" spans="1:10">
      <c r="B38" s="1"/>
    </row>
    <row r="39" spans="1:10">
      <c r="B39" s="1"/>
      <c r="C39" s="1" t="s">
        <v>1391</v>
      </c>
    </row>
    <row r="40" spans="1:10">
      <c r="B40" s="1"/>
      <c r="C40" s="1"/>
    </row>
    <row r="41" spans="1:10">
      <c r="B41" s="1"/>
      <c r="E41" s="3" t="s">
        <v>394</v>
      </c>
      <c r="F41" s="3" t="s">
        <v>378</v>
      </c>
      <c r="G41" s="3" t="s">
        <v>379</v>
      </c>
    </row>
    <row r="42" spans="1:10">
      <c r="B42" s="1"/>
      <c r="E42" s="528" t="s">
        <v>1666</v>
      </c>
      <c r="F42" s="3"/>
      <c r="G42" s="3"/>
    </row>
    <row r="43" spans="1:10">
      <c r="B43" s="1"/>
      <c r="E43" s="2" t="s">
        <v>73</v>
      </c>
      <c r="F43" s="2" t="s">
        <v>330</v>
      </c>
      <c r="G43" s="2" t="s">
        <v>330</v>
      </c>
    </row>
    <row r="44" spans="1:10">
      <c r="B44" s="1"/>
      <c r="E44" s="2" t="s">
        <v>8</v>
      </c>
      <c r="F44" s="2" t="s">
        <v>1</v>
      </c>
      <c r="G44" s="2" t="s">
        <v>329</v>
      </c>
    </row>
    <row r="45" spans="1:10">
      <c r="B45" s="1"/>
      <c r="E45" s="3" t="s">
        <v>192</v>
      </c>
      <c r="F45" s="3" t="s">
        <v>275</v>
      </c>
      <c r="G45" s="3" t="s">
        <v>3</v>
      </c>
      <c r="H45" s="3" t="s">
        <v>256</v>
      </c>
    </row>
    <row r="46" spans="1:10">
      <c r="A46" s="2">
        <f>A37+1</f>
        <v>13</v>
      </c>
      <c r="B46" s="1"/>
      <c r="C46" t="s">
        <v>251</v>
      </c>
      <c r="E46" s="108">
        <f>F46+G46</f>
        <v>159718238.86265433</v>
      </c>
      <c r="F46" s="64">
        <v>0</v>
      </c>
      <c r="G46" s="64">
        <f>H84</f>
        <v>159718238.86265433</v>
      </c>
      <c r="H46" s="13" t="str">
        <f>"Line "&amp;A84&amp;", C4"</f>
        <v>Line 37, C4</v>
      </c>
    </row>
    <row r="47" spans="1:10">
      <c r="A47" s="2">
        <f>A46+1</f>
        <v>14</v>
      </c>
      <c r="B47" s="1"/>
      <c r="C47" t="s">
        <v>252</v>
      </c>
      <c r="E47" s="108">
        <f>F47+G47</f>
        <v>2721169268.0444202</v>
      </c>
      <c r="F47" s="64">
        <f>E26</f>
        <v>225689500.47</v>
      </c>
      <c r="G47" s="64">
        <f>F84</f>
        <v>2495479767.5744205</v>
      </c>
      <c r="H47" s="13" t="str">
        <f>"Line "&amp;A26&amp;", C1, and Line "&amp;A84&amp;", C2"</f>
        <v>Line 1, C1, and Line 37, C2</v>
      </c>
    </row>
    <row r="48" spans="1:10">
      <c r="A48" s="2">
        <f>A47+1</f>
        <v>15</v>
      </c>
      <c r="B48" s="1"/>
      <c r="C48" s="522" t="s">
        <v>1892</v>
      </c>
      <c r="E48" s="108">
        <f>F48+G48</f>
        <v>729082807.54697227</v>
      </c>
      <c r="F48" s="64">
        <f>E27</f>
        <v>0</v>
      </c>
      <c r="G48" s="64">
        <f>G84</f>
        <v>729082807.54697227</v>
      </c>
      <c r="H48" s="13" t="str">
        <f>"Line "&amp;A27&amp;", C1, and Line "&amp;A84&amp;", C3"</f>
        <v>Line 2, C1, and Line 37, C3</v>
      </c>
    </row>
    <row r="49" spans="1:8">
      <c r="A49" s="2">
        <f>A48+1</f>
        <v>16</v>
      </c>
      <c r="B49" s="1"/>
      <c r="C49" s="599" t="s">
        <v>564</v>
      </c>
      <c r="E49" s="101" t="s">
        <v>86</v>
      </c>
      <c r="F49" s="101" t="s">
        <v>86</v>
      </c>
      <c r="G49" s="101" t="s">
        <v>86</v>
      </c>
      <c r="H49" s="599" t="s">
        <v>564</v>
      </c>
    </row>
    <row r="50" spans="1:8">
      <c r="A50" s="2">
        <f>A49+1</f>
        <v>17</v>
      </c>
      <c r="B50" s="1"/>
      <c r="C50" s="198"/>
      <c r="E50" s="101"/>
      <c r="F50" s="101"/>
      <c r="G50" s="101"/>
      <c r="H50" s="13"/>
    </row>
    <row r="51" spans="1:8">
      <c r="A51" s="2">
        <f>A50+1</f>
        <v>18</v>
      </c>
      <c r="B51" s="1"/>
      <c r="D51" s="520" t="s">
        <v>1896</v>
      </c>
      <c r="E51" s="7">
        <f>SUM(E46:E48)</f>
        <v>3609970314.4540467</v>
      </c>
      <c r="F51" s="101"/>
      <c r="G51" s="101"/>
      <c r="H51" s="526" t="s">
        <v>1897</v>
      </c>
    </row>
    <row r="52" spans="1:8">
      <c r="B52" s="1"/>
    </row>
    <row r="53" spans="1:8">
      <c r="B53" s="1"/>
      <c r="C53" s="1" t="s">
        <v>1693</v>
      </c>
    </row>
    <row r="54" spans="1:8">
      <c r="B54" s="1"/>
      <c r="C54" s="1"/>
    </row>
    <row r="55" spans="1:8">
      <c r="B55" s="1"/>
      <c r="C55" s="1"/>
      <c r="E55" s="3" t="s">
        <v>394</v>
      </c>
      <c r="F55" s="3" t="s">
        <v>378</v>
      </c>
      <c r="G55" s="3" t="s">
        <v>379</v>
      </c>
    </row>
    <row r="56" spans="1:8">
      <c r="B56" s="1"/>
      <c r="E56" s="528" t="s">
        <v>1666</v>
      </c>
      <c r="G56" s="2" t="s">
        <v>10</v>
      </c>
    </row>
    <row r="57" spans="1:8">
      <c r="B57" s="1"/>
      <c r="E57" s="2" t="s">
        <v>73</v>
      </c>
      <c r="F57" s="2" t="s">
        <v>10</v>
      </c>
      <c r="G57" s="2" t="s">
        <v>329</v>
      </c>
    </row>
    <row r="58" spans="1:8">
      <c r="B58" s="1"/>
      <c r="C58" s="2" t="s">
        <v>8</v>
      </c>
      <c r="E58" s="2" t="s">
        <v>8</v>
      </c>
      <c r="F58" s="2" t="s">
        <v>1</v>
      </c>
      <c r="G58" s="2" t="s">
        <v>3</v>
      </c>
    </row>
    <row r="59" spans="1:8" ht="12.75" customHeight="1">
      <c r="B59" s="1"/>
      <c r="C59" s="3" t="s">
        <v>250</v>
      </c>
      <c r="E59" s="3" t="s">
        <v>192</v>
      </c>
      <c r="F59" s="3" t="s">
        <v>275</v>
      </c>
      <c r="G59" s="3" t="s">
        <v>275</v>
      </c>
      <c r="H59" s="3" t="s">
        <v>256</v>
      </c>
    </row>
    <row r="60" spans="1:8">
      <c r="A60" s="2">
        <f>A51+1</f>
        <v>19</v>
      </c>
      <c r="B60" s="1"/>
      <c r="C60" t="s">
        <v>251</v>
      </c>
      <c r="E60" s="108">
        <f>F60+G60</f>
        <v>162088989.50446436</v>
      </c>
      <c r="F60" s="64">
        <v>0</v>
      </c>
      <c r="G60" s="111">
        <f>H85</f>
        <v>162088989.50446436</v>
      </c>
      <c r="H60" s="13" t="str">
        <f>"Line "&amp;A85&amp;", C4"</f>
        <v>Line 38, C4</v>
      </c>
    </row>
    <row r="61" spans="1:8">
      <c r="A61" s="2">
        <f>A60+1</f>
        <v>20</v>
      </c>
      <c r="B61" s="1"/>
      <c r="C61" t="s">
        <v>252</v>
      </c>
      <c r="E61" s="108">
        <f>F61+G61</f>
        <v>2627490664.8974462</v>
      </c>
      <c r="F61" s="64">
        <f>F26</f>
        <v>288028357.17769235</v>
      </c>
      <c r="G61" s="111">
        <f>F85</f>
        <v>2339462307.7197537</v>
      </c>
      <c r="H61" s="13" t="str">
        <f>"Line "&amp;A26&amp;", C2, and Line "&amp;A85&amp;", C2"</f>
        <v>Line 1, C2, and Line 38, C2</v>
      </c>
    </row>
    <row r="62" spans="1:8">
      <c r="A62" s="2">
        <f>A61+1</f>
        <v>21</v>
      </c>
      <c r="B62" s="1"/>
      <c r="C62" s="12" t="s">
        <v>602</v>
      </c>
      <c r="E62" s="108">
        <f>F62+G62</f>
        <v>739286359.77936268</v>
      </c>
      <c r="F62" s="64">
        <f>F27</f>
        <v>73070.496153846165</v>
      </c>
      <c r="G62" s="111">
        <f>G85</f>
        <v>739213289.28320885</v>
      </c>
      <c r="H62" s="13" t="str">
        <f>"Line "&amp;A27&amp;", C2, and Line "&amp;A85&amp;", C3"</f>
        <v>Line 2, C2, and Line 38, C3</v>
      </c>
    </row>
    <row r="63" spans="1:8">
      <c r="A63" s="2">
        <f>A62+1</f>
        <v>22</v>
      </c>
      <c r="B63" s="1"/>
      <c r="C63" s="599" t="s">
        <v>564</v>
      </c>
      <c r="E63" s="101" t="s">
        <v>86</v>
      </c>
      <c r="F63" s="101" t="s">
        <v>86</v>
      </c>
      <c r="G63" s="101" t="s">
        <v>86</v>
      </c>
      <c r="H63" s="599" t="s">
        <v>564</v>
      </c>
    </row>
    <row r="64" spans="1:8">
      <c r="A64" s="2">
        <f>A63+1</f>
        <v>23</v>
      </c>
      <c r="B64" s="1"/>
      <c r="C64" s="198"/>
      <c r="E64" s="101"/>
      <c r="F64" s="101"/>
      <c r="G64" s="101"/>
      <c r="H64" s="13"/>
    </row>
    <row r="65" spans="1:11">
      <c r="A65" s="2">
        <f>A64+1</f>
        <v>24</v>
      </c>
      <c r="B65" s="1"/>
      <c r="D65" s="520" t="s">
        <v>1896</v>
      </c>
      <c r="E65" s="7">
        <f>SUM(E60:E62)</f>
        <v>3528866014.181273</v>
      </c>
      <c r="H65" s="625" t="s">
        <v>1898</v>
      </c>
    </row>
    <row r="66" spans="1:11">
      <c r="A66" s="579"/>
      <c r="B66" s="1"/>
      <c r="D66" s="99"/>
      <c r="E66" s="7"/>
    </row>
    <row r="67" spans="1:11">
      <c r="C67" s="1" t="s">
        <v>1102</v>
      </c>
    </row>
    <row r="68" spans="1:11">
      <c r="E68" s="91" t="s">
        <v>394</v>
      </c>
      <c r="F68" s="91" t="s">
        <v>378</v>
      </c>
      <c r="G68" s="91" t="s">
        <v>379</v>
      </c>
      <c r="H68" s="91" t="s">
        <v>380</v>
      </c>
      <c r="I68" s="91" t="s">
        <v>381</v>
      </c>
      <c r="J68" s="91"/>
    </row>
    <row r="69" spans="1:11">
      <c r="C69" s="2" t="s">
        <v>590</v>
      </c>
      <c r="E69" s="2" t="s">
        <v>593</v>
      </c>
      <c r="F69" s="1016" t="str">
        <f>"L "&amp;A117&amp;" to L "&amp;A129&amp;", C3"</f>
        <v>L 53 to L 65, C3</v>
      </c>
      <c r="G69" s="1016" t="str">
        <f>"L "&amp;A157&amp;" to L "&amp;A169&amp;", C3"</f>
        <v>L 79 to L 91, C3</v>
      </c>
      <c r="H69" s="1016" t="str">
        <f>"L "&amp;A137&amp;" to L "&amp;A149&amp;", C3"</f>
        <v>L 66 to L 78, C3</v>
      </c>
      <c r="I69" s="102"/>
      <c r="K69" s="2"/>
    </row>
    <row r="70" spans="1:11">
      <c r="C70" s="2" t="s">
        <v>212</v>
      </c>
      <c r="E70" s="2" t="s">
        <v>594</v>
      </c>
      <c r="F70" s="14"/>
      <c r="G70" s="117" t="s">
        <v>374</v>
      </c>
      <c r="H70" s="117" t="s">
        <v>591</v>
      </c>
      <c r="I70" s="199"/>
      <c r="J70" s="373"/>
      <c r="K70" s="2"/>
    </row>
    <row r="71" spans="1:11">
      <c r="A71" s="52"/>
      <c r="C71" s="25" t="s">
        <v>211</v>
      </c>
      <c r="D71" s="25" t="s">
        <v>212</v>
      </c>
      <c r="E71" s="3" t="s">
        <v>3</v>
      </c>
      <c r="F71" s="131" t="s">
        <v>249</v>
      </c>
      <c r="G71" s="131" t="s">
        <v>375</v>
      </c>
      <c r="H71" s="131" t="s">
        <v>592</v>
      </c>
      <c r="I71" s="200"/>
      <c r="J71" s="3" t="s">
        <v>187</v>
      </c>
    </row>
    <row r="72" spans="1:11">
      <c r="A72" s="2">
        <f>A65+1</f>
        <v>25</v>
      </c>
      <c r="C72" s="20" t="s">
        <v>199</v>
      </c>
      <c r="D72" s="196">
        <v>2014</v>
      </c>
      <c r="E72" s="60">
        <f>SUM(F72:H72)</f>
        <v>2762002116.4775772</v>
      </c>
      <c r="F72" s="1056">
        <f>G117</f>
        <v>1848586992.542968</v>
      </c>
      <c r="G72" s="1056">
        <f>G157</f>
        <v>748945429.45411205</v>
      </c>
      <c r="H72" s="1056">
        <f>G137</f>
        <v>164469694.48049724</v>
      </c>
      <c r="I72" s="373" t="s">
        <v>86</v>
      </c>
      <c r="J72" s="51" t="s">
        <v>1106</v>
      </c>
    </row>
    <row r="73" spans="1:11">
      <c r="A73" s="2">
        <f>A72+1</f>
        <v>26</v>
      </c>
      <c r="C73" s="20" t="s">
        <v>200</v>
      </c>
      <c r="D73" s="153">
        <v>2015</v>
      </c>
      <c r="E73" s="60">
        <f t="shared" ref="E73:E84" si="1">SUM(F73:H73)</f>
        <v>2803561862.6245837</v>
      </c>
      <c r="F73" s="1056">
        <f t="shared" ref="F73:F84" si="2">G118</f>
        <v>1891956110.1844282</v>
      </c>
      <c r="G73" s="1056">
        <f t="shared" ref="G73:G84" si="3">G158</f>
        <v>747531021.63825917</v>
      </c>
      <c r="H73" s="1056">
        <f t="shared" ref="H73:H84" si="4">G138</f>
        <v>164074730.80189648</v>
      </c>
      <c r="I73" s="373" t="s">
        <v>86</v>
      </c>
      <c r="J73" s="13" t="s">
        <v>1105</v>
      </c>
    </row>
    <row r="74" spans="1:11">
      <c r="A74" s="2">
        <f t="shared" ref="A74:A85" si="5">A73+1</f>
        <v>27</v>
      </c>
      <c r="C74" s="21" t="s">
        <v>201</v>
      </c>
      <c r="D74" s="153">
        <v>2015</v>
      </c>
      <c r="E74" s="60">
        <f t="shared" si="1"/>
        <v>2795645021.5594573</v>
      </c>
      <c r="F74" s="1056">
        <f t="shared" si="2"/>
        <v>1885717377.1122127</v>
      </c>
      <c r="G74" s="1056">
        <f t="shared" si="3"/>
        <v>746261439.21394849</v>
      </c>
      <c r="H74" s="1056">
        <f t="shared" si="4"/>
        <v>163666205.23329577</v>
      </c>
      <c r="I74" s="373" t="s">
        <v>86</v>
      </c>
      <c r="J74" s="373" t="s">
        <v>1104</v>
      </c>
      <c r="K74" s="2"/>
    </row>
    <row r="75" spans="1:11">
      <c r="A75" s="2">
        <f t="shared" si="5"/>
        <v>28</v>
      </c>
      <c r="C75" s="21" t="s">
        <v>214</v>
      </c>
      <c r="D75" s="153">
        <v>2015</v>
      </c>
      <c r="E75" s="60">
        <f t="shared" si="1"/>
        <v>3194942490.7202373</v>
      </c>
      <c r="F75" s="1056">
        <f t="shared" si="2"/>
        <v>2287372676.6299777</v>
      </c>
      <c r="G75" s="1056">
        <f t="shared" si="3"/>
        <v>744298543.49051654</v>
      </c>
      <c r="H75" s="1056">
        <f t="shared" si="4"/>
        <v>163271270.59974277</v>
      </c>
      <c r="I75" s="373" t="s">
        <v>86</v>
      </c>
      <c r="J75" s="373"/>
      <c r="K75" s="2"/>
    </row>
    <row r="76" spans="1:11">
      <c r="A76" s="2">
        <f t="shared" si="5"/>
        <v>29</v>
      </c>
      <c r="C76" s="20" t="s">
        <v>202</v>
      </c>
      <c r="D76" s="153">
        <v>2015</v>
      </c>
      <c r="E76" s="60">
        <f t="shared" si="1"/>
        <v>3417377180.9799576</v>
      </c>
      <c r="F76" s="1056">
        <f t="shared" si="2"/>
        <v>2511443084.4152517</v>
      </c>
      <c r="G76" s="1056">
        <f t="shared" si="3"/>
        <v>743057760.59851599</v>
      </c>
      <c r="H76" s="1056">
        <f t="shared" si="4"/>
        <v>162876335.96618977</v>
      </c>
      <c r="I76" s="373" t="s">
        <v>86</v>
      </c>
      <c r="J76" s="373"/>
      <c r="K76" s="2"/>
    </row>
    <row r="77" spans="1:11">
      <c r="A77" s="2">
        <f t="shared" si="5"/>
        <v>30</v>
      </c>
      <c r="C77" s="21" t="s">
        <v>203</v>
      </c>
      <c r="D77" s="153">
        <v>2015</v>
      </c>
      <c r="E77" s="60">
        <f t="shared" si="1"/>
        <v>3414784700.7140017</v>
      </c>
      <c r="F77" s="1056">
        <f t="shared" si="2"/>
        <v>2510980941.9269123</v>
      </c>
      <c r="G77" s="1056">
        <f t="shared" si="3"/>
        <v>741322357.4544524</v>
      </c>
      <c r="H77" s="1056">
        <f t="shared" si="4"/>
        <v>162481401.33263677</v>
      </c>
      <c r="I77" s="373" t="s">
        <v>86</v>
      </c>
      <c r="J77" s="373"/>
      <c r="K77" s="2"/>
    </row>
    <row r="78" spans="1:11">
      <c r="A78" s="2">
        <f t="shared" si="5"/>
        <v>31</v>
      </c>
      <c r="C78" s="21" t="s">
        <v>204</v>
      </c>
      <c r="D78" s="153">
        <v>2015</v>
      </c>
      <c r="E78" s="60">
        <f t="shared" si="1"/>
        <v>3403811901.2020936</v>
      </c>
      <c r="F78" s="1056">
        <f t="shared" si="2"/>
        <v>2502757829.7793803</v>
      </c>
      <c r="G78" s="1056">
        <f t="shared" si="3"/>
        <v>738967604.72362936</v>
      </c>
      <c r="H78" s="1056">
        <f t="shared" si="4"/>
        <v>162086466.69908378</v>
      </c>
      <c r="I78" s="373" t="s">
        <v>86</v>
      </c>
      <c r="J78" s="373"/>
      <c r="K78" s="2"/>
    </row>
    <row r="79" spans="1:11">
      <c r="A79" s="2">
        <f t="shared" si="5"/>
        <v>32</v>
      </c>
      <c r="C79" s="20" t="s">
        <v>205</v>
      </c>
      <c r="D79" s="153">
        <v>2015</v>
      </c>
      <c r="E79" s="60">
        <f t="shared" si="1"/>
        <v>3399442502.9266171</v>
      </c>
      <c r="F79" s="1056">
        <f t="shared" si="2"/>
        <v>2500340949.5421481</v>
      </c>
      <c r="G79" s="1056">
        <f t="shared" si="3"/>
        <v>737410021.31893814</v>
      </c>
      <c r="H79" s="1056">
        <f t="shared" si="4"/>
        <v>161691532.06553078</v>
      </c>
      <c r="I79" s="373" t="s">
        <v>86</v>
      </c>
      <c r="J79" s="373"/>
      <c r="K79" s="90"/>
    </row>
    <row r="80" spans="1:11">
      <c r="A80" s="2">
        <f t="shared" si="5"/>
        <v>33</v>
      </c>
      <c r="C80" s="21" t="s">
        <v>206</v>
      </c>
      <c r="D80" s="153">
        <v>2015</v>
      </c>
      <c r="E80" s="60">
        <f t="shared" si="1"/>
        <v>3397597625.4714308</v>
      </c>
      <c r="F80" s="1056">
        <f t="shared" si="2"/>
        <v>2500420969.0852065</v>
      </c>
      <c r="G80" s="1056">
        <f t="shared" si="3"/>
        <v>735880006.73424697</v>
      </c>
      <c r="H80" s="1056">
        <f t="shared" si="4"/>
        <v>161296649.65197778</v>
      </c>
      <c r="I80" s="373" t="s">
        <v>86</v>
      </c>
      <c r="J80" s="373"/>
      <c r="K80" s="2"/>
    </row>
    <row r="81" spans="1:11">
      <c r="A81" s="2">
        <f t="shared" si="5"/>
        <v>34</v>
      </c>
      <c r="C81" s="21" t="s">
        <v>207</v>
      </c>
      <c r="D81" s="153">
        <v>2015</v>
      </c>
      <c r="E81" s="60">
        <f t="shared" si="1"/>
        <v>3392223465.2546706</v>
      </c>
      <c r="F81" s="1056">
        <f t="shared" si="2"/>
        <v>2496995372.9722252</v>
      </c>
      <c r="G81" s="1056">
        <f t="shared" si="3"/>
        <v>734325042.78150702</v>
      </c>
      <c r="H81" s="1056">
        <f t="shared" si="4"/>
        <v>160903049.50093856</v>
      </c>
      <c r="I81" s="373" t="s">
        <v>86</v>
      </c>
      <c r="J81" s="373"/>
      <c r="K81" s="2"/>
    </row>
    <row r="82" spans="1:11">
      <c r="A82" s="2">
        <f t="shared" si="5"/>
        <v>35</v>
      </c>
      <c r="C82" s="20" t="s">
        <v>208</v>
      </c>
      <c r="D82" s="153">
        <v>2015</v>
      </c>
      <c r="E82" s="60">
        <f t="shared" si="1"/>
        <v>3384264357.15206</v>
      </c>
      <c r="F82" s="1056">
        <f t="shared" si="2"/>
        <v>2491625762.9935217</v>
      </c>
      <c r="G82" s="1056">
        <f t="shared" si="3"/>
        <v>732130481.53702772</v>
      </c>
      <c r="H82" s="1056">
        <f t="shared" si="4"/>
        <v>160508112.62151048</v>
      </c>
      <c r="I82" s="373" t="s">
        <v>86</v>
      </c>
      <c r="J82" s="373"/>
      <c r="K82" s="2"/>
    </row>
    <row r="83" spans="1:11">
      <c r="A83" s="2">
        <f t="shared" si="5"/>
        <v>36</v>
      </c>
      <c r="C83" s="20" t="s">
        <v>209</v>
      </c>
      <c r="D83" s="153">
        <v>2015</v>
      </c>
      <c r="E83" s="60">
        <f t="shared" si="1"/>
        <v>3380005585.5298204</v>
      </c>
      <c r="F83" s="1056">
        <f t="shared" si="2"/>
        <v>2489332165.5981483</v>
      </c>
      <c r="G83" s="1056">
        <f t="shared" si="3"/>
        <v>730560244.18958926</v>
      </c>
      <c r="H83" s="1056">
        <f t="shared" si="4"/>
        <v>160113175.74208242</v>
      </c>
      <c r="I83" s="373" t="s">
        <v>86</v>
      </c>
      <c r="J83" s="373"/>
      <c r="K83" s="2"/>
    </row>
    <row r="84" spans="1:11">
      <c r="A84" s="2">
        <f t="shared" si="5"/>
        <v>37</v>
      </c>
      <c r="C84" s="20" t="s">
        <v>199</v>
      </c>
      <c r="D84" s="153">
        <v>2015</v>
      </c>
      <c r="E84" s="59">
        <f t="shared" si="1"/>
        <v>3384280813.9840469</v>
      </c>
      <c r="F84" s="375">
        <f t="shared" si="2"/>
        <v>2495479767.5744205</v>
      </c>
      <c r="G84" s="375">
        <f t="shared" si="3"/>
        <v>729082807.54697227</v>
      </c>
      <c r="H84" s="375">
        <f t="shared" si="4"/>
        <v>159718238.86265433</v>
      </c>
      <c r="I84" s="373" t="s">
        <v>86</v>
      </c>
      <c r="J84" s="373"/>
      <c r="K84" s="2"/>
    </row>
    <row r="85" spans="1:11">
      <c r="A85" s="2">
        <f t="shared" si="5"/>
        <v>38</v>
      </c>
      <c r="C85" s="20"/>
      <c r="D85" s="202" t="s">
        <v>598</v>
      </c>
      <c r="E85" s="112">
        <f>SUM(E72:E84)/13</f>
        <v>3240764586.5074277</v>
      </c>
      <c r="F85" s="112">
        <f>SUM(F72:F84)/13</f>
        <v>2339462307.7197537</v>
      </c>
      <c r="G85" s="112">
        <f>SUM(G72:G84)/13</f>
        <v>739213289.28320885</v>
      </c>
      <c r="H85" s="112">
        <f>SUM(H72:H84)/13</f>
        <v>162088989.50446436</v>
      </c>
      <c r="I85" s="44"/>
      <c r="J85" s="1"/>
      <c r="K85" s="2"/>
    </row>
    <row r="87" spans="1:11">
      <c r="A87" s="579"/>
      <c r="C87" s="580" t="s">
        <v>1753</v>
      </c>
      <c r="D87" s="581"/>
      <c r="E87" s="582"/>
      <c r="F87" s="582"/>
      <c r="G87" s="582"/>
      <c r="H87" s="582"/>
      <c r="I87" s="1"/>
      <c r="J87" s="1"/>
    </row>
    <row r="88" spans="1:11">
      <c r="A88" s="579"/>
      <c r="C88" s="580"/>
      <c r="D88" s="581"/>
      <c r="E88" s="91" t="s">
        <v>394</v>
      </c>
      <c r="F88" s="91" t="s">
        <v>378</v>
      </c>
      <c r="G88" s="91" t="s">
        <v>379</v>
      </c>
      <c r="H88" s="582"/>
      <c r="I88" s="1"/>
      <c r="J88" s="1"/>
    </row>
    <row r="89" spans="1:11">
      <c r="A89" s="579"/>
      <c r="C89" s="558"/>
      <c r="D89" s="581"/>
      <c r="G89" s="528" t="s">
        <v>1893</v>
      </c>
      <c r="H89" s="582"/>
      <c r="I89" s="1"/>
      <c r="J89" s="1"/>
    </row>
    <row r="90" spans="1:11">
      <c r="A90" s="579"/>
      <c r="C90" s="558"/>
      <c r="D90" s="581"/>
      <c r="E90" s="370" t="s">
        <v>482</v>
      </c>
      <c r="F90" s="582"/>
      <c r="G90" s="583" t="s">
        <v>1754</v>
      </c>
      <c r="H90" s="582"/>
      <c r="I90" s="1"/>
      <c r="J90" s="1"/>
    </row>
    <row r="91" spans="1:11">
      <c r="A91" s="579"/>
      <c r="C91" s="579" t="s">
        <v>590</v>
      </c>
      <c r="E91" s="370" t="s">
        <v>1755</v>
      </c>
      <c r="F91" s="370" t="s">
        <v>110</v>
      </c>
      <c r="G91" s="370" t="s">
        <v>1755</v>
      </c>
      <c r="H91" s="582"/>
      <c r="I91" s="1"/>
      <c r="J91" s="1"/>
    </row>
    <row r="92" spans="1:11">
      <c r="A92" s="579"/>
      <c r="C92" s="579" t="s">
        <v>212</v>
      </c>
      <c r="E92" s="370" t="s">
        <v>8</v>
      </c>
      <c r="F92" s="4" t="s">
        <v>1756</v>
      </c>
      <c r="G92" s="370" t="s">
        <v>8</v>
      </c>
      <c r="H92" s="582"/>
      <c r="I92" s="1"/>
      <c r="J92" s="1"/>
    </row>
    <row r="93" spans="1:11">
      <c r="A93" s="579"/>
      <c r="C93" s="25" t="s">
        <v>211</v>
      </c>
      <c r="D93" s="25" t="s">
        <v>212</v>
      </c>
      <c r="E93" s="371" t="s">
        <v>1757</v>
      </c>
      <c r="F93" s="3" t="s">
        <v>1758</v>
      </c>
      <c r="G93" s="371" t="s">
        <v>1757</v>
      </c>
      <c r="H93" s="371" t="s">
        <v>1759</v>
      </c>
      <c r="I93" s="1"/>
      <c r="J93" s="1"/>
    </row>
    <row r="94" spans="1:11" ht="12.75" customHeight="1">
      <c r="A94" s="579">
        <f>A85+1</f>
        <v>39</v>
      </c>
      <c r="C94" s="558" t="s">
        <v>199</v>
      </c>
      <c r="D94" s="196">
        <v>2014</v>
      </c>
      <c r="E94" s="7">
        <f t="shared" ref="E94:E106" si="6">H117+H137+H157+H176+H195+H214+H233+H252+H271+H290</f>
        <v>0</v>
      </c>
      <c r="F94" s="584">
        <v>0</v>
      </c>
      <c r="G94" s="582">
        <f>E94-F94</f>
        <v>0</v>
      </c>
      <c r="H94" s="589" t="s">
        <v>1773</v>
      </c>
      <c r="I94" s="1"/>
      <c r="J94" s="7"/>
    </row>
    <row r="95" spans="1:11">
      <c r="A95" s="579">
        <f>A94+1</f>
        <v>40</v>
      </c>
      <c r="C95" s="558" t="s">
        <v>200</v>
      </c>
      <c r="D95" s="153">
        <v>2015</v>
      </c>
      <c r="E95" s="7">
        <f t="shared" si="6"/>
        <v>47678423.669999987</v>
      </c>
      <c r="F95" s="584">
        <v>0</v>
      </c>
      <c r="G95" s="582">
        <f t="shared" ref="G95:G106" si="7">E95-F95</f>
        <v>47678423.669999987</v>
      </c>
      <c r="H95" s="589" t="s">
        <v>1772</v>
      </c>
      <c r="I95" s="79"/>
      <c r="J95" s="7"/>
    </row>
    <row r="96" spans="1:11">
      <c r="A96" s="579">
        <f t="shared" ref="A96:A107" si="8">A95+1</f>
        <v>41</v>
      </c>
      <c r="C96" s="556" t="s">
        <v>201</v>
      </c>
      <c r="D96" s="153">
        <v>2015</v>
      </c>
      <c r="E96" s="7">
        <f t="shared" si="6"/>
        <v>-1579879.2700000182</v>
      </c>
      <c r="F96" s="584">
        <v>0</v>
      </c>
      <c r="G96" s="582">
        <f t="shared" si="7"/>
        <v>-1579879.2700000182</v>
      </c>
      <c r="H96" s="589"/>
      <c r="I96" s="79"/>
      <c r="J96" s="7"/>
    </row>
    <row r="97" spans="1:10">
      <c r="A97" s="579">
        <f t="shared" si="8"/>
        <v>42</v>
      </c>
      <c r="C97" s="556" t="s">
        <v>214</v>
      </c>
      <c r="D97" s="153">
        <v>2015</v>
      </c>
      <c r="E97" s="7">
        <f t="shared" si="6"/>
        <v>405673040.31999981</v>
      </c>
      <c r="F97" s="584">
        <v>0</v>
      </c>
      <c r="G97" s="582">
        <f t="shared" si="7"/>
        <v>405673040.31999981</v>
      </c>
      <c r="H97" s="582"/>
      <c r="I97" s="79"/>
      <c r="J97" s="7"/>
    </row>
    <row r="98" spans="1:10">
      <c r="A98" s="579">
        <f t="shared" si="8"/>
        <v>43</v>
      </c>
      <c r="C98" s="558" t="s">
        <v>202</v>
      </c>
      <c r="D98" s="153">
        <v>2015</v>
      </c>
      <c r="E98" s="7">
        <f t="shared" si="6"/>
        <v>229804484.3800002</v>
      </c>
      <c r="F98" s="584">
        <v>0</v>
      </c>
      <c r="G98" s="582">
        <f t="shared" si="7"/>
        <v>229804484.3800002</v>
      </c>
      <c r="H98" s="582"/>
      <c r="I98" s="79"/>
      <c r="J98" s="7"/>
    </row>
    <row r="99" spans="1:10">
      <c r="A99" s="579">
        <f t="shared" si="8"/>
        <v>44</v>
      </c>
      <c r="C99" s="556" t="s">
        <v>203</v>
      </c>
      <c r="D99" s="153">
        <v>2015</v>
      </c>
      <c r="E99" s="7">
        <f t="shared" si="6"/>
        <v>4846482.1399997473</v>
      </c>
      <c r="F99" s="584">
        <v>0</v>
      </c>
      <c r="G99" s="582">
        <f t="shared" si="7"/>
        <v>4846482.1399997473</v>
      </c>
      <c r="H99" s="582"/>
      <c r="I99" s="79"/>
      <c r="J99" s="7"/>
    </row>
    <row r="100" spans="1:10">
      <c r="A100" s="579">
        <f t="shared" si="8"/>
        <v>45</v>
      </c>
      <c r="C100" s="556" t="s">
        <v>204</v>
      </c>
      <c r="D100" s="153">
        <v>2015</v>
      </c>
      <c r="E100" s="7">
        <f t="shared" si="6"/>
        <v>-717222.79999967664</v>
      </c>
      <c r="F100" s="584">
        <v>0</v>
      </c>
      <c r="G100" s="582">
        <f t="shared" si="7"/>
        <v>-717222.79999967664</v>
      </c>
      <c r="H100" s="582"/>
      <c r="I100" s="79"/>
      <c r="J100" s="7"/>
    </row>
    <row r="101" spans="1:10">
      <c r="A101" s="579">
        <f t="shared" si="8"/>
        <v>46</v>
      </c>
      <c r="C101" s="558" t="s">
        <v>205</v>
      </c>
      <c r="D101" s="153">
        <v>2015</v>
      </c>
      <c r="E101" s="7">
        <f t="shared" si="6"/>
        <v>4296330.919999972</v>
      </c>
      <c r="F101" s="584">
        <v>0</v>
      </c>
      <c r="G101" s="582">
        <f t="shared" si="7"/>
        <v>4296330.919999972</v>
      </c>
      <c r="H101" s="582"/>
      <c r="I101" s="79"/>
      <c r="J101" s="7"/>
    </row>
    <row r="102" spans="1:10">
      <c r="A102" s="579">
        <f t="shared" si="8"/>
        <v>47</v>
      </c>
      <c r="C102" s="556" t="s">
        <v>206</v>
      </c>
      <c r="D102" s="153">
        <v>2015</v>
      </c>
      <c r="E102" s="7">
        <f t="shared" si="6"/>
        <v>5780203.3899998143</v>
      </c>
      <c r="F102" s="584">
        <v>0</v>
      </c>
      <c r="G102" s="582">
        <f t="shared" si="7"/>
        <v>5780203.3899998143</v>
      </c>
      <c r="H102" s="582"/>
      <c r="I102" s="79"/>
      <c r="J102" s="7"/>
    </row>
    <row r="103" spans="1:10">
      <c r="A103" s="579">
        <f t="shared" si="8"/>
        <v>48</v>
      </c>
      <c r="C103" s="556" t="s">
        <v>207</v>
      </c>
      <c r="D103" s="153">
        <v>2015</v>
      </c>
      <c r="E103" s="7">
        <f t="shared" si="6"/>
        <v>2334923.0800000206</v>
      </c>
      <c r="F103" s="584">
        <v>0</v>
      </c>
      <c r="G103" s="582">
        <f t="shared" si="7"/>
        <v>2334923.0800000206</v>
      </c>
      <c r="H103" s="582"/>
      <c r="I103" s="79"/>
      <c r="J103" s="7"/>
    </row>
    <row r="104" spans="1:10">
      <c r="A104" s="579">
        <f t="shared" si="8"/>
        <v>49</v>
      </c>
      <c r="C104" s="558" t="s">
        <v>208</v>
      </c>
      <c r="D104" s="153">
        <v>2015</v>
      </c>
      <c r="E104" s="7">
        <f t="shared" si="6"/>
        <v>-159990.97999973595</v>
      </c>
      <c r="F104" s="584">
        <v>0</v>
      </c>
      <c r="G104" s="582">
        <f t="shared" si="7"/>
        <v>-159990.97999973595</v>
      </c>
      <c r="H104" s="582"/>
      <c r="I104" s="79"/>
      <c r="J104" s="7"/>
    </row>
    <row r="105" spans="1:10">
      <c r="A105" s="579">
        <f t="shared" si="8"/>
        <v>50</v>
      </c>
      <c r="C105" s="558" t="s">
        <v>209</v>
      </c>
      <c r="D105" s="153">
        <v>2015</v>
      </c>
      <c r="E105" s="7">
        <f t="shared" si="6"/>
        <v>1175857.5700006709</v>
      </c>
      <c r="F105" s="584">
        <v>0</v>
      </c>
      <c r="G105" s="582">
        <f t="shared" si="7"/>
        <v>1175857.5700006709</v>
      </c>
      <c r="H105" s="582"/>
      <c r="I105" s="79"/>
      <c r="J105" s="7"/>
    </row>
    <row r="106" spans="1:10">
      <c r="A106" s="579">
        <f t="shared" si="8"/>
        <v>51</v>
      </c>
      <c r="C106" s="558" t="s">
        <v>199</v>
      </c>
      <c r="D106" s="153">
        <v>2015</v>
      </c>
      <c r="E106" s="98">
        <f t="shared" si="6"/>
        <v>14285017.899999537</v>
      </c>
      <c r="F106" s="444">
        <v>0</v>
      </c>
      <c r="G106" s="375">
        <f t="shared" si="7"/>
        <v>14285017.899999537</v>
      </c>
      <c r="H106" s="582"/>
      <c r="I106" s="79"/>
      <c r="J106" s="7"/>
    </row>
    <row r="107" spans="1:10">
      <c r="A107" s="579">
        <f t="shared" si="8"/>
        <v>52</v>
      </c>
      <c r="C107" s="558" t="s">
        <v>215</v>
      </c>
      <c r="D107" s="569"/>
      <c r="E107" s="64">
        <f>SUM(E94:E106)</f>
        <v>713417670.32000029</v>
      </c>
      <c r="F107" s="64">
        <f t="shared" ref="F107:G107" si="9">SUM(F94:F106)</f>
        <v>0</v>
      </c>
      <c r="G107" s="64">
        <f t="shared" si="9"/>
        <v>713417670.32000029</v>
      </c>
      <c r="H107" s="582"/>
      <c r="I107" s="79"/>
      <c r="J107" s="1"/>
    </row>
    <row r="108" spans="1:10">
      <c r="A108" s="579"/>
      <c r="C108" s="558"/>
      <c r="D108" s="569"/>
      <c r="E108" s="64"/>
      <c r="F108" s="582"/>
      <c r="G108" s="582"/>
      <c r="H108" s="582"/>
      <c r="I108" s="79"/>
      <c r="J108" s="1"/>
    </row>
    <row r="110" spans="1:10">
      <c r="C110" s="201" t="s">
        <v>1760</v>
      </c>
    </row>
    <row r="112" spans="1:10">
      <c r="C112" s="1" t="s">
        <v>1761</v>
      </c>
      <c r="E112" s="91" t="s">
        <v>394</v>
      </c>
      <c r="F112" s="91" t="s">
        <v>378</v>
      </c>
      <c r="G112" s="91" t="s">
        <v>379</v>
      </c>
      <c r="H112" s="91" t="s">
        <v>380</v>
      </c>
    </row>
    <row r="113" spans="1:9">
      <c r="G113" s="528" t="s">
        <v>1893</v>
      </c>
      <c r="H113" s="528" t="s">
        <v>1894</v>
      </c>
    </row>
    <row r="114" spans="1:9">
      <c r="C114" s="579" t="s">
        <v>590</v>
      </c>
      <c r="H114" s="523" t="s">
        <v>1895</v>
      </c>
    </row>
    <row r="115" spans="1:9">
      <c r="C115" s="579" t="s">
        <v>212</v>
      </c>
      <c r="E115" s="579" t="s">
        <v>414</v>
      </c>
      <c r="F115" s="579" t="s">
        <v>1762</v>
      </c>
      <c r="G115" s="579" t="s">
        <v>1092</v>
      </c>
      <c r="H115" s="579" t="s">
        <v>1256</v>
      </c>
    </row>
    <row r="116" spans="1:9">
      <c r="C116" s="25" t="s">
        <v>211</v>
      </c>
      <c r="D116" s="25" t="s">
        <v>212</v>
      </c>
      <c r="E116" s="3" t="s">
        <v>1763</v>
      </c>
      <c r="F116" s="3" t="s">
        <v>1205</v>
      </c>
      <c r="G116" s="3" t="s">
        <v>3</v>
      </c>
      <c r="H116" s="3" t="s">
        <v>1758</v>
      </c>
    </row>
    <row r="117" spans="1:9">
      <c r="A117" s="579">
        <f>A107+1</f>
        <v>53</v>
      </c>
      <c r="C117" s="558" t="s">
        <v>199</v>
      </c>
      <c r="D117" s="196">
        <v>2014</v>
      </c>
      <c r="E117" s="114">
        <v>1953449287.4872146</v>
      </c>
      <c r="F117" s="114">
        <v>104862294.9442465</v>
      </c>
      <c r="G117" s="7">
        <f t="shared" ref="G117:G129" si="10">E117-F117</f>
        <v>1848586992.542968</v>
      </c>
      <c r="H117" s="7">
        <f>E117-E117</f>
        <v>0</v>
      </c>
      <c r="I117" s="646"/>
    </row>
    <row r="118" spans="1:9">
      <c r="A118" s="579">
        <f>A117+1</f>
        <v>54</v>
      </c>
      <c r="C118" s="558" t="s">
        <v>200</v>
      </c>
      <c r="D118" s="153">
        <v>2015</v>
      </c>
      <c r="E118" s="114">
        <v>2000965179.9772146</v>
      </c>
      <c r="F118" s="114">
        <v>109009069.79278642</v>
      </c>
      <c r="G118" s="7">
        <f t="shared" si="10"/>
        <v>1891956110.1844282</v>
      </c>
      <c r="H118" s="7">
        <f>E118-E117</f>
        <v>47515892.49000001</v>
      </c>
    </row>
    <row r="119" spans="1:9">
      <c r="A119" s="579">
        <f t="shared" ref="A119:A129" si="11">A118+1</f>
        <v>55</v>
      </c>
      <c r="C119" s="556" t="s">
        <v>201</v>
      </c>
      <c r="D119" s="153">
        <v>2015</v>
      </c>
      <c r="E119" s="114">
        <v>1998982914.0972145</v>
      </c>
      <c r="F119" s="114">
        <v>113265536.98500173</v>
      </c>
      <c r="G119" s="7">
        <f t="shared" si="10"/>
        <v>1885717377.1122127</v>
      </c>
      <c r="H119" s="7">
        <f t="shared" ref="H119:H129" si="12">E119-E118</f>
        <v>-1982265.8800001144</v>
      </c>
    </row>
    <row r="120" spans="1:9">
      <c r="A120" s="579">
        <f t="shared" si="11"/>
        <v>56</v>
      </c>
      <c r="C120" s="556" t="s">
        <v>214</v>
      </c>
      <c r="D120" s="153">
        <v>2015</v>
      </c>
      <c r="E120" s="114">
        <v>2404889627.8472142</v>
      </c>
      <c r="F120" s="114">
        <v>117516951.2172363</v>
      </c>
      <c r="G120" s="7">
        <f t="shared" si="10"/>
        <v>2287372676.6299777</v>
      </c>
      <c r="H120" s="7">
        <f t="shared" si="12"/>
        <v>405906713.74999976</v>
      </c>
    </row>
    <row r="121" spans="1:9">
      <c r="A121" s="579">
        <f t="shared" si="11"/>
        <v>57</v>
      </c>
      <c r="C121" s="558" t="s">
        <v>202</v>
      </c>
      <c r="D121" s="153">
        <v>2015</v>
      </c>
      <c r="E121" s="114">
        <v>2634134061.0672145</v>
      </c>
      <c r="F121" s="114">
        <v>122690976.65196279</v>
      </c>
      <c r="G121" s="7">
        <f t="shared" si="10"/>
        <v>2511443084.4152517</v>
      </c>
      <c r="H121" s="7">
        <f t="shared" si="12"/>
        <v>229244433.22000027</v>
      </c>
    </row>
    <row r="122" spans="1:9">
      <c r="A122" s="579">
        <f t="shared" si="11"/>
        <v>58</v>
      </c>
      <c r="C122" s="556" t="s">
        <v>203</v>
      </c>
      <c r="D122" s="153">
        <v>2015</v>
      </c>
      <c r="E122" s="114">
        <v>2639281798.8272142</v>
      </c>
      <c r="F122" s="114">
        <v>128300856.90030202</v>
      </c>
      <c r="G122" s="7">
        <f t="shared" si="10"/>
        <v>2510980941.9269123</v>
      </c>
      <c r="H122" s="7">
        <f t="shared" si="12"/>
        <v>5147737.759999752</v>
      </c>
    </row>
    <row r="123" spans="1:9">
      <c r="A123" s="579">
        <f t="shared" si="11"/>
        <v>59</v>
      </c>
      <c r="C123" s="556" t="s">
        <v>204</v>
      </c>
      <c r="D123" s="153">
        <v>2015</v>
      </c>
      <c r="E123" s="114">
        <v>2636679091.2972145</v>
      </c>
      <c r="F123" s="114">
        <v>133921261.51783419</v>
      </c>
      <c r="G123" s="7">
        <f t="shared" si="10"/>
        <v>2502757829.7793803</v>
      </c>
      <c r="H123" s="7">
        <f t="shared" si="12"/>
        <v>-2602707.529999733</v>
      </c>
    </row>
    <row r="124" spans="1:9">
      <c r="A124" s="579">
        <f t="shared" si="11"/>
        <v>60</v>
      </c>
      <c r="C124" s="558" t="s">
        <v>205</v>
      </c>
      <c r="D124" s="153">
        <v>2015</v>
      </c>
      <c r="E124" s="114">
        <v>2639874992.4172144</v>
      </c>
      <c r="F124" s="114">
        <v>139534042.87506643</v>
      </c>
      <c r="G124" s="7">
        <f t="shared" si="10"/>
        <v>2500340949.5421481</v>
      </c>
      <c r="H124" s="7">
        <f t="shared" si="12"/>
        <v>3195901.1199998856</v>
      </c>
    </row>
    <row r="125" spans="1:9">
      <c r="A125" s="579">
        <f t="shared" si="11"/>
        <v>61</v>
      </c>
      <c r="C125" s="556" t="s">
        <v>206</v>
      </c>
      <c r="D125" s="153">
        <v>2015</v>
      </c>
      <c r="E125" s="114">
        <v>2645574628.4072142</v>
      </c>
      <c r="F125" s="114">
        <v>145153659.32200775</v>
      </c>
      <c r="G125" s="7">
        <f t="shared" si="10"/>
        <v>2500420969.0852065</v>
      </c>
      <c r="H125" s="7">
        <f t="shared" si="12"/>
        <v>5699635.9899997711</v>
      </c>
    </row>
    <row r="126" spans="1:9">
      <c r="A126" s="579">
        <f t="shared" si="11"/>
        <v>62</v>
      </c>
      <c r="C126" s="556" t="s">
        <v>207</v>
      </c>
      <c r="D126" s="153">
        <v>2015</v>
      </c>
      <c r="E126" s="114">
        <v>2647780916.4572144</v>
      </c>
      <c r="F126" s="114">
        <v>150785543.48498929</v>
      </c>
      <c r="G126" s="7">
        <f t="shared" si="10"/>
        <v>2496995372.9722252</v>
      </c>
      <c r="H126" s="7">
        <f t="shared" si="12"/>
        <v>2206288.0500001907</v>
      </c>
    </row>
    <row r="127" spans="1:9">
      <c r="A127" s="579">
        <f t="shared" si="11"/>
        <v>63</v>
      </c>
      <c r="C127" s="558" t="s">
        <v>208</v>
      </c>
      <c r="D127" s="153">
        <v>2015</v>
      </c>
      <c r="E127" s="114">
        <v>2648047719.9972148</v>
      </c>
      <c r="F127" s="114">
        <v>156421957.00369331</v>
      </c>
      <c r="G127" s="7">
        <f t="shared" si="10"/>
        <v>2491625762.9935217</v>
      </c>
      <c r="H127" s="7">
        <f t="shared" si="12"/>
        <v>266803.54000043869</v>
      </c>
    </row>
    <row r="128" spans="1:9">
      <c r="A128" s="579">
        <f t="shared" si="11"/>
        <v>64</v>
      </c>
      <c r="C128" s="558" t="s">
        <v>209</v>
      </c>
      <c r="D128" s="153">
        <v>2015</v>
      </c>
      <c r="E128" s="114">
        <v>2651391577.5572152</v>
      </c>
      <c r="F128" s="114">
        <v>162059411.95906705</v>
      </c>
      <c r="G128" s="7">
        <f t="shared" si="10"/>
        <v>2489332165.5981483</v>
      </c>
      <c r="H128" s="7">
        <f t="shared" si="12"/>
        <v>3343857.5600004196</v>
      </c>
    </row>
    <row r="129" spans="1:8">
      <c r="A129" s="579">
        <f t="shared" si="11"/>
        <v>65</v>
      </c>
      <c r="C129" s="558" t="s">
        <v>199</v>
      </c>
      <c r="D129" s="153">
        <v>2015</v>
      </c>
      <c r="E129" s="114">
        <v>2663183372.3872147</v>
      </c>
      <c r="F129" s="114">
        <v>167703604.81279424</v>
      </c>
      <c r="G129" s="7">
        <f t="shared" si="10"/>
        <v>2495479767.5744205</v>
      </c>
      <c r="H129" s="7">
        <f t="shared" si="12"/>
        <v>11791794.829999447</v>
      </c>
    </row>
    <row r="130" spans="1:8">
      <c r="A130" s="579"/>
      <c r="C130" s="558"/>
      <c r="D130" s="569"/>
    </row>
    <row r="132" spans="1:8">
      <c r="C132" s="201" t="s">
        <v>1764</v>
      </c>
      <c r="E132" s="91" t="s">
        <v>394</v>
      </c>
      <c r="F132" s="91" t="s">
        <v>378</v>
      </c>
      <c r="G132" s="91" t="s">
        <v>379</v>
      </c>
      <c r="H132" s="91" t="s">
        <v>380</v>
      </c>
    </row>
    <row r="133" spans="1:8">
      <c r="G133" s="528" t="s">
        <v>1893</v>
      </c>
      <c r="H133" s="528" t="s">
        <v>1894</v>
      </c>
    </row>
    <row r="134" spans="1:8">
      <c r="C134" s="579" t="s">
        <v>590</v>
      </c>
      <c r="H134" s="523" t="s">
        <v>1895</v>
      </c>
    </row>
    <row r="135" spans="1:8">
      <c r="C135" s="579" t="s">
        <v>212</v>
      </c>
      <c r="E135" s="579" t="s">
        <v>414</v>
      </c>
      <c r="F135" s="579" t="s">
        <v>1762</v>
      </c>
      <c r="G135" s="579" t="s">
        <v>1092</v>
      </c>
      <c r="H135" s="579" t="s">
        <v>1256</v>
      </c>
    </row>
    <row r="136" spans="1:8">
      <c r="C136" s="25" t="s">
        <v>211</v>
      </c>
      <c r="D136" s="25" t="s">
        <v>212</v>
      </c>
      <c r="E136" s="3" t="s">
        <v>1763</v>
      </c>
      <c r="F136" s="3" t="s">
        <v>1205</v>
      </c>
      <c r="G136" s="3" t="s">
        <v>3</v>
      </c>
      <c r="H136" s="3" t="s">
        <v>1758</v>
      </c>
    </row>
    <row r="137" spans="1:8">
      <c r="A137" s="579">
        <f>A129+1</f>
        <v>66</v>
      </c>
      <c r="C137" s="558" t="s">
        <v>199</v>
      </c>
      <c r="D137" s="196">
        <v>2014</v>
      </c>
      <c r="E137" s="114">
        <v>191520883.09999996</v>
      </c>
      <c r="F137" s="114">
        <v>27051188.619502723</v>
      </c>
      <c r="G137" s="7">
        <f>E137-F137</f>
        <v>164469694.48049724</v>
      </c>
      <c r="H137" s="7">
        <f>E137-E137</f>
        <v>0</v>
      </c>
    </row>
    <row r="138" spans="1:8">
      <c r="A138" s="579">
        <f>A137+1</f>
        <v>67</v>
      </c>
      <c r="C138" s="558" t="s">
        <v>200</v>
      </c>
      <c r="D138" s="153">
        <v>2015</v>
      </c>
      <c r="E138" s="114">
        <v>191520883.09999996</v>
      </c>
      <c r="F138" s="114">
        <v>27446152.298103474</v>
      </c>
      <c r="G138" s="7">
        <f t="shared" ref="G138:G149" si="13">E138-F138</f>
        <v>164074730.80189648</v>
      </c>
      <c r="H138" s="7">
        <f>E138-E137</f>
        <v>0</v>
      </c>
    </row>
    <row r="139" spans="1:8">
      <c r="A139" s="579">
        <f t="shared" ref="A139:A149" si="14">A138+1</f>
        <v>68</v>
      </c>
      <c r="C139" s="556" t="s">
        <v>201</v>
      </c>
      <c r="D139" s="153">
        <v>2015</v>
      </c>
      <c r="E139" s="114">
        <v>191507321.20999998</v>
      </c>
      <c r="F139" s="114">
        <v>27841115.976704217</v>
      </c>
      <c r="G139" s="7">
        <f t="shared" si="13"/>
        <v>163666205.23329577</v>
      </c>
      <c r="H139" s="7">
        <f t="shared" ref="H139:H149" si="15">E139-E138</f>
        <v>-13561.889999985695</v>
      </c>
    </row>
    <row r="140" spans="1:8">
      <c r="A140" s="579">
        <f t="shared" si="14"/>
        <v>69</v>
      </c>
      <c r="C140" s="556" t="s">
        <v>214</v>
      </c>
      <c r="D140" s="153">
        <v>2015</v>
      </c>
      <c r="E140" s="114">
        <v>191507321.20999998</v>
      </c>
      <c r="F140" s="114">
        <v>28236050.61025722</v>
      </c>
      <c r="G140" s="7">
        <f t="shared" si="13"/>
        <v>163271270.59974277</v>
      </c>
      <c r="H140" s="7">
        <f t="shared" si="15"/>
        <v>0</v>
      </c>
    </row>
    <row r="141" spans="1:8">
      <c r="A141" s="579">
        <f t="shared" si="14"/>
        <v>70</v>
      </c>
      <c r="C141" s="558" t="s">
        <v>202</v>
      </c>
      <c r="D141" s="153">
        <v>2015</v>
      </c>
      <c r="E141" s="114">
        <v>191507321.20999998</v>
      </c>
      <c r="F141" s="114">
        <v>28630985.243810218</v>
      </c>
      <c r="G141" s="7">
        <f t="shared" si="13"/>
        <v>162876335.96618977</v>
      </c>
      <c r="H141" s="7">
        <f t="shared" si="15"/>
        <v>0</v>
      </c>
    </row>
    <row r="142" spans="1:8">
      <c r="A142" s="579">
        <f t="shared" si="14"/>
        <v>71</v>
      </c>
      <c r="C142" s="556" t="s">
        <v>203</v>
      </c>
      <c r="D142" s="153">
        <v>2015</v>
      </c>
      <c r="E142" s="114">
        <v>191507321.20999998</v>
      </c>
      <c r="F142" s="114">
        <v>29025919.877363216</v>
      </c>
      <c r="G142" s="7">
        <f t="shared" si="13"/>
        <v>162481401.33263677</v>
      </c>
      <c r="H142" s="7">
        <f t="shared" si="15"/>
        <v>0</v>
      </c>
    </row>
    <row r="143" spans="1:8">
      <c r="A143" s="579">
        <f t="shared" si="14"/>
        <v>72</v>
      </c>
      <c r="C143" s="556" t="s">
        <v>204</v>
      </c>
      <c r="D143" s="153">
        <v>2015</v>
      </c>
      <c r="E143" s="114">
        <v>191507321.20999998</v>
      </c>
      <c r="F143" s="114">
        <v>29420854.510916214</v>
      </c>
      <c r="G143" s="7">
        <f t="shared" si="13"/>
        <v>162086466.69908378</v>
      </c>
      <c r="H143" s="7">
        <f t="shared" si="15"/>
        <v>0</v>
      </c>
    </row>
    <row r="144" spans="1:8">
      <c r="A144" s="579">
        <f t="shared" si="14"/>
        <v>73</v>
      </c>
      <c r="C144" s="558" t="s">
        <v>205</v>
      </c>
      <c r="D144" s="153">
        <v>2015</v>
      </c>
      <c r="E144" s="114">
        <v>191507321.20999998</v>
      </c>
      <c r="F144" s="114">
        <v>29815789.144469213</v>
      </c>
      <c r="G144" s="7">
        <f t="shared" si="13"/>
        <v>161691532.06553078</v>
      </c>
      <c r="H144" s="7">
        <f t="shared" si="15"/>
        <v>0</v>
      </c>
    </row>
    <row r="145" spans="1:8">
      <c r="A145" s="579">
        <f t="shared" si="14"/>
        <v>74</v>
      </c>
      <c r="C145" s="556" t="s">
        <v>206</v>
      </c>
      <c r="D145" s="153">
        <v>2015</v>
      </c>
      <c r="E145" s="114">
        <v>191507373.42999998</v>
      </c>
      <c r="F145" s="114">
        <v>30210723.778022211</v>
      </c>
      <c r="G145" s="7">
        <f t="shared" si="13"/>
        <v>161296649.65197778</v>
      </c>
      <c r="H145" s="7">
        <f t="shared" si="15"/>
        <v>52.219999998807907</v>
      </c>
    </row>
    <row r="146" spans="1:8">
      <c r="A146" s="579">
        <f t="shared" si="14"/>
        <v>75</v>
      </c>
      <c r="C146" s="556" t="s">
        <v>207</v>
      </c>
      <c r="D146" s="153">
        <v>2015</v>
      </c>
      <c r="E146" s="114">
        <v>191508708.01999995</v>
      </c>
      <c r="F146" s="114">
        <v>30605658.519061379</v>
      </c>
      <c r="G146" s="7">
        <f t="shared" si="13"/>
        <v>160903049.50093856</v>
      </c>
      <c r="H146" s="7">
        <f t="shared" si="15"/>
        <v>1334.589999973774</v>
      </c>
    </row>
    <row r="147" spans="1:8">
      <c r="A147" s="579">
        <f t="shared" si="14"/>
        <v>76</v>
      </c>
      <c r="C147" s="558" t="s">
        <v>208</v>
      </c>
      <c r="D147" s="153">
        <v>2015</v>
      </c>
      <c r="E147" s="114">
        <v>191508708.01999995</v>
      </c>
      <c r="F147" s="114">
        <v>31000595.398489464</v>
      </c>
      <c r="G147" s="7">
        <f t="shared" si="13"/>
        <v>160508112.62151048</v>
      </c>
      <c r="H147" s="7">
        <f t="shared" si="15"/>
        <v>0</v>
      </c>
    </row>
    <row r="148" spans="1:8">
      <c r="A148" s="579">
        <f t="shared" si="14"/>
        <v>77</v>
      </c>
      <c r="C148" s="558" t="s">
        <v>209</v>
      </c>
      <c r="D148" s="153">
        <v>2015</v>
      </c>
      <c r="E148" s="114">
        <v>191508708.01999995</v>
      </c>
      <c r="F148" s="114">
        <v>31395532.277917549</v>
      </c>
      <c r="G148" s="7">
        <f t="shared" si="13"/>
        <v>160113175.74208242</v>
      </c>
      <c r="H148" s="7">
        <f t="shared" si="15"/>
        <v>0</v>
      </c>
    </row>
    <row r="149" spans="1:8">
      <c r="A149" s="579">
        <f t="shared" si="14"/>
        <v>78</v>
      </c>
      <c r="C149" s="558" t="s">
        <v>199</v>
      </c>
      <c r="D149" s="153">
        <v>2015</v>
      </c>
      <c r="E149" s="114">
        <v>191508708.01999995</v>
      </c>
      <c r="F149" s="114">
        <v>31790469.15734563</v>
      </c>
      <c r="G149" s="7">
        <f t="shared" si="13"/>
        <v>159718238.86265433</v>
      </c>
      <c r="H149" s="7">
        <f t="shared" si="15"/>
        <v>0</v>
      </c>
    </row>
    <row r="150" spans="1:8">
      <c r="A150" s="579"/>
    </row>
    <row r="151" spans="1:8" ht="12.75" customHeight="1"/>
    <row r="152" spans="1:8">
      <c r="C152" s="201" t="s">
        <v>1765</v>
      </c>
      <c r="E152" s="91" t="s">
        <v>394</v>
      </c>
      <c r="F152" s="91" t="s">
        <v>378</v>
      </c>
      <c r="G152" s="91" t="s">
        <v>379</v>
      </c>
      <c r="H152" s="91" t="s">
        <v>380</v>
      </c>
    </row>
    <row r="153" spans="1:8">
      <c r="G153" s="528" t="s">
        <v>1893</v>
      </c>
      <c r="H153" s="528" t="s">
        <v>1894</v>
      </c>
    </row>
    <row r="154" spans="1:8">
      <c r="C154" s="579" t="s">
        <v>590</v>
      </c>
      <c r="H154" s="523" t="s">
        <v>1895</v>
      </c>
    </row>
    <row r="155" spans="1:8">
      <c r="C155" s="579" t="s">
        <v>212</v>
      </c>
      <c r="E155" s="579" t="s">
        <v>414</v>
      </c>
      <c r="F155" s="579" t="s">
        <v>1762</v>
      </c>
      <c r="G155" s="579" t="s">
        <v>1092</v>
      </c>
      <c r="H155" s="579" t="s">
        <v>1256</v>
      </c>
    </row>
    <row r="156" spans="1:8">
      <c r="C156" s="25" t="s">
        <v>211</v>
      </c>
      <c r="D156" s="25" t="s">
        <v>212</v>
      </c>
      <c r="E156" s="3" t="s">
        <v>1763</v>
      </c>
      <c r="F156" s="3" t="s">
        <v>1205</v>
      </c>
      <c r="G156" s="3" t="s">
        <v>3</v>
      </c>
      <c r="H156" s="3" t="s">
        <v>1758</v>
      </c>
    </row>
    <row r="157" spans="1:8">
      <c r="A157" s="579">
        <f>A149+1</f>
        <v>79</v>
      </c>
      <c r="C157" s="558" t="s">
        <v>199</v>
      </c>
      <c r="D157" s="196">
        <v>2014</v>
      </c>
      <c r="E157" s="114">
        <v>775358367.74999988</v>
      </c>
      <c r="F157" s="114">
        <v>26412938.295887832</v>
      </c>
      <c r="G157" s="7">
        <f t="shared" ref="G157:G169" si="16">E157-F157</f>
        <v>748945429.45411205</v>
      </c>
      <c r="H157" s="7">
        <f>E157-E157</f>
        <v>0</v>
      </c>
    </row>
    <row r="158" spans="1:8">
      <c r="A158" s="579">
        <f>A157+1</f>
        <v>80</v>
      </c>
      <c r="C158" s="558" t="s">
        <v>200</v>
      </c>
      <c r="D158" s="153">
        <v>2015</v>
      </c>
      <c r="E158" s="114">
        <v>775599980.12999988</v>
      </c>
      <c r="F158" s="114">
        <v>28068958.491740745</v>
      </c>
      <c r="G158" s="7">
        <f t="shared" si="16"/>
        <v>747531021.63825917</v>
      </c>
      <c r="H158" s="7">
        <f>E158-E157</f>
        <v>241612.37999999523</v>
      </c>
    </row>
    <row r="159" spans="1:8">
      <c r="A159" s="579">
        <f t="shared" ref="A159:A169" si="17">A158+1</f>
        <v>81</v>
      </c>
      <c r="C159" s="556" t="s">
        <v>201</v>
      </c>
      <c r="D159" s="153">
        <v>2015</v>
      </c>
      <c r="E159" s="114">
        <v>775987009.08999991</v>
      </c>
      <c r="F159" s="114">
        <v>29725569.876051415</v>
      </c>
      <c r="G159" s="7">
        <f t="shared" si="16"/>
        <v>746261439.21394849</v>
      </c>
      <c r="H159" s="7">
        <f t="shared" ref="H159:H169" si="18">E159-E158</f>
        <v>387028.96000003815</v>
      </c>
    </row>
    <row r="160" spans="1:8">
      <c r="A160" s="579">
        <f t="shared" si="17"/>
        <v>82</v>
      </c>
      <c r="C160" s="556" t="s">
        <v>214</v>
      </c>
      <c r="D160" s="153">
        <v>2015</v>
      </c>
      <c r="E160" s="114">
        <v>775681611.18999994</v>
      </c>
      <c r="F160" s="114">
        <v>31383067.69948341</v>
      </c>
      <c r="G160" s="7">
        <f t="shared" si="16"/>
        <v>744298543.49051654</v>
      </c>
      <c r="H160" s="7">
        <f t="shared" si="18"/>
        <v>-305397.89999997616</v>
      </c>
    </row>
    <row r="161" spans="1:8">
      <c r="A161" s="579">
        <f t="shared" si="17"/>
        <v>83</v>
      </c>
      <c r="C161" s="558" t="s">
        <v>202</v>
      </c>
      <c r="D161" s="153">
        <v>2015</v>
      </c>
      <c r="E161" s="114">
        <v>776097689.83999991</v>
      </c>
      <c r="F161" s="114">
        <v>33039929.241483919</v>
      </c>
      <c r="G161" s="7">
        <f t="shared" si="16"/>
        <v>743057760.59851599</v>
      </c>
      <c r="H161" s="7">
        <f t="shared" si="18"/>
        <v>416078.64999997616</v>
      </c>
    </row>
    <row r="162" spans="1:8">
      <c r="A162" s="579">
        <f t="shared" si="17"/>
        <v>84</v>
      </c>
      <c r="C162" s="556" t="s">
        <v>203</v>
      </c>
      <c r="D162" s="153">
        <v>2015</v>
      </c>
      <c r="E162" s="114">
        <v>776020133.31999993</v>
      </c>
      <c r="F162" s="114">
        <v>34697775.865547583</v>
      </c>
      <c r="G162" s="7">
        <f t="shared" si="16"/>
        <v>741322357.4544524</v>
      </c>
      <c r="H162" s="7">
        <f t="shared" si="18"/>
        <v>-77556.519999980927</v>
      </c>
    </row>
    <row r="163" spans="1:8">
      <c r="A163" s="579">
        <f t="shared" si="17"/>
        <v>85</v>
      </c>
      <c r="C163" s="556" t="s">
        <v>204</v>
      </c>
      <c r="D163" s="153">
        <v>2015</v>
      </c>
      <c r="E163" s="114">
        <v>775323094.52999997</v>
      </c>
      <c r="F163" s="114">
        <v>36355489.806370668</v>
      </c>
      <c r="G163" s="7">
        <f t="shared" si="16"/>
        <v>738967604.72362936</v>
      </c>
      <c r="H163" s="7">
        <f t="shared" si="18"/>
        <v>-697038.78999996185</v>
      </c>
    </row>
    <row r="164" spans="1:8">
      <c r="A164" s="579">
        <f t="shared" si="17"/>
        <v>86</v>
      </c>
      <c r="C164" s="558" t="s">
        <v>205</v>
      </c>
      <c r="D164" s="153">
        <v>2015</v>
      </c>
      <c r="E164" s="114">
        <v>775421459.73000002</v>
      </c>
      <c r="F164" s="114">
        <v>38011438.411061831</v>
      </c>
      <c r="G164" s="7">
        <f t="shared" si="16"/>
        <v>737410021.31893814</v>
      </c>
      <c r="H164" s="7">
        <f t="shared" si="18"/>
        <v>98365.200000047684</v>
      </c>
    </row>
    <row r="165" spans="1:8">
      <c r="A165" s="579">
        <f t="shared" si="17"/>
        <v>87</v>
      </c>
      <c r="C165" s="556" t="s">
        <v>206</v>
      </c>
      <c r="D165" s="153">
        <v>2015</v>
      </c>
      <c r="E165" s="114">
        <v>775547575.05000007</v>
      </c>
      <c r="F165" s="114">
        <v>39667568.31575308</v>
      </c>
      <c r="G165" s="7">
        <f t="shared" si="16"/>
        <v>735880006.73424697</v>
      </c>
      <c r="H165" s="7">
        <f t="shared" si="18"/>
        <v>126115.32000005245</v>
      </c>
    </row>
    <row r="166" spans="1:8">
      <c r="A166" s="579">
        <f t="shared" si="17"/>
        <v>88</v>
      </c>
      <c r="C166" s="556" t="s">
        <v>207</v>
      </c>
      <c r="D166" s="153">
        <v>2015</v>
      </c>
      <c r="E166" s="114">
        <v>775649007.06999993</v>
      </c>
      <c r="F166" s="114">
        <v>41323964.288492911</v>
      </c>
      <c r="G166" s="7">
        <f t="shared" si="16"/>
        <v>734325042.78150702</v>
      </c>
      <c r="H166" s="7">
        <f t="shared" si="18"/>
        <v>101432.01999986172</v>
      </c>
    </row>
    <row r="167" spans="1:8">
      <c r="A167" s="579">
        <f t="shared" si="17"/>
        <v>89</v>
      </c>
      <c r="C167" s="558" t="s">
        <v>208</v>
      </c>
      <c r="D167" s="153">
        <v>2015</v>
      </c>
      <c r="E167" s="114">
        <v>775111055.28999984</v>
      </c>
      <c r="F167" s="114">
        <v>42980573.752972081</v>
      </c>
      <c r="G167" s="7">
        <f t="shared" si="16"/>
        <v>732130481.53702772</v>
      </c>
      <c r="H167" s="7">
        <f t="shared" si="18"/>
        <v>-537951.7800000906</v>
      </c>
    </row>
    <row r="168" spans="1:8">
      <c r="A168" s="579">
        <f t="shared" si="17"/>
        <v>90</v>
      </c>
      <c r="C168" s="558" t="s">
        <v>209</v>
      </c>
      <c r="D168" s="153">
        <v>2015</v>
      </c>
      <c r="E168" s="114">
        <v>775196292.01999998</v>
      </c>
      <c r="F168" s="114">
        <v>44636047.830410667</v>
      </c>
      <c r="G168" s="7">
        <f t="shared" si="16"/>
        <v>730560244.18958926</v>
      </c>
      <c r="H168" s="7">
        <f t="shared" si="18"/>
        <v>85236.730000138283</v>
      </c>
    </row>
    <row r="169" spans="1:8">
      <c r="A169" s="579">
        <f t="shared" si="17"/>
        <v>91</v>
      </c>
      <c r="C169" s="558" t="s">
        <v>199</v>
      </c>
      <c r="D169" s="153">
        <v>2015</v>
      </c>
      <c r="E169" s="114">
        <v>775374513.05000007</v>
      </c>
      <c r="F169" s="114">
        <v>46291705.503027752</v>
      </c>
      <c r="G169" s="7">
        <f t="shared" si="16"/>
        <v>729082807.54697227</v>
      </c>
      <c r="H169" s="7">
        <f t="shared" si="18"/>
        <v>178221.0300000906</v>
      </c>
    </row>
    <row r="171" spans="1:8">
      <c r="C171" s="201" t="s">
        <v>1766</v>
      </c>
      <c r="E171" s="91" t="s">
        <v>394</v>
      </c>
      <c r="F171" s="91" t="s">
        <v>378</v>
      </c>
      <c r="G171" s="91" t="s">
        <v>379</v>
      </c>
      <c r="H171" s="91" t="s">
        <v>380</v>
      </c>
    </row>
    <row r="172" spans="1:8">
      <c r="G172" s="528" t="s">
        <v>1893</v>
      </c>
      <c r="H172" s="528" t="s">
        <v>1894</v>
      </c>
    </row>
    <row r="173" spans="1:8">
      <c r="C173" s="579" t="s">
        <v>590</v>
      </c>
      <c r="H173" s="523" t="s">
        <v>1895</v>
      </c>
    </row>
    <row r="174" spans="1:8">
      <c r="C174" s="579" t="s">
        <v>212</v>
      </c>
      <c r="E174" s="579" t="s">
        <v>414</v>
      </c>
      <c r="F174" s="579" t="s">
        <v>1762</v>
      </c>
      <c r="G174" s="579" t="s">
        <v>1092</v>
      </c>
      <c r="H174" s="579" t="s">
        <v>1256</v>
      </c>
    </row>
    <row r="175" spans="1:8">
      <c r="C175" s="25" t="s">
        <v>211</v>
      </c>
      <c r="D175" s="25" t="s">
        <v>212</v>
      </c>
      <c r="E175" s="3" t="s">
        <v>1763</v>
      </c>
      <c r="F175" s="3" t="s">
        <v>1205</v>
      </c>
      <c r="G175" s="3" t="s">
        <v>3</v>
      </c>
      <c r="H175" s="3" t="s">
        <v>1758</v>
      </c>
    </row>
    <row r="176" spans="1:8">
      <c r="A176" s="579">
        <f>A169+1</f>
        <v>92</v>
      </c>
      <c r="C176" s="558" t="s">
        <v>199</v>
      </c>
      <c r="D176" s="196">
        <v>2014</v>
      </c>
      <c r="E176" s="114">
        <v>315362755.60999995</v>
      </c>
      <c r="F176" s="114">
        <v>12420969.35639333</v>
      </c>
      <c r="G176" s="7">
        <f t="shared" ref="G176:G188" si="19">E176-F176</f>
        <v>302941786.25360662</v>
      </c>
      <c r="H176" s="7">
        <f>E176-E176</f>
        <v>0</v>
      </c>
    </row>
    <row r="177" spans="1:8">
      <c r="A177" s="579">
        <f>A176+1</f>
        <v>93</v>
      </c>
      <c r="C177" s="558" t="s">
        <v>200</v>
      </c>
      <c r="D177" s="153">
        <v>2015</v>
      </c>
      <c r="E177" s="114">
        <v>315278806.94999993</v>
      </c>
      <c r="F177" s="114">
        <v>13156613.627222998</v>
      </c>
      <c r="G177" s="7">
        <f t="shared" si="19"/>
        <v>302122193.32277691</v>
      </c>
      <c r="H177" s="7">
        <f>E177-E176</f>
        <v>-83948.660000026226</v>
      </c>
    </row>
    <row r="178" spans="1:8">
      <c r="A178" s="579">
        <f t="shared" ref="A178:A188" si="20">A177+1</f>
        <v>94</v>
      </c>
      <c r="C178" s="556" t="s">
        <v>201</v>
      </c>
      <c r="D178" s="153">
        <v>2015</v>
      </c>
      <c r="E178" s="114">
        <v>315263673.70999998</v>
      </c>
      <c r="F178" s="114">
        <v>13892083.157615079</v>
      </c>
      <c r="G178" s="7">
        <f t="shared" si="19"/>
        <v>301371590.55238491</v>
      </c>
      <c r="H178" s="7">
        <f t="shared" ref="H178:H188" si="21">E178-E177</f>
        <v>-15133.239999949932</v>
      </c>
    </row>
    <row r="179" spans="1:8">
      <c r="A179" s="579">
        <f t="shared" si="20"/>
        <v>95</v>
      </c>
      <c r="C179" s="556" t="s">
        <v>214</v>
      </c>
      <c r="D179" s="153">
        <v>2015</v>
      </c>
      <c r="E179" s="114">
        <v>315318229.74000001</v>
      </c>
      <c r="F179" s="114">
        <v>14627521.59427708</v>
      </c>
      <c r="G179" s="7">
        <f t="shared" si="19"/>
        <v>300690708.14572293</v>
      </c>
      <c r="H179" s="7">
        <f t="shared" si="21"/>
        <v>54556.030000030994</v>
      </c>
    </row>
    <row r="180" spans="1:8">
      <c r="A180" s="579">
        <f t="shared" si="20"/>
        <v>96</v>
      </c>
      <c r="C180" s="558" t="s">
        <v>202</v>
      </c>
      <c r="D180" s="153">
        <v>2015</v>
      </c>
      <c r="E180" s="114">
        <v>315435999.50999999</v>
      </c>
      <c r="F180" s="114">
        <v>15363074.418282164</v>
      </c>
      <c r="G180" s="7">
        <f t="shared" si="19"/>
        <v>300072925.09171784</v>
      </c>
      <c r="H180" s="7">
        <f t="shared" si="21"/>
        <v>117769.76999998093</v>
      </c>
    </row>
    <row r="181" spans="1:8">
      <c r="A181" s="579">
        <f t="shared" si="20"/>
        <v>97</v>
      </c>
      <c r="C181" s="556" t="s">
        <v>203</v>
      </c>
      <c r="D181" s="153">
        <v>2015</v>
      </c>
      <c r="E181" s="114">
        <v>315360035.16999996</v>
      </c>
      <c r="F181" s="114">
        <v>16098872.563626995</v>
      </c>
      <c r="G181" s="7">
        <f t="shared" si="19"/>
        <v>299261162.60637295</v>
      </c>
      <c r="H181" s="7">
        <f t="shared" si="21"/>
        <v>-75964.340000033379</v>
      </c>
    </row>
    <row r="182" spans="1:8">
      <c r="A182" s="579">
        <f t="shared" si="20"/>
        <v>98</v>
      </c>
      <c r="C182" s="556" t="s">
        <v>204</v>
      </c>
      <c r="D182" s="153">
        <v>2015</v>
      </c>
      <c r="E182" s="114">
        <v>315363424.81</v>
      </c>
      <c r="F182" s="114">
        <v>16834513.624867663</v>
      </c>
      <c r="G182" s="7">
        <f t="shared" si="19"/>
        <v>298528911.18513232</v>
      </c>
      <c r="H182" s="7">
        <f t="shared" si="21"/>
        <v>3389.6400000452995</v>
      </c>
    </row>
    <row r="183" spans="1:8">
      <c r="A183" s="579">
        <f t="shared" si="20"/>
        <v>99</v>
      </c>
      <c r="C183" s="558" t="s">
        <v>205</v>
      </c>
      <c r="D183" s="153">
        <v>2015</v>
      </c>
      <c r="E183" s="114">
        <v>315717067.16000003</v>
      </c>
      <c r="F183" s="114">
        <v>17570162.177741244</v>
      </c>
      <c r="G183" s="7">
        <f t="shared" si="19"/>
        <v>298146904.9822588</v>
      </c>
      <c r="H183" s="7">
        <f t="shared" si="21"/>
        <v>353642.35000002384</v>
      </c>
    </row>
    <row r="184" spans="1:8">
      <c r="A184" s="579">
        <f t="shared" si="20"/>
        <v>100</v>
      </c>
      <c r="C184" s="556" t="s">
        <v>206</v>
      </c>
      <c r="D184" s="153">
        <v>2015</v>
      </c>
      <c r="E184" s="114">
        <v>315717303.81</v>
      </c>
      <c r="F184" s="114">
        <v>18306300.941199996</v>
      </c>
      <c r="G184" s="7">
        <f t="shared" si="19"/>
        <v>297411002.86879998</v>
      </c>
      <c r="H184" s="7">
        <f t="shared" si="21"/>
        <v>236.64999997615814</v>
      </c>
    </row>
    <row r="185" spans="1:8">
      <c r="A185" s="579">
        <f t="shared" si="20"/>
        <v>101</v>
      </c>
      <c r="C185" s="556" t="s">
        <v>207</v>
      </c>
      <c r="D185" s="153">
        <v>2015</v>
      </c>
      <c r="E185" s="114">
        <v>315717648.67000002</v>
      </c>
      <c r="F185" s="114">
        <v>19042439.823218245</v>
      </c>
      <c r="G185" s="7">
        <f t="shared" si="19"/>
        <v>296675208.84678179</v>
      </c>
      <c r="H185" s="7">
        <f t="shared" si="21"/>
        <v>344.86000001430511</v>
      </c>
    </row>
    <row r="186" spans="1:8">
      <c r="A186" s="579">
        <f t="shared" si="20"/>
        <v>102</v>
      </c>
      <c r="C186" s="558" t="s">
        <v>208</v>
      </c>
      <c r="D186" s="153">
        <v>2015</v>
      </c>
      <c r="E186" s="114">
        <v>315716349.18999994</v>
      </c>
      <c r="F186" s="114">
        <v>19778579.427231662</v>
      </c>
      <c r="G186" s="7">
        <f t="shared" si="19"/>
        <v>295937769.76276827</v>
      </c>
      <c r="H186" s="7">
        <f t="shared" si="21"/>
        <v>-1299.4800000786781</v>
      </c>
    </row>
    <row r="187" spans="1:8">
      <c r="A187" s="579">
        <f t="shared" si="20"/>
        <v>103</v>
      </c>
      <c r="C187" s="558" t="s">
        <v>209</v>
      </c>
      <c r="D187" s="153">
        <v>2015</v>
      </c>
      <c r="E187" s="114">
        <v>315711680.68000001</v>
      </c>
      <c r="F187" s="114">
        <v>20515130.203423493</v>
      </c>
      <c r="G187" s="7">
        <f t="shared" si="19"/>
        <v>295196550.47657651</v>
      </c>
      <c r="H187" s="7">
        <f t="shared" si="21"/>
        <v>-4668.5099999308586</v>
      </c>
    </row>
    <row r="188" spans="1:8">
      <c r="A188" s="579">
        <f t="shared" si="20"/>
        <v>104</v>
      </c>
      <c r="C188" s="558" t="s">
        <v>199</v>
      </c>
      <c r="D188" s="153">
        <v>2015</v>
      </c>
      <c r="E188" s="114">
        <v>315716881.74000001</v>
      </c>
      <c r="F188" s="114">
        <v>21251670.594933741</v>
      </c>
      <c r="G188" s="7">
        <f t="shared" si="19"/>
        <v>294465211.14506626</v>
      </c>
      <c r="H188" s="7">
        <f t="shared" si="21"/>
        <v>5201.0600000023842</v>
      </c>
    </row>
    <row r="190" spans="1:8">
      <c r="C190" s="201" t="s">
        <v>1767</v>
      </c>
      <c r="E190" s="91" t="s">
        <v>394</v>
      </c>
      <c r="F190" s="91" t="s">
        <v>378</v>
      </c>
      <c r="G190" s="91" t="s">
        <v>379</v>
      </c>
      <c r="H190" s="91" t="s">
        <v>380</v>
      </c>
    </row>
    <row r="191" spans="1:8">
      <c r="G191" s="528" t="s">
        <v>1893</v>
      </c>
      <c r="H191" s="528" t="s">
        <v>1894</v>
      </c>
    </row>
    <row r="192" spans="1:8">
      <c r="C192" s="579" t="s">
        <v>590</v>
      </c>
      <c r="H192" s="523" t="s">
        <v>1895</v>
      </c>
    </row>
    <row r="193" spans="1:8">
      <c r="C193" s="579" t="s">
        <v>212</v>
      </c>
      <c r="E193" s="579" t="s">
        <v>414</v>
      </c>
      <c r="F193" s="579" t="s">
        <v>1762</v>
      </c>
      <c r="G193" s="579" t="s">
        <v>1092</v>
      </c>
      <c r="H193" s="579" t="s">
        <v>1256</v>
      </c>
    </row>
    <row r="194" spans="1:8">
      <c r="C194" s="25" t="s">
        <v>211</v>
      </c>
      <c r="D194" s="25" t="s">
        <v>212</v>
      </c>
      <c r="E194" s="3" t="s">
        <v>1763</v>
      </c>
      <c r="F194" s="3" t="s">
        <v>1205</v>
      </c>
      <c r="G194" s="3" t="s">
        <v>3</v>
      </c>
      <c r="H194" s="3" t="s">
        <v>1758</v>
      </c>
    </row>
    <row r="195" spans="1:8">
      <c r="A195" s="579">
        <f>A188+1</f>
        <v>105</v>
      </c>
      <c r="C195" s="558" t="s">
        <v>199</v>
      </c>
      <c r="D195" s="196">
        <v>2014</v>
      </c>
      <c r="E195" s="114">
        <v>0</v>
      </c>
      <c r="F195" s="114">
        <v>0</v>
      </c>
      <c r="G195" s="7">
        <f t="shared" ref="G195:G207" si="22">E195-F195</f>
        <v>0</v>
      </c>
      <c r="H195" s="7">
        <f>E195-E195</f>
        <v>0</v>
      </c>
    </row>
    <row r="196" spans="1:8">
      <c r="A196" s="579">
        <f>A195+1</f>
        <v>106</v>
      </c>
      <c r="C196" s="558" t="s">
        <v>200</v>
      </c>
      <c r="D196" s="153">
        <v>2015</v>
      </c>
      <c r="E196" s="114">
        <v>0</v>
      </c>
      <c r="F196" s="114">
        <v>0</v>
      </c>
      <c r="G196" s="7">
        <f t="shared" si="22"/>
        <v>0</v>
      </c>
      <c r="H196" s="7">
        <f>E196-E195</f>
        <v>0</v>
      </c>
    </row>
    <row r="197" spans="1:8">
      <c r="A197" s="579">
        <f t="shared" ref="A197:A207" si="23">A196+1</f>
        <v>107</v>
      </c>
      <c r="C197" s="556" t="s">
        <v>201</v>
      </c>
      <c r="D197" s="153">
        <v>2015</v>
      </c>
      <c r="E197" s="114">
        <v>0</v>
      </c>
      <c r="F197" s="114">
        <v>0</v>
      </c>
      <c r="G197" s="7">
        <f t="shared" si="22"/>
        <v>0</v>
      </c>
      <c r="H197" s="7">
        <f t="shared" ref="H197:H207" si="24">E197-E196</f>
        <v>0</v>
      </c>
    </row>
    <row r="198" spans="1:8">
      <c r="A198" s="579">
        <f t="shared" si="23"/>
        <v>108</v>
      </c>
      <c r="C198" s="556" t="s">
        <v>214</v>
      </c>
      <c r="D198" s="153">
        <v>2015</v>
      </c>
      <c r="E198" s="114">
        <v>0</v>
      </c>
      <c r="F198" s="114">
        <v>0</v>
      </c>
      <c r="G198" s="7">
        <f t="shared" si="22"/>
        <v>0</v>
      </c>
      <c r="H198" s="7">
        <f t="shared" si="24"/>
        <v>0</v>
      </c>
    </row>
    <row r="199" spans="1:8">
      <c r="A199" s="579">
        <f t="shared" si="23"/>
        <v>109</v>
      </c>
      <c r="C199" s="558" t="s">
        <v>202</v>
      </c>
      <c r="D199" s="153">
        <v>2015</v>
      </c>
      <c r="E199" s="114">
        <v>0</v>
      </c>
      <c r="F199" s="114">
        <v>0</v>
      </c>
      <c r="G199" s="7">
        <f t="shared" si="22"/>
        <v>0</v>
      </c>
      <c r="H199" s="7">
        <f t="shared" si="24"/>
        <v>0</v>
      </c>
    </row>
    <row r="200" spans="1:8">
      <c r="A200" s="579">
        <f t="shared" si="23"/>
        <v>110</v>
      </c>
      <c r="C200" s="556" t="s">
        <v>203</v>
      </c>
      <c r="D200" s="153">
        <v>2015</v>
      </c>
      <c r="E200" s="114">
        <v>0</v>
      </c>
      <c r="F200" s="114">
        <v>0</v>
      </c>
      <c r="G200" s="7">
        <f t="shared" si="22"/>
        <v>0</v>
      </c>
      <c r="H200" s="7">
        <f t="shared" si="24"/>
        <v>0</v>
      </c>
    </row>
    <row r="201" spans="1:8">
      <c r="A201" s="579">
        <f t="shared" si="23"/>
        <v>111</v>
      </c>
      <c r="C201" s="556" t="s">
        <v>204</v>
      </c>
      <c r="D201" s="153">
        <v>2015</v>
      </c>
      <c r="E201" s="114">
        <v>0</v>
      </c>
      <c r="F201" s="114">
        <v>0</v>
      </c>
      <c r="G201" s="7">
        <f t="shared" si="22"/>
        <v>0</v>
      </c>
      <c r="H201" s="7">
        <f t="shared" si="24"/>
        <v>0</v>
      </c>
    </row>
    <row r="202" spans="1:8">
      <c r="A202" s="579">
        <f t="shared" si="23"/>
        <v>112</v>
      </c>
      <c r="C202" s="558" t="s">
        <v>205</v>
      </c>
      <c r="D202" s="153">
        <v>2015</v>
      </c>
      <c r="E202" s="114">
        <v>0</v>
      </c>
      <c r="F202" s="114">
        <v>0</v>
      </c>
      <c r="G202" s="7">
        <f t="shared" si="22"/>
        <v>0</v>
      </c>
      <c r="H202" s="7">
        <f t="shared" si="24"/>
        <v>0</v>
      </c>
    </row>
    <row r="203" spans="1:8">
      <c r="A203" s="579">
        <f t="shared" si="23"/>
        <v>113</v>
      </c>
      <c r="C203" s="556" t="s">
        <v>206</v>
      </c>
      <c r="D203" s="153">
        <v>2015</v>
      </c>
      <c r="E203" s="114">
        <v>0</v>
      </c>
      <c r="F203" s="114">
        <v>0</v>
      </c>
      <c r="G203" s="7">
        <f t="shared" si="22"/>
        <v>0</v>
      </c>
      <c r="H203" s="7">
        <f t="shared" si="24"/>
        <v>0</v>
      </c>
    </row>
    <row r="204" spans="1:8">
      <c r="A204" s="579">
        <f t="shared" si="23"/>
        <v>114</v>
      </c>
      <c r="C204" s="556" t="s">
        <v>207</v>
      </c>
      <c r="D204" s="153">
        <v>2015</v>
      </c>
      <c r="E204" s="114">
        <v>0</v>
      </c>
      <c r="F204" s="114">
        <v>0</v>
      </c>
      <c r="G204" s="7">
        <f t="shared" si="22"/>
        <v>0</v>
      </c>
      <c r="H204" s="7">
        <f t="shared" si="24"/>
        <v>0</v>
      </c>
    </row>
    <row r="205" spans="1:8">
      <c r="A205" s="579">
        <f t="shared" si="23"/>
        <v>115</v>
      </c>
      <c r="C205" s="558" t="s">
        <v>208</v>
      </c>
      <c r="D205" s="153">
        <v>2015</v>
      </c>
      <c r="E205" s="114">
        <v>0</v>
      </c>
      <c r="F205" s="114">
        <v>0</v>
      </c>
      <c r="G205" s="7">
        <f t="shared" si="22"/>
        <v>0</v>
      </c>
      <c r="H205" s="7">
        <f t="shared" si="24"/>
        <v>0</v>
      </c>
    </row>
    <row r="206" spans="1:8">
      <c r="A206" s="579">
        <f t="shared" si="23"/>
        <v>116</v>
      </c>
      <c r="C206" s="558" t="s">
        <v>209</v>
      </c>
      <c r="D206" s="153">
        <v>2015</v>
      </c>
      <c r="E206" s="114">
        <v>0</v>
      </c>
      <c r="F206" s="114">
        <v>0</v>
      </c>
      <c r="G206" s="7">
        <f t="shared" si="22"/>
        <v>0</v>
      </c>
      <c r="H206" s="7">
        <f t="shared" si="24"/>
        <v>0</v>
      </c>
    </row>
    <row r="207" spans="1:8">
      <c r="A207" s="579">
        <f t="shared" si="23"/>
        <v>117</v>
      </c>
      <c r="C207" s="558" t="s">
        <v>199</v>
      </c>
      <c r="D207" s="153">
        <v>2015</v>
      </c>
      <c r="E207" s="114">
        <v>0</v>
      </c>
      <c r="F207" s="114">
        <v>0</v>
      </c>
      <c r="G207" s="7">
        <f t="shared" si="22"/>
        <v>0</v>
      </c>
      <c r="H207" s="7">
        <f t="shared" si="24"/>
        <v>0</v>
      </c>
    </row>
    <row r="209" spans="1:8">
      <c r="C209" s="201" t="s">
        <v>1768</v>
      </c>
      <c r="E209" s="91" t="s">
        <v>394</v>
      </c>
      <c r="F209" s="91" t="s">
        <v>378</v>
      </c>
      <c r="G209" s="91" t="s">
        <v>379</v>
      </c>
      <c r="H209" s="91" t="s">
        <v>380</v>
      </c>
    </row>
    <row r="210" spans="1:8">
      <c r="G210" s="528" t="s">
        <v>1893</v>
      </c>
      <c r="H210" s="528" t="s">
        <v>1894</v>
      </c>
    </row>
    <row r="211" spans="1:8">
      <c r="C211" s="579" t="s">
        <v>590</v>
      </c>
      <c r="H211" s="523" t="s">
        <v>1895</v>
      </c>
    </row>
    <row r="212" spans="1:8">
      <c r="C212" s="579" t="s">
        <v>212</v>
      </c>
      <c r="E212" s="579" t="s">
        <v>414</v>
      </c>
      <c r="F212" s="579" t="s">
        <v>1762</v>
      </c>
      <c r="G212" s="579" t="s">
        <v>1092</v>
      </c>
      <c r="H212" s="579" t="s">
        <v>1256</v>
      </c>
    </row>
    <row r="213" spans="1:8">
      <c r="C213" s="25" t="s">
        <v>211</v>
      </c>
      <c r="D213" s="25" t="s">
        <v>212</v>
      </c>
      <c r="E213" s="3" t="s">
        <v>1763</v>
      </c>
      <c r="F213" s="3" t="s">
        <v>1205</v>
      </c>
      <c r="G213" s="3" t="s">
        <v>3</v>
      </c>
      <c r="H213" s="3" t="s">
        <v>1758</v>
      </c>
    </row>
    <row r="214" spans="1:8">
      <c r="A214" s="579">
        <f>A207+1</f>
        <v>118</v>
      </c>
      <c r="C214" s="558" t="s">
        <v>199</v>
      </c>
      <c r="D214" s="196">
        <v>2014</v>
      </c>
      <c r="E214" s="114">
        <v>225899760.88999999</v>
      </c>
      <c r="F214" s="114">
        <v>7969659.1805972494</v>
      </c>
      <c r="G214" s="7">
        <f t="shared" ref="G214:G226" si="25">E214-F214</f>
        <v>217930101.70940274</v>
      </c>
      <c r="H214" s="7">
        <f>E214-E214</f>
        <v>0</v>
      </c>
    </row>
    <row r="215" spans="1:8">
      <c r="A215" s="579">
        <f>A214+1</f>
        <v>119</v>
      </c>
      <c r="C215" s="558" t="s">
        <v>200</v>
      </c>
      <c r="D215" s="153">
        <v>2015</v>
      </c>
      <c r="E215" s="114">
        <v>225899760.88999999</v>
      </c>
      <c r="F215" s="114">
        <v>8444382.1629414167</v>
      </c>
      <c r="G215" s="7">
        <f t="shared" si="25"/>
        <v>217455378.72705856</v>
      </c>
      <c r="H215" s="7">
        <f>E215-E214</f>
        <v>0</v>
      </c>
    </row>
    <row r="216" spans="1:8">
      <c r="A216" s="579">
        <f t="shared" ref="A216:A226" si="26">A215+1</f>
        <v>120</v>
      </c>
      <c r="C216" s="556" t="s">
        <v>201</v>
      </c>
      <c r="D216" s="153">
        <v>2015</v>
      </c>
      <c r="E216" s="114">
        <v>225900091.64999998</v>
      </c>
      <c r="F216" s="114">
        <v>8919105.1452855822</v>
      </c>
      <c r="G216" s="7">
        <f t="shared" si="25"/>
        <v>216980986.5047144</v>
      </c>
      <c r="H216" s="7">
        <f t="shared" ref="H216:H226" si="27">E216-E215</f>
        <v>330.75999999046326</v>
      </c>
    </row>
    <row r="217" spans="1:8">
      <c r="A217" s="579">
        <f t="shared" si="26"/>
        <v>121</v>
      </c>
      <c r="C217" s="556" t="s">
        <v>214</v>
      </c>
      <c r="D217" s="153">
        <v>2015</v>
      </c>
      <c r="E217" s="114">
        <v>225904431.42999995</v>
      </c>
      <c r="F217" s="114">
        <v>9393828.8084549159</v>
      </c>
      <c r="G217" s="7">
        <f t="shared" si="25"/>
        <v>216510602.62154502</v>
      </c>
      <c r="H217" s="7">
        <f t="shared" si="27"/>
        <v>4339.7799999713898</v>
      </c>
    </row>
    <row r="218" spans="1:8">
      <c r="A218" s="579">
        <f t="shared" si="26"/>
        <v>122</v>
      </c>
      <c r="C218" s="558" t="s">
        <v>202</v>
      </c>
      <c r="D218" s="153">
        <v>2015</v>
      </c>
      <c r="E218" s="114">
        <v>225906409.77999994</v>
      </c>
      <c r="F218" s="114">
        <v>9868561.404480584</v>
      </c>
      <c r="G218" s="7">
        <f t="shared" si="25"/>
        <v>216037848.37551937</v>
      </c>
      <c r="H218" s="7">
        <f t="shared" si="27"/>
        <v>1978.3499999940395</v>
      </c>
    </row>
    <row r="219" spans="1:8">
      <c r="A219" s="579">
        <f t="shared" si="26"/>
        <v>123</v>
      </c>
      <c r="C219" s="556" t="s">
        <v>203</v>
      </c>
      <c r="D219" s="153">
        <v>2015</v>
      </c>
      <c r="E219" s="114">
        <v>225906653.61999995</v>
      </c>
      <c r="F219" s="114">
        <v>10343298.072675001</v>
      </c>
      <c r="G219" s="7">
        <f t="shared" si="25"/>
        <v>215563355.54732496</v>
      </c>
      <c r="H219" s="7">
        <f t="shared" si="27"/>
        <v>243.84000000357628</v>
      </c>
    </row>
    <row r="220" spans="1:8">
      <c r="A220" s="579">
        <f t="shared" si="26"/>
        <v>124</v>
      </c>
      <c r="C220" s="556" t="s">
        <v>204</v>
      </c>
      <c r="D220" s="153">
        <v>2015</v>
      </c>
      <c r="E220" s="114">
        <v>225936314.95999992</v>
      </c>
      <c r="F220" s="114">
        <v>10818035.242780918</v>
      </c>
      <c r="G220" s="7">
        <f t="shared" si="25"/>
        <v>215118279.717219</v>
      </c>
      <c r="H220" s="7">
        <f t="shared" si="27"/>
        <v>29661.339999973774</v>
      </c>
    </row>
    <row r="221" spans="1:8">
      <c r="A221" s="579">
        <f t="shared" si="26"/>
        <v>125</v>
      </c>
      <c r="C221" s="558" t="s">
        <v>205</v>
      </c>
      <c r="D221" s="153">
        <v>2015</v>
      </c>
      <c r="E221" s="114">
        <v>226459682.14999995</v>
      </c>
      <c r="F221" s="114">
        <v>11292833.466780834</v>
      </c>
      <c r="G221" s="7">
        <f t="shared" si="25"/>
        <v>215166848.68321911</v>
      </c>
      <c r="H221" s="7">
        <f t="shared" si="27"/>
        <v>523367.19000002742</v>
      </c>
    </row>
    <row r="222" spans="1:8">
      <c r="A222" s="579">
        <f t="shared" si="26"/>
        <v>126</v>
      </c>
      <c r="C222" s="556" t="s">
        <v>206</v>
      </c>
      <c r="D222" s="153">
        <v>2015</v>
      </c>
      <c r="E222" s="114">
        <v>226454461.16999996</v>
      </c>
      <c r="F222" s="114">
        <v>11768752.503407666</v>
      </c>
      <c r="G222" s="7">
        <f t="shared" si="25"/>
        <v>214685708.6665923</v>
      </c>
      <c r="H222" s="7">
        <f t="shared" si="27"/>
        <v>-5220.9799999892712</v>
      </c>
    </row>
    <row r="223" spans="1:8">
      <c r="A223" s="579">
        <f t="shared" si="26"/>
        <v>127</v>
      </c>
      <c r="C223" s="556" t="s">
        <v>207</v>
      </c>
      <c r="D223" s="153">
        <v>2015</v>
      </c>
      <c r="E223" s="114">
        <v>226455092.80999994</v>
      </c>
      <c r="F223" s="114">
        <v>12244656.873339498</v>
      </c>
      <c r="G223" s="7">
        <f t="shared" si="25"/>
        <v>214210435.93666044</v>
      </c>
      <c r="H223" s="7">
        <f t="shared" si="27"/>
        <v>631.63999998569489</v>
      </c>
    </row>
    <row r="224" spans="1:8">
      <c r="A224" s="579">
        <f t="shared" si="26"/>
        <v>128</v>
      </c>
      <c r="C224" s="558" t="s">
        <v>208</v>
      </c>
      <c r="D224" s="153">
        <v>2015</v>
      </c>
      <c r="E224" s="114">
        <v>226464487.82999992</v>
      </c>
      <c r="F224" s="114">
        <v>12720562.593135333</v>
      </c>
      <c r="G224" s="7">
        <f t="shared" si="25"/>
        <v>213743925.2368646</v>
      </c>
      <c r="H224" s="7">
        <f t="shared" si="27"/>
        <v>9395.0199999809265</v>
      </c>
    </row>
    <row r="225" spans="1:8">
      <c r="A225" s="579">
        <f t="shared" si="26"/>
        <v>129</v>
      </c>
      <c r="C225" s="558" t="s">
        <v>209</v>
      </c>
      <c r="D225" s="153">
        <v>2015</v>
      </c>
      <c r="E225" s="114">
        <v>224178102.43999997</v>
      </c>
      <c r="F225" s="114">
        <v>13196487.796106499</v>
      </c>
      <c r="G225" s="7">
        <f t="shared" si="25"/>
        <v>210981614.64389348</v>
      </c>
      <c r="H225" s="7">
        <f t="shared" si="27"/>
        <v>-2286385.3899999559</v>
      </c>
    </row>
    <row r="226" spans="1:8">
      <c r="A226" s="579">
        <f t="shared" si="26"/>
        <v>130</v>
      </c>
      <c r="C226" s="558" t="s">
        <v>199</v>
      </c>
      <c r="D226" s="153">
        <v>2015</v>
      </c>
      <c r="E226" s="114">
        <v>226465461.50999996</v>
      </c>
      <c r="F226" s="114">
        <v>13667285.197647</v>
      </c>
      <c r="G226" s="7">
        <f t="shared" si="25"/>
        <v>212798176.31235296</v>
      </c>
      <c r="H226" s="7">
        <f t="shared" si="27"/>
        <v>2287359.0699999928</v>
      </c>
    </row>
    <row r="228" spans="1:8">
      <c r="C228" s="201" t="s">
        <v>1809</v>
      </c>
      <c r="H228" s="91" t="s">
        <v>380</v>
      </c>
    </row>
    <row r="229" spans="1:8">
      <c r="E229" s="91" t="s">
        <v>394</v>
      </c>
      <c r="F229" s="91" t="s">
        <v>378</v>
      </c>
      <c r="G229" s="91" t="s">
        <v>379</v>
      </c>
      <c r="H229" s="528" t="s">
        <v>1894</v>
      </c>
    </row>
    <row r="230" spans="1:8">
      <c r="C230" s="579" t="s">
        <v>590</v>
      </c>
      <c r="G230" s="528" t="s">
        <v>1893</v>
      </c>
      <c r="H230" s="523" t="s">
        <v>1895</v>
      </c>
    </row>
    <row r="231" spans="1:8">
      <c r="C231" s="579" t="s">
        <v>212</v>
      </c>
      <c r="E231" s="579" t="s">
        <v>414</v>
      </c>
      <c r="F231" s="579" t="s">
        <v>1762</v>
      </c>
      <c r="G231" s="579" t="s">
        <v>1092</v>
      </c>
      <c r="H231" s="579" t="s">
        <v>1256</v>
      </c>
    </row>
    <row r="232" spans="1:8">
      <c r="C232" s="25" t="s">
        <v>211</v>
      </c>
      <c r="D232" s="25" t="s">
        <v>212</v>
      </c>
      <c r="E232" s="3" t="s">
        <v>1763</v>
      </c>
      <c r="F232" s="3" t="s">
        <v>1205</v>
      </c>
      <c r="G232" s="3" t="s">
        <v>3</v>
      </c>
      <c r="H232" s="3" t="s">
        <v>1758</v>
      </c>
    </row>
    <row r="233" spans="1:8">
      <c r="A233" s="579">
        <f>A226+1</f>
        <v>131</v>
      </c>
      <c r="C233" s="558" t="s">
        <v>199</v>
      </c>
      <c r="D233" s="196">
        <v>2014</v>
      </c>
      <c r="E233" s="114">
        <v>53764367.100000001</v>
      </c>
      <c r="F233" s="114">
        <v>373129.19955175003</v>
      </c>
      <c r="G233" s="7">
        <f t="shared" ref="G233:G245" si="28">E233-F233</f>
        <v>53391237.900448248</v>
      </c>
      <c r="H233" s="7">
        <f>E233-E233</f>
        <v>0</v>
      </c>
    </row>
    <row r="234" spans="1:8">
      <c r="A234" s="579">
        <f>A233+1</f>
        <v>132</v>
      </c>
      <c r="C234" s="558" t="s">
        <v>200</v>
      </c>
      <c r="D234" s="153">
        <v>2015</v>
      </c>
      <c r="E234" s="114">
        <v>53768091.32</v>
      </c>
      <c r="F234" s="114">
        <v>483856.15570258338</v>
      </c>
      <c r="G234" s="7">
        <f t="shared" si="28"/>
        <v>53284235.164297417</v>
      </c>
      <c r="H234" s="7">
        <f>E234-E233</f>
        <v>3724.2199999988079</v>
      </c>
    </row>
    <row r="235" spans="1:8">
      <c r="A235" s="579">
        <f t="shared" ref="A235:A245" si="29">A234+1</f>
        <v>133</v>
      </c>
      <c r="C235" s="556" t="s">
        <v>201</v>
      </c>
      <c r="D235" s="153">
        <v>2015</v>
      </c>
      <c r="E235" s="114">
        <v>53811813.340000004</v>
      </c>
      <c r="F235" s="114">
        <v>594590.78082791669</v>
      </c>
      <c r="G235" s="7">
        <f t="shared" si="28"/>
        <v>53217222.559172086</v>
      </c>
      <c r="H235" s="7">
        <f t="shared" ref="H235:H245" si="30">E235-E234</f>
        <v>43722.020000003278</v>
      </c>
    </row>
    <row r="236" spans="1:8">
      <c r="A236" s="579">
        <f t="shared" si="29"/>
        <v>134</v>
      </c>
      <c r="C236" s="556" t="s">
        <v>214</v>
      </c>
      <c r="D236" s="153">
        <v>2015</v>
      </c>
      <c r="E236" s="114">
        <v>53824642.000000007</v>
      </c>
      <c r="F236" s="114">
        <v>705415.43490775011</v>
      </c>
      <c r="G236" s="7">
        <f t="shared" si="28"/>
        <v>53119226.565092258</v>
      </c>
      <c r="H236" s="7">
        <f t="shared" si="30"/>
        <v>12828.660000003874</v>
      </c>
    </row>
    <row r="237" spans="1:8">
      <c r="A237" s="579">
        <f t="shared" si="29"/>
        <v>135</v>
      </c>
      <c r="C237" s="558" t="s">
        <v>202</v>
      </c>
      <c r="D237" s="153">
        <v>2015</v>
      </c>
      <c r="E237" s="114">
        <v>53848866.390000001</v>
      </c>
      <c r="F237" s="114">
        <v>816266.51525858336</v>
      </c>
      <c r="G237" s="7">
        <f t="shared" si="28"/>
        <v>53032599.87474142</v>
      </c>
      <c r="H237" s="7">
        <f t="shared" si="30"/>
        <v>24224.389999993145</v>
      </c>
    </row>
    <row r="238" spans="1:8">
      <c r="A238" s="579">
        <f t="shared" si="29"/>
        <v>136</v>
      </c>
      <c r="C238" s="556" t="s">
        <v>203</v>
      </c>
      <c r="D238" s="153">
        <v>2015</v>
      </c>
      <c r="E238" s="114">
        <v>53700887.790000007</v>
      </c>
      <c r="F238" s="114">
        <v>927167.47637050017</v>
      </c>
      <c r="G238" s="7">
        <f t="shared" si="28"/>
        <v>52773720.313629508</v>
      </c>
      <c r="H238" s="7">
        <f t="shared" si="30"/>
        <v>-147978.59999999404</v>
      </c>
    </row>
    <row r="239" spans="1:8">
      <c r="A239" s="579">
        <f t="shared" si="29"/>
        <v>137</v>
      </c>
      <c r="C239" s="556" t="s">
        <v>204</v>
      </c>
      <c r="D239" s="153">
        <v>2015</v>
      </c>
      <c r="E239" s="114">
        <v>53717002.440000005</v>
      </c>
      <c r="F239" s="114">
        <v>1037763.8567199169</v>
      </c>
      <c r="G239" s="7">
        <f t="shared" si="28"/>
        <v>52679238.583280087</v>
      </c>
      <c r="H239" s="7">
        <f t="shared" si="30"/>
        <v>16114.64999999851</v>
      </c>
    </row>
    <row r="240" spans="1:8">
      <c r="A240" s="579">
        <f t="shared" si="29"/>
        <v>138</v>
      </c>
      <c r="C240" s="558" t="s">
        <v>205</v>
      </c>
      <c r="D240" s="153">
        <v>2015</v>
      </c>
      <c r="E240" s="114">
        <v>53721383.93</v>
      </c>
      <c r="F240" s="114">
        <v>1148393.417836417</v>
      </c>
      <c r="G240" s="7">
        <f t="shared" si="28"/>
        <v>52572990.512163579</v>
      </c>
      <c r="H240" s="7">
        <f t="shared" si="30"/>
        <v>4381.4899999946356</v>
      </c>
    </row>
    <row r="241" spans="1:8">
      <c r="A241" s="579">
        <f t="shared" si="29"/>
        <v>139</v>
      </c>
      <c r="C241" s="556" t="s">
        <v>206</v>
      </c>
      <c r="D241" s="153">
        <v>2015</v>
      </c>
      <c r="E241" s="114">
        <v>53632405.629999995</v>
      </c>
      <c r="F241" s="114">
        <v>1259032.0030273336</v>
      </c>
      <c r="G241" s="7">
        <f t="shared" si="28"/>
        <v>52373373.62697266</v>
      </c>
      <c r="H241" s="7">
        <f t="shared" si="30"/>
        <v>-88978.30000000447</v>
      </c>
    </row>
    <row r="242" spans="1:8">
      <c r="A242" s="579">
        <f t="shared" si="29"/>
        <v>140</v>
      </c>
      <c r="C242" s="556" t="s">
        <v>207</v>
      </c>
      <c r="D242" s="153">
        <v>2015</v>
      </c>
      <c r="E242" s="114">
        <v>53632678.119999997</v>
      </c>
      <c r="F242" s="114">
        <v>1369487.4413849169</v>
      </c>
      <c r="G242" s="7">
        <f t="shared" si="28"/>
        <v>52263190.678615078</v>
      </c>
      <c r="H242" s="7">
        <f t="shared" si="30"/>
        <v>272.49000000208616</v>
      </c>
    </row>
    <row r="243" spans="1:8">
      <c r="A243" s="579">
        <f t="shared" si="29"/>
        <v>141</v>
      </c>
      <c r="C243" s="558" t="s">
        <v>208</v>
      </c>
      <c r="D243" s="153">
        <v>2015</v>
      </c>
      <c r="E243" s="114">
        <v>53633211.520000003</v>
      </c>
      <c r="F243" s="114">
        <v>1479943.4405152502</v>
      </c>
      <c r="G243" s="7">
        <f t="shared" si="28"/>
        <v>52153268.079484753</v>
      </c>
      <c r="H243" s="7">
        <f t="shared" si="30"/>
        <v>533.40000000596046</v>
      </c>
    </row>
    <row r="244" spans="1:8">
      <c r="A244" s="579">
        <f t="shared" si="29"/>
        <v>142</v>
      </c>
      <c r="C244" s="558" t="s">
        <v>209</v>
      </c>
      <c r="D244" s="153">
        <v>2015</v>
      </c>
      <c r="E244" s="114">
        <v>53634144</v>
      </c>
      <c r="F244" s="114">
        <v>1590400.5390297503</v>
      </c>
      <c r="G244" s="7">
        <f t="shared" si="28"/>
        <v>52043743.460970253</v>
      </c>
      <c r="H244" s="7">
        <f t="shared" si="30"/>
        <v>932.47999999672174</v>
      </c>
    </row>
    <row r="245" spans="1:8">
      <c r="A245" s="579">
        <f t="shared" si="29"/>
        <v>143</v>
      </c>
      <c r="C245" s="558" t="s">
        <v>199</v>
      </c>
      <c r="D245" s="153">
        <v>2015</v>
      </c>
      <c r="E245" s="114">
        <v>53634941.600000001</v>
      </c>
      <c r="F245" s="114">
        <v>1700859.5580780834</v>
      </c>
      <c r="G245" s="7">
        <f t="shared" si="28"/>
        <v>51934082.041921921</v>
      </c>
      <c r="H245" s="7">
        <f t="shared" si="30"/>
        <v>797.60000000149012</v>
      </c>
    </row>
    <row r="247" spans="1:8">
      <c r="C247" s="201" t="s">
        <v>1810</v>
      </c>
      <c r="H247" s="91" t="s">
        <v>380</v>
      </c>
    </row>
    <row r="248" spans="1:8">
      <c r="E248" s="91" t="s">
        <v>394</v>
      </c>
      <c r="F248" s="91" t="s">
        <v>378</v>
      </c>
      <c r="G248" s="91" t="s">
        <v>379</v>
      </c>
      <c r="H248" s="528" t="s">
        <v>1894</v>
      </c>
    </row>
    <row r="249" spans="1:8">
      <c r="C249" s="579" t="s">
        <v>590</v>
      </c>
      <c r="G249" s="528" t="s">
        <v>1893</v>
      </c>
      <c r="H249" s="523" t="s">
        <v>1895</v>
      </c>
    </row>
    <row r="250" spans="1:8">
      <c r="C250" s="579" t="s">
        <v>212</v>
      </c>
      <c r="E250" s="579" t="s">
        <v>414</v>
      </c>
      <c r="F250" s="579" t="s">
        <v>1762</v>
      </c>
      <c r="G250" s="579" t="s">
        <v>1092</v>
      </c>
      <c r="H250" s="579" t="s">
        <v>1256</v>
      </c>
    </row>
    <row r="251" spans="1:8">
      <c r="C251" s="25" t="s">
        <v>211</v>
      </c>
      <c r="D251" s="25" t="s">
        <v>212</v>
      </c>
      <c r="E251" s="3" t="s">
        <v>1763</v>
      </c>
      <c r="F251" s="3" t="s">
        <v>1205</v>
      </c>
      <c r="G251" s="3" t="s">
        <v>3</v>
      </c>
      <c r="H251" s="3" t="s">
        <v>1758</v>
      </c>
    </row>
    <row r="252" spans="1:8">
      <c r="A252" s="579">
        <f>A245+1</f>
        <v>144</v>
      </c>
      <c r="C252" s="558" t="s">
        <v>199</v>
      </c>
      <c r="D252" s="196">
        <v>2014</v>
      </c>
      <c r="E252" s="114">
        <v>68220462.74000001</v>
      </c>
      <c r="F252" s="114">
        <v>2524828.8938955003</v>
      </c>
      <c r="G252" s="7">
        <f t="shared" ref="G252:G264" si="31">E252-F252</f>
        <v>65695633.84610451</v>
      </c>
      <c r="H252" s="7">
        <f>E252-E252</f>
        <v>0</v>
      </c>
    </row>
    <row r="253" spans="1:8">
      <c r="A253" s="579">
        <f>A252+1</f>
        <v>145</v>
      </c>
      <c r="C253" s="558" t="s">
        <v>200</v>
      </c>
      <c r="D253" s="153">
        <v>2015</v>
      </c>
      <c r="E253" s="114">
        <v>68221605.980000019</v>
      </c>
      <c r="F253" s="114">
        <v>2666116.7714470006</v>
      </c>
      <c r="G253" s="7">
        <f t="shared" si="31"/>
        <v>65555489.208553016</v>
      </c>
      <c r="H253" s="7">
        <f>E253-E252</f>
        <v>1143.2400000095367</v>
      </c>
    </row>
    <row r="254" spans="1:8">
      <c r="A254" s="579">
        <f t="shared" ref="A254:A264" si="32">A253+1</f>
        <v>146</v>
      </c>
      <c r="C254" s="556" t="s">
        <v>201</v>
      </c>
      <c r="D254" s="153">
        <v>2015</v>
      </c>
      <c r="E254" s="114">
        <v>68221605.980000019</v>
      </c>
      <c r="F254" s="114">
        <v>2807407.0127658341</v>
      </c>
      <c r="G254" s="7">
        <f t="shared" si="31"/>
        <v>65414198.967234187</v>
      </c>
      <c r="H254" s="7">
        <f t="shared" ref="H254:H264" si="33">E254-E253</f>
        <v>0</v>
      </c>
    </row>
    <row r="255" spans="1:8">
      <c r="A255" s="579">
        <f t="shared" si="32"/>
        <v>147</v>
      </c>
      <c r="C255" s="556" t="s">
        <v>214</v>
      </c>
      <c r="D255" s="153">
        <v>2015</v>
      </c>
      <c r="E255" s="114">
        <v>68221605.980000019</v>
      </c>
      <c r="F255" s="114">
        <v>2948827.5330138337</v>
      </c>
      <c r="G255" s="7">
        <f t="shared" si="31"/>
        <v>65272778.446986184</v>
      </c>
      <c r="H255" s="7">
        <f t="shared" si="33"/>
        <v>0</v>
      </c>
    </row>
    <row r="256" spans="1:8">
      <c r="A256" s="579">
        <f t="shared" si="32"/>
        <v>148</v>
      </c>
      <c r="C256" s="558" t="s">
        <v>202</v>
      </c>
      <c r="D256" s="153">
        <v>2015</v>
      </c>
      <c r="E256" s="114">
        <v>68221605.980000019</v>
      </c>
      <c r="F256" s="114">
        <v>3090248.0532618337</v>
      </c>
      <c r="G256" s="7">
        <f t="shared" si="31"/>
        <v>65131357.926738188</v>
      </c>
      <c r="H256" s="7">
        <f t="shared" si="33"/>
        <v>0</v>
      </c>
    </row>
    <row r="257" spans="1:8">
      <c r="A257" s="579">
        <f t="shared" si="32"/>
        <v>149</v>
      </c>
      <c r="C257" s="556" t="s">
        <v>203</v>
      </c>
      <c r="D257" s="153">
        <v>2015</v>
      </c>
      <c r="E257" s="114">
        <v>68221605.980000019</v>
      </c>
      <c r="F257" s="114">
        <v>3231668.5735098338</v>
      </c>
      <c r="G257" s="7">
        <f t="shared" si="31"/>
        <v>64989937.406490184</v>
      </c>
      <c r="H257" s="7">
        <f t="shared" si="33"/>
        <v>0</v>
      </c>
    </row>
    <row r="258" spans="1:8">
      <c r="A258" s="579">
        <f t="shared" si="32"/>
        <v>150</v>
      </c>
      <c r="C258" s="556" t="s">
        <v>204</v>
      </c>
      <c r="D258" s="153">
        <v>2015</v>
      </c>
      <c r="E258" s="114">
        <v>70754963.87000002</v>
      </c>
      <c r="F258" s="114">
        <v>3373089.0937578334</v>
      </c>
      <c r="G258" s="7">
        <f t="shared" si="31"/>
        <v>67381874.776242182</v>
      </c>
      <c r="H258" s="7">
        <f t="shared" si="33"/>
        <v>2533357.8900000006</v>
      </c>
    </row>
    <row r="259" spans="1:8">
      <c r="A259" s="579">
        <f t="shared" si="32"/>
        <v>151</v>
      </c>
      <c r="C259" s="558" t="s">
        <v>205</v>
      </c>
      <c r="D259" s="153">
        <v>2015</v>
      </c>
      <c r="E259" s="114">
        <v>70875637.440000013</v>
      </c>
      <c r="F259" s="114">
        <v>3519724.1089960835</v>
      </c>
      <c r="G259" s="7">
        <f t="shared" si="31"/>
        <v>67355913.331003934</v>
      </c>
      <c r="H259" s="7">
        <f t="shared" si="33"/>
        <v>120673.56999999285</v>
      </c>
    </row>
    <row r="260" spans="1:8">
      <c r="A260" s="579">
        <f t="shared" si="32"/>
        <v>152</v>
      </c>
      <c r="C260" s="556" t="s">
        <v>206</v>
      </c>
      <c r="D260" s="153">
        <v>2015</v>
      </c>
      <c r="E260" s="114">
        <v>70923999.930000022</v>
      </c>
      <c r="F260" s="114">
        <v>3666607.5106659168</v>
      </c>
      <c r="G260" s="7">
        <f t="shared" si="31"/>
        <v>67257392.419334099</v>
      </c>
      <c r="H260" s="7">
        <f t="shared" si="33"/>
        <v>48362.490000009537</v>
      </c>
    </row>
    <row r="261" spans="1:8">
      <c r="A261" s="579">
        <f t="shared" si="32"/>
        <v>153</v>
      </c>
      <c r="C261" s="556" t="s">
        <v>207</v>
      </c>
      <c r="D261" s="153">
        <v>2015</v>
      </c>
      <c r="E261" s="114">
        <v>70948619.360000014</v>
      </c>
      <c r="F261" s="114">
        <v>3813590.4584610006</v>
      </c>
      <c r="G261" s="7">
        <f t="shared" si="31"/>
        <v>67135028.901539013</v>
      </c>
      <c r="H261" s="7">
        <f t="shared" si="33"/>
        <v>24619.429999992251</v>
      </c>
    </row>
    <row r="262" spans="1:8">
      <c r="A262" s="579">
        <f t="shared" si="32"/>
        <v>154</v>
      </c>
      <c r="C262" s="558" t="s">
        <v>208</v>
      </c>
      <c r="D262" s="153">
        <v>2015</v>
      </c>
      <c r="E262" s="114">
        <v>71051147.680000022</v>
      </c>
      <c r="F262" s="114">
        <v>3960624.0812495006</v>
      </c>
      <c r="G262" s="7">
        <f t="shared" si="31"/>
        <v>67090523.598750524</v>
      </c>
      <c r="H262" s="7">
        <f t="shared" si="33"/>
        <v>102528.32000000775</v>
      </c>
    </row>
    <row r="263" spans="1:8">
      <c r="A263" s="579">
        <f t="shared" si="32"/>
        <v>155</v>
      </c>
      <c r="C263" s="558" t="s">
        <v>209</v>
      </c>
      <c r="D263" s="153">
        <v>2015</v>
      </c>
      <c r="E263" s="114">
        <v>71088032.380000025</v>
      </c>
      <c r="F263" s="114">
        <v>4107868.7414966668</v>
      </c>
      <c r="G263" s="7">
        <f t="shared" si="31"/>
        <v>66980163.638503358</v>
      </c>
      <c r="H263" s="7">
        <f t="shared" si="33"/>
        <v>36884.70000000298</v>
      </c>
    </row>
    <row r="264" spans="1:8">
      <c r="A264" s="579">
        <f t="shared" si="32"/>
        <v>156</v>
      </c>
      <c r="C264" s="558" t="s">
        <v>199</v>
      </c>
      <c r="D264" s="153">
        <v>2015</v>
      </c>
      <c r="E264" s="114">
        <v>71109676.690000027</v>
      </c>
      <c r="F264" s="114">
        <v>4255189.3227513339</v>
      </c>
      <c r="G264" s="7">
        <f t="shared" si="31"/>
        <v>66854487.367248692</v>
      </c>
      <c r="H264" s="7">
        <f t="shared" si="33"/>
        <v>21644.310000002384</v>
      </c>
    </row>
    <row r="266" spans="1:8">
      <c r="C266" s="201" t="s">
        <v>1769</v>
      </c>
      <c r="E266" s="91" t="s">
        <v>394</v>
      </c>
      <c r="F266" s="91" t="s">
        <v>378</v>
      </c>
      <c r="G266" s="91" t="s">
        <v>379</v>
      </c>
      <c r="H266" s="91" t="s">
        <v>380</v>
      </c>
    </row>
    <row r="267" spans="1:8">
      <c r="G267" s="528" t="s">
        <v>1893</v>
      </c>
      <c r="H267" s="528" t="s">
        <v>1894</v>
      </c>
    </row>
    <row r="268" spans="1:8">
      <c r="C268" s="579" t="s">
        <v>590</v>
      </c>
      <c r="H268" s="523" t="s">
        <v>1895</v>
      </c>
    </row>
    <row r="269" spans="1:8">
      <c r="C269" s="579" t="s">
        <v>212</v>
      </c>
      <c r="E269" s="579" t="s">
        <v>414</v>
      </c>
      <c r="F269" s="579" t="s">
        <v>1762</v>
      </c>
      <c r="G269" s="579" t="s">
        <v>1092</v>
      </c>
      <c r="H269" s="579" t="s">
        <v>1256</v>
      </c>
    </row>
    <row r="270" spans="1:8">
      <c r="C270" s="25" t="s">
        <v>211</v>
      </c>
      <c r="D270" s="25" t="s">
        <v>212</v>
      </c>
      <c r="E270" s="3" t="s">
        <v>1763</v>
      </c>
      <c r="F270" s="3" t="s">
        <v>1205</v>
      </c>
      <c r="G270" s="3" t="s">
        <v>3</v>
      </c>
      <c r="H270" s="3" t="s">
        <v>1758</v>
      </c>
    </row>
    <row r="271" spans="1:8">
      <c r="A271" s="579">
        <f>A264+1</f>
        <v>157</v>
      </c>
      <c r="C271" s="558" t="s">
        <v>199</v>
      </c>
      <c r="D271" s="196">
        <v>2014</v>
      </c>
      <c r="E271" s="114">
        <v>0</v>
      </c>
      <c r="F271" s="114">
        <v>0</v>
      </c>
      <c r="G271" s="7">
        <f t="shared" ref="G271:G283" si="34">E271-F271</f>
        <v>0</v>
      </c>
      <c r="H271" s="64">
        <f>E271-E271</f>
        <v>0</v>
      </c>
    </row>
    <row r="272" spans="1:8">
      <c r="A272" s="579">
        <f>A271+1</f>
        <v>158</v>
      </c>
      <c r="C272" s="558" t="s">
        <v>200</v>
      </c>
      <c r="D272" s="153">
        <v>2015</v>
      </c>
      <c r="E272" s="114">
        <v>0</v>
      </c>
      <c r="F272" s="114">
        <v>0</v>
      </c>
      <c r="G272" s="7">
        <f t="shared" si="34"/>
        <v>0</v>
      </c>
      <c r="H272" s="7">
        <f>E272-E271</f>
        <v>0</v>
      </c>
    </row>
    <row r="273" spans="1:8">
      <c r="A273" s="579">
        <f t="shared" ref="A273:A283" si="35">A272+1</f>
        <v>159</v>
      </c>
      <c r="C273" s="556" t="s">
        <v>201</v>
      </c>
      <c r="D273" s="153">
        <v>2015</v>
      </c>
      <c r="E273" s="114">
        <v>0</v>
      </c>
      <c r="F273" s="114">
        <v>0</v>
      </c>
      <c r="G273" s="7">
        <f t="shared" si="34"/>
        <v>0</v>
      </c>
      <c r="H273" s="7">
        <f t="shared" ref="H273:H283" si="36">E273-E272</f>
        <v>0</v>
      </c>
    </row>
    <row r="274" spans="1:8">
      <c r="A274" s="579">
        <f t="shared" si="35"/>
        <v>160</v>
      </c>
      <c r="C274" s="556" t="s">
        <v>214</v>
      </c>
      <c r="D274" s="153">
        <v>2015</v>
      </c>
      <c r="E274" s="114">
        <v>0</v>
      </c>
      <c r="F274" s="114">
        <v>0</v>
      </c>
      <c r="G274" s="7">
        <f t="shared" si="34"/>
        <v>0</v>
      </c>
      <c r="H274" s="7">
        <f t="shared" si="36"/>
        <v>0</v>
      </c>
    </row>
    <row r="275" spans="1:8">
      <c r="A275" s="579">
        <f t="shared" si="35"/>
        <v>161</v>
      </c>
      <c r="C275" s="558" t="s">
        <v>202</v>
      </c>
      <c r="D275" s="153">
        <v>2015</v>
      </c>
      <c r="E275" s="114">
        <v>0</v>
      </c>
      <c r="F275" s="114">
        <v>0</v>
      </c>
      <c r="G275" s="7">
        <f t="shared" si="34"/>
        <v>0</v>
      </c>
      <c r="H275" s="7">
        <f t="shared" si="36"/>
        <v>0</v>
      </c>
    </row>
    <row r="276" spans="1:8">
      <c r="A276" s="579">
        <f t="shared" si="35"/>
        <v>162</v>
      </c>
      <c r="C276" s="556" t="s">
        <v>203</v>
      </c>
      <c r="D276" s="153">
        <v>2015</v>
      </c>
      <c r="E276" s="114">
        <v>0</v>
      </c>
      <c r="F276" s="114">
        <v>0</v>
      </c>
      <c r="G276" s="7">
        <f t="shared" si="34"/>
        <v>0</v>
      </c>
      <c r="H276" s="7">
        <f t="shared" si="36"/>
        <v>0</v>
      </c>
    </row>
    <row r="277" spans="1:8">
      <c r="A277" s="579">
        <f t="shared" si="35"/>
        <v>163</v>
      </c>
      <c r="C277" s="556" t="s">
        <v>204</v>
      </c>
      <c r="D277" s="153">
        <v>2015</v>
      </c>
      <c r="E277" s="114">
        <v>0</v>
      </c>
      <c r="F277" s="114">
        <v>0</v>
      </c>
      <c r="G277" s="7">
        <f t="shared" si="34"/>
        <v>0</v>
      </c>
      <c r="H277" s="7">
        <f t="shared" si="36"/>
        <v>0</v>
      </c>
    </row>
    <row r="278" spans="1:8">
      <c r="A278" s="579">
        <f t="shared" si="35"/>
        <v>164</v>
      </c>
      <c r="C278" s="558" t="s">
        <v>205</v>
      </c>
      <c r="D278" s="153">
        <v>2015</v>
      </c>
      <c r="E278" s="114">
        <v>0</v>
      </c>
      <c r="F278" s="114">
        <v>0</v>
      </c>
      <c r="G278" s="7">
        <f t="shared" si="34"/>
        <v>0</v>
      </c>
      <c r="H278" s="7">
        <f t="shared" si="36"/>
        <v>0</v>
      </c>
    </row>
    <row r="279" spans="1:8">
      <c r="A279" s="579">
        <f t="shared" si="35"/>
        <v>165</v>
      </c>
      <c r="C279" s="556" t="s">
        <v>206</v>
      </c>
      <c r="D279" s="153">
        <v>2015</v>
      </c>
      <c r="E279" s="114">
        <v>0</v>
      </c>
      <c r="F279" s="114">
        <v>0</v>
      </c>
      <c r="G279" s="7">
        <f t="shared" si="34"/>
        <v>0</v>
      </c>
      <c r="H279" s="7">
        <f t="shared" si="36"/>
        <v>0</v>
      </c>
    </row>
    <row r="280" spans="1:8">
      <c r="A280" s="579">
        <f t="shared" si="35"/>
        <v>166</v>
      </c>
      <c r="C280" s="556" t="s">
        <v>207</v>
      </c>
      <c r="D280" s="153">
        <v>2015</v>
      </c>
      <c r="E280" s="114">
        <v>0</v>
      </c>
      <c r="F280" s="114">
        <v>0</v>
      </c>
      <c r="G280" s="7">
        <f t="shared" si="34"/>
        <v>0</v>
      </c>
      <c r="H280" s="7">
        <f t="shared" si="36"/>
        <v>0</v>
      </c>
    </row>
    <row r="281" spans="1:8">
      <c r="A281" s="579">
        <f t="shared" si="35"/>
        <v>167</v>
      </c>
      <c r="C281" s="558" t="s">
        <v>208</v>
      </c>
      <c r="D281" s="153">
        <v>2015</v>
      </c>
      <c r="E281" s="114">
        <v>0</v>
      </c>
      <c r="F281" s="114">
        <v>0</v>
      </c>
      <c r="G281" s="7">
        <f t="shared" si="34"/>
        <v>0</v>
      </c>
      <c r="H281" s="7">
        <f t="shared" si="36"/>
        <v>0</v>
      </c>
    </row>
    <row r="282" spans="1:8">
      <c r="A282" s="579">
        <f t="shared" si="35"/>
        <v>168</v>
      </c>
      <c r="C282" s="558" t="s">
        <v>209</v>
      </c>
      <c r="D282" s="153">
        <v>2015</v>
      </c>
      <c r="E282" s="114">
        <v>0</v>
      </c>
      <c r="F282" s="114">
        <v>0</v>
      </c>
      <c r="G282" s="7">
        <f t="shared" si="34"/>
        <v>0</v>
      </c>
      <c r="H282" s="7">
        <f t="shared" si="36"/>
        <v>0</v>
      </c>
    </row>
    <row r="283" spans="1:8">
      <c r="A283" s="579">
        <f t="shared" si="35"/>
        <v>169</v>
      </c>
      <c r="C283" s="558" t="s">
        <v>199</v>
      </c>
      <c r="D283" s="153">
        <v>2015</v>
      </c>
      <c r="E283" s="114">
        <v>0</v>
      </c>
      <c r="F283" s="114">
        <v>0</v>
      </c>
      <c r="G283" s="7">
        <f t="shared" si="34"/>
        <v>0</v>
      </c>
      <c r="H283" s="7">
        <f t="shared" si="36"/>
        <v>0</v>
      </c>
    </row>
    <row r="285" spans="1:8">
      <c r="C285" s="201" t="s">
        <v>1770</v>
      </c>
      <c r="E285" s="91" t="s">
        <v>394</v>
      </c>
      <c r="F285" s="91" t="s">
        <v>378</v>
      </c>
      <c r="G285" s="91" t="s">
        <v>379</v>
      </c>
      <c r="H285" s="91" t="s">
        <v>380</v>
      </c>
    </row>
    <row r="286" spans="1:8">
      <c r="G286" s="528" t="s">
        <v>1893</v>
      </c>
      <c r="H286" s="528" t="s">
        <v>1894</v>
      </c>
    </row>
    <row r="287" spans="1:8">
      <c r="C287" s="579" t="s">
        <v>590</v>
      </c>
      <c r="H287" s="523" t="s">
        <v>1895</v>
      </c>
    </row>
    <row r="288" spans="1:8">
      <c r="C288" s="579" t="s">
        <v>212</v>
      </c>
      <c r="E288" s="579" t="s">
        <v>414</v>
      </c>
      <c r="F288" s="579" t="s">
        <v>1762</v>
      </c>
      <c r="G288" s="579" t="s">
        <v>1092</v>
      </c>
      <c r="H288" s="579" t="s">
        <v>1256</v>
      </c>
    </row>
    <row r="289" spans="1:8">
      <c r="C289" s="25" t="s">
        <v>211</v>
      </c>
      <c r="D289" s="25" t="s">
        <v>212</v>
      </c>
      <c r="E289" s="3" t="s">
        <v>1763</v>
      </c>
      <c r="F289" s="3" t="s">
        <v>1205</v>
      </c>
      <c r="G289" s="3" t="s">
        <v>3</v>
      </c>
      <c r="H289" s="3" t="s">
        <v>1758</v>
      </c>
    </row>
    <row r="290" spans="1:8">
      <c r="A290" s="579">
        <f>A283+1</f>
        <v>170</v>
      </c>
      <c r="C290" s="558" t="s">
        <v>199</v>
      </c>
      <c r="D290" s="196">
        <v>2014</v>
      </c>
      <c r="E290" s="114">
        <v>0</v>
      </c>
      <c r="F290" s="114">
        <v>0</v>
      </c>
      <c r="G290" s="7">
        <f t="shared" ref="G290:G302" si="37">E290-F290</f>
        <v>0</v>
      </c>
      <c r="H290" s="7">
        <f>E290-E290</f>
        <v>0</v>
      </c>
    </row>
    <row r="291" spans="1:8">
      <c r="A291" s="579">
        <f>A290+1</f>
        <v>171</v>
      </c>
      <c r="C291" s="558" t="s">
        <v>200</v>
      </c>
      <c r="D291" s="153">
        <v>2015</v>
      </c>
      <c r="E291" s="114">
        <v>0</v>
      </c>
      <c r="F291" s="114">
        <v>0</v>
      </c>
      <c r="G291" s="7">
        <f t="shared" si="37"/>
        <v>0</v>
      </c>
      <c r="H291" s="7">
        <f>E291-E290</f>
        <v>0</v>
      </c>
    </row>
    <row r="292" spans="1:8">
      <c r="A292" s="579">
        <f t="shared" ref="A292:A302" si="38">A291+1</f>
        <v>172</v>
      </c>
      <c r="C292" s="556" t="s">
        <v>201</v>
      </c>
      <c r="D292" s="153">
        <v>2015</v>
      </c>
      <c r="E292" s="114">
        <v>0</v>
      </c>
      <c r="F292" s="114">
        <v>0</v>
      </c>
      <c r="G292" s="7">
        <f t="shared" si="37"/>
        <v>0</v>
      </c>
      <c r="H292" s="7">
        <f t="shared" ref="H292:H302" si="39">E292-E291</f>
        <v>0</v>
      </c>
    </row>
    <row r="293" spans="1:8">
      <c r="A293" s="579">
        <f t="shared" si="38"/>
        <v>173</v>
      </c>
      <c r="C293" s="556" t="s">
        <v>214</v>
      </c>
      <c r="D293" s="153">
        <v>2015</v>
      </c>
      <c r="E293" s="114">
        <v>0</v>
      </c>
      <c r="F293" s="114">
        <v>0</v>
      </c>
      <c r="G293" s="7">
        <f t="shared" si="37"/>
        <v>0</v>
      </c>
      <c r="H293" s="7">
        <f t="shared" si="39"/>
        <v>0</v>
      </c>
    </row>
    <row r="294" spans="1:8">
      <c r="A294" s="579">
        <f t="shared" si="38"/>
        <v>174</v>
      </c>
      <c r="C294" s="558" t="s">
        <v>202</v>
      </c>
      <c r="D294" s="153">
        <v>2015</v>
      </c>
      <c r="E294" s="114">
        <v>0</v>
      </c>
      <c r="F294" s="114">
        <v>0</v>
      </c>
      <c r="G294" s="7">
        <f t="shared" si="37"/>
        <v>0</v>
      </c>
      <c r="H294" s="7">
        <f t="shared" si="39"/>
        <v>0</v>
      </c>
    </row>
    <row r="295" spans="1:8">
      <c r="A295" s="579">
        <f t="shared" si="38"/>
        <v>175</v>
      </c>
      <c r="C295" s="556" t="s">
        <v>203</v>
      </c>
      <c r="D295" s="153">
        <v>2015</v>
      </c>
      <c r="E295" s="114">
        <v>0</v>
      </c>
      <c r="F295" s="114">
        <v>0</v>
      </c>
      <c r="G295" s="7">
        <f t="shared" si="37"/>
        <v>0</v>
      </c>
      <c r="H295" s="7">
        <f t="shared" si="39"/>
        <v>0</v>
      </c>
    </row>
    <row r="296" spans="1:8">
      <c r="A296" s="579">
        <f t="shared" si="38"/>
        <v>176</v>
      </c>
      <c r="C296" s="556" t="s">
        <v>204</v>
      </c>
      <c r="D296" s="153">
        <v>2015</v>
      </c>
      <c r="E296" s="114">
        <v>0</v>
      </c>
      <c r="F296" s="114">
        <v>0</v>
      </c>
      <c r="G296" s="7">
        <f t="shared" si="37"/>
        <v>0</v>
      </c>
      <c r="H296" s="7">
        <f t="shared" si="39"/>
        <v>0</v>
      </c>
    </row>
    <row r="297" spans="1:8">
      <c r="A297" s="579">
        <f t="shared" si="38"/>
        <v>177</v>
      </c>
      <c r="C297" s="558" t="s">
        <v>205</v>
      </c>
      <c r="D297" s="153">
        <v>2015</v>
      </c>
      <c r="E297" s="114">
        <v>0</v>
      </c>
      <c r="F297" s="114">
        <v>0</v>
      </c>
      <c r="G297" s="7">
        <f t="shared" si="37"/>
        <v>0</v>
      </c>
      <c r="H297" s="7">
        <f t="shared" si="39"/>
        <v>0</v>
      </c>
    </row>
    <row r="298" spans="1:8">
      <c r="A298" s="579">
        <f t="shared" si="38"/>
        <v>178</v>
      </c>
      <c r="C298" s="556" t="s">
        <v>206</v>
      </c>
      <c r="D298" s="153">
        <v>2015</v>
      </c>
      <c r="E298" s="114">
        <v>0</v>
      </c>
      <c r="F298" s="114">
        <v>0</v>
      </c>
      <c r="G298" s="7">
        <f t="shared" si="37"/>
        <v>0</v>
      </c>
      <c r="H298" s="7">
        <f t="shared" si="39"/>
        <v>0</v>
      </c>
    </row>
    <row r="299" spans="1:8">
      <c r="A299" s="579">
        <f t="shared" si="38"/>
        <v>179</v>
      </c>
      <c r="C299" s="556" t="s">
        <v>207</v>
      </c>
      <c r="D299" s="153">
        <v>2015</v>
      </c>
      <c r="E299" s="114">
        <v>0</v>
      </c>
      <c r="F299" s="114">
        <v>0</v>
      </c>
      <c r="G299" s="7">
        <f t="shared" si="37"/>
        <v>0</v>
      </c>
      <c r="H299" s="7">
        <f t="shared" si="39"/>
        <v>0</v>
      </c>
    </row>
    <row r="300" spans="1:8">
      <c r="A300" s="579">
        <f t="shared" si="38"/>
        <v>180</v>
      </c>
      <c r="C300" s="558" t="s">
        <v>208</v>
      </c>
      <c r="D300" s="153">
        <v>2015</v>
      </c>
      <c r="E300" s="114">
        <v>0</v>
      </c>
      <c r="F300" s="114">
        <v>0</v>
      </c>
      <c r="G300" s="7">
        <f t="shared" si="37"/>
        <v>0</v>
      </c>
      <c r="H300" s="7">
        <f t="shared" si="39"/>
        <v>0</v>
      </c>
    </row>
    <row r="301" spans="1:8">
      <c r="A301" s="579">
        <f t="shared" si="38"/>
        <v>181</v>
      </c>
      <c r="C301" s="558" t="s">
        <v>209</v>
      </c>
      <c r="D301" s="153">
        <v>2015</v>
      </c>
      <c r="E301" s="114">
        <v>0</v>
      </c>
      <c r="F301" s="114">
        <v>0</v>
      </c>
      <c r="G301" s="7">
        <f t="shared" si="37"/>
        <v>0</v>
      </c>
      <c r="H301" s="7">
        <f t="shared" si="39"/>
        <v>0</v>
      </c>
    </row>
    <row r="302" spans="1:8">
      <c r="A302" s="579">
        <f t="shared" si="38"/>
        <v>182</v>
      </c>
      <c r="C302" s="558" t="s">
        <v>199</v>
      </c>
      <c r="D302" s="153">
        <v>2015</v>
      </c>
      <c r="E302" s="114">
        <v>0</v>
      </c>
      <c r="F302" s="114">
        <v>0</v>
      </c>
      <c r="G302" s="7">
        <f t="shared" si="37"/>
        <v>0</v>
      </c>
      <c r="H302" s="7">
        <f t="shared" si="39"/>
        <v>0</v>
      </c>
    </row>
    <row r="304" spans="1:8">
      <c r="B304" s="1"/>
      <c r="C304" s="1" t="s">
        <v>1771</v>
      </c>
      <c r="D304" s="520"/>
      <c r="E304" s="7"/>
    </row>
    <row r="305" spans="1:10">
      <c r="B305" s="1"/>
    </row>
    <row r="306" spans="1:10">
      <c r="C306" s="422" t="s">
        <v>1227</v>
      </c>
      <c r="D306" s="102"/>
      <c r="E306" s="102"/>
      <c r="F306" s="102"/>
      <c r="G306" s="200" t="s">
        <v>1229</v>
      </c>
      <c r="H306" s="102"/>
      <c r="I306" s="102"/>
      <c r="J306" s="102"/>
    </row>
    <row r="307" spans="1:10">
      <c r="A307" s="579">
        <f>A302+1</f>
        <v>183</v>
      </c>
      <c r="C307" s="585" t="s">
        <v>245</v>
      </c>
      <c r="D307" s="102"/>
      <c r="E307" s="423"/>
      <c r="F307" s="414" t="s">
        <v>246</v>
      </c>
      <c r="G307" s="529" t="s">
        <v>2732</v>
      </c>
      <c r="H307" s="102"/>
      <c r="I307" s="102"/>
      <c r="J307" s="102"/>
    </row>
    <row r="308" spans="1:10">
      <c r="A308" s="579">
        <f>A307+1</f>
        <v>184</v>
      </c>
      <c r="C308" s="413" t="s">
        <v>247</v>
      </c>
      <c r="D308" s="102"/>
      <c r="E308" s="424"/>
      <c r="F308" s="415">
        <v>7.4999999999999997E-3</v>
      </c>
      <c r="G308" s="529" t="s">
        <v>2733</v>
      </c>
      <c r="H308" s="102"/>
      <c r="I308" s="102"/>
      <c r="J308" s="102"/>
    </row>
    <row r="309" spans="1:10">
      <c r="A309" s="579">
        <f>A308+1</f>
        <v>185</v>
      </c>
      <c r="C309" s="413" t="s">
        <v>1226</v>
      </c>
      <c r="D309" s="102"/>
      <c r="E309" s="423"/>
      <c r="F309" s="414" t="s">
        <v>248</v>
      </c>
      <c r="G309" s="157" t="s">
        <v>2734</v>
      </c>
      <c r="H309" s="102"/>
      <c r="I309" s="102"/>
      <c r="J309" s="102"/>
    </row>
    <row r="310" spans="1:10">
      <c r="C310" s="102"/>
      <c r="D310" s="102"/>
      <c r="E310" s="423"/>
      <c r="F310" s="416"/>
      <c r="G310" s="102"/>
      <c r="H310" s="102"/>
      <c r="I310" s="102"/>
      <c r="J310" s="102"/>
    </row>
    <row r="311" spans="1:10">
      <c r="C311" s="422" t="s">
        <v>1228</v>
      </c>
      <c r="D311" s="102"/>
      <c r="E311" s="102"/>
      <c r="F311" s="416"/>
      <c r="G311" s="200" t="s">
        <v>1229</v>
      </c>
      <c r="H311" s="102"/>
      <c r="I311" s="102"/>
      <c r="J311" s="102"/>
    </row>
    <row r="312" spans="1:10">
      <c r="A312" s="579">
        <f>A309+1</f>
        <v>186</v>
      </c>
      <c r="C312" s="585" t="s">
        <v>245</v>
      </c>
      <c r="D312" s="102"/>
      <c r="E312" s="423"/>
      <c r="F312" s="414" t="s">
        <v>246</v>
      </c>
      <c r="G312" s="529" t="s">
        <v>2732</v>
      </c>
      <c r="H312" s="102"/>
      <c r="I312" s="102"/>
      <c r="J312" s="102"/>
    </row>
    <row r="313" spans="1:10">
      <c r="A313" s="579">
        <f>A312+1</f>
        <v>187</v>
      </c>
      <c r="C313" s="413" t="s">
        <v>247</v>
      </c>
      <c r="D313" s="102"/>
      <c r="E313" s="424"/>
      <c r="F313" s="415">
        <v>1.2500000000000001E-2</v>
      </c>
      <c r="G313" s="529" t="s">
        <v>2733</v>
      </c>
      <c r="H313" s="102"/>
      <c r="I313" s="102"/>
      <c r="J313" s="102"/>
    </row>
    <row r="314" spans="1:10">
      <c r="A314" s="579">
        <f>A313+1</f>
        <v>188</v>
      </c>
      <c r="C314" s="413" t="s">
        <v>1226</v>
      </c>
      <c r="D314" s="102"/>
      <c r="E314" s="423"/>
      <c r="F314" s="414" t="s">
        <v>246</v>
      </c>
      <c r="G314" s="529" t="s">
        <v>2735</v>
      </c>
      <c r="H314" s="102"/>
      <c r="I314" s="102"/>
      <c r="J314" s="102"/>
    </row>
    <row r="315" spans="1:10">
      <c r="C315" s="413"/>
      <c r="D315" s="102"/>
      <c r="E315" s="423"/>
      <c r="F315" s="414"/>
      <c r="G315" s="102"/>
      <c r="H315" s="102"/>
      <c r="I315" s="102"/>
      <c r="J315" s="102"/>
    </row>
    <row r="316" spans="1:10">
      <c r="C316" s="422" t="s">
        <v>1230</v>
      </c>
      <c r="D316" s="102"/>
      <c r="E316" s="529"/>
      <c r="F316" s="586"/>
      <c r="G316" s="200" t="s">
        <v>1229</v>
      </c>
      <c r="H316" s="102"/>
      <c r="I316" s="102"/>
      <c r="J316" s="102"/>
    </row>
    <row r="317" spans="1:10">
      <c r="A317" s="579">
        <f>A314+1</f>
        <v>189</v>
      </c>
      <c r="C317" s="585" t="s">
        <v>245</v>
      </c>
      <c r="D317" s="102"/>
      <c r="E317" s="423"/>
      <c r="F317" s="414" t="s">
        <v>246</v>
      </c>
      <c r="G317" s="529" t="s">
        <v>2732</v>
      </c>
      <c r="H317" s="102"/>
      <c r="I317" s="102"/>
      <c r="J317" s="102"/>
    </row>
    <row r="318" spans="1:10">
      <c r="A318" s="579">
        <f>A317+1</f>
        <v>190</v>
      </c>
      <c r="C318" s="413" t="s">
        <v>247</v>
      </c>
      <c r="D318" s="102"/>
      <c r="E318" s="424"/>
      <c r="F318" s="415">
        <v>0.01</v>
      </c>
      <c r="G318" s="529" t="s">
        <v>2736</v>
      </c>
      <c r="H318" s="102"/>
      <c r="I318" s="102"/>
      <c r="J318" s="102"/>
    </row>
    <row r="319" spans="1:10">
      <c r="A319" s="579">
        <f>A318+1</f>
        <v>191</v>
      </c>
      <c r="C319" s="413"/>
      <c r="D319" s="102"/>
      <c r="E319" s="424"/>
      <c r="F319" s="415"/>
      <c r="G319" s="529" t="s">
        <v>2737</v>
      </c>
      <c r="H319" s="102"/>
      <c r="I319" s="102"/>
      <c r="J319" s="102"/>
    </row>
    <row r="320" spans="1:10">
      <c r="A320" s="579">
        <f>A319+1</f>
        <v>192</v>
      </c>
      <c r="C320" s="413" t="s">
        <v>1226</v>
      </c>
      <c r="D320" s="102"/>
      <c r="E320" s="423"/>
      <c r="F320" s="414" t="s">
        <v>246</v>
      </c>
      <c r="G320" s="529" t="s">
        <v>2735</v>
      </c>
      <c r="H320" s="102"/>
      <c r="I320" s="102"/>
      <c r="J320" s="102"/>
    </row>
    <row r="321" spans="1:10">
      <c r="C321" s="413"/>
      <c r="D321" s="102"/>
      <c r="E321" s="423"/>
      <c r="F321" s="414"/>
      <c r="G321" s="102"/>
      <c r="H321" s="102"/>
      <c r="I321" s="102"/>
      <c r="J321" s="102"/>
    </row>
    <row r="322" spans="1:10">
      <c r="C322" s="422" t="s">
        <v>1231</v>
      </c>
      <c r="D322" s="102"/>
      <c r="E322" s="529"/>
      <c r="F322" s="586"/>
      <c r="G322" s="200" t="s">
        <v>1229</v>
      </c>
      <c r="H322" s="102"/>
      <c r="I322" s="102"/>
      <c r="J322" s="102"/>
    </row>
    <row r="323" spans="1:10">
      <c r="A323" s="579">
        <f>A320+1</f>
        <v>193</v>
      </c>
      <c r="C323" s="585" t="s">
        <v>245</v>
      </c>
      <c r="D323" s="102"/>
      <c r="E323" s="423"/>
      <c r="F323" s="1139" t="s">
        <v>248</v>
      </c>
      <c r="G323" s="529" t="s">
        <v>2738</v>
      </c>
      <c r="H323" s="102"/>
      <c r="I323" s="102"/>
      <c r="J323" s="102"/>
    </row>
    <row r="324" spans="1:10">
      <c r="A324" s="579">
        <f>A323+1</f>
        <v>194</v>
      </c>
      <c r="C324" s="585"/>
      <c r="D324" s="102"/>
      <c r="E324" s="423"/>
      <c r="F324" s="1139"/>
      <c r="G324" s="102" t="s">
        <v>2737</v>
      </c>
      <c r="H324" s="102"/>
      <c r="I324" s="102"/>
      <c r="J324" s="102"/>
    </row>
    <row r="325" spans="1:10">
      <c r="A325" s="579">
        <f>A324+1</f>
        <v>195</v>
      </c>
      <c r="C325" s="413" t="s">
        <v>247</v>
      </c>
      <c r="D325" s="102"/>
      <c r="E325" s="424"/>
      <c r="F325" s="1140">
        <v>0</v>
      </c>
      <c r="G325" s="529" t="s">
        <v>2739</v>
      </c>
      <c r="H325" s="102"/>
      <c r="I325" s="102"/>
      <c r="J325" s="102"/>
    </row>
    <row r="326" spans="1:10">
      <c r="A326" s="579">
        <f>A325+1</f>
        <v>196</v>
      </c>
      <c r="C326" s="413"/>
      <c r="D326" s="102"/>
      <c r="E326" s="424"/>
      <c r="F326" s="1140"/>
      <c r="G326" s="529" t="s">
        <v>2740</v>
      </c>
      <c r="H326" s="102"/>
      <c r="I326" s="102"/>
      <c r="J326" s="102"/>
    </row>
    <row r="327" spans="1:10">
      <c r="A327" s="579">
        <f>A326+1</f>
        <v>197</v>
      </c>
      <c r="C327" s="413" t="s">
        <v>1226</v>
      </c>
      <c r="D327" s="102"/>
      <c r="E327" s="423"/>
      <c r="F327" s="1139" t="s">
        <v>246</v>
      </c>
      <c r="G327" s="529" t="s">
        <v>2735</v>
      </c>
      <c r="H327" s="102"/>
      <c r="I327" s="102"/>
      <c r="J327" s="102"/>
    </row>
    <row r="328" spans="1:10">
      <c r="C328" s="413"/>
      <c r="D328" s="102"/>
      <c r="E328" s="423"/>
      <c r="F328" s="414"/>
      <c r="G328" s="102"/>
      <c r="H328" s="102"/>
      <c r="I328" s="102"/>
      <c r="J328" s="102"/>
    </row>
    <row r="329" spans="1:10">
      <c r="C329" s="422" t="s">
        <v>1232</v>
      </c>
      <c r="D329" s="102"/>
      <c r="E329" s="102"/>
      <c r="F329" s="414"/>
      <c r="G329" s="200" t="s">
        <v>1229</v>
      </c>
      <c r="H329" s="102"/>
      <c r="I329" s="102"/>
      <c r="J329" s="102"/>
    </row>
    <row r="330" spans="1:10">
      <c r="A330" s="579">
        <f>A327+1</f>
        <v>198</v>
      </c>
      <c r="C330" s="585" t="s">
        <v>245</v>
      </c>
      <c r="D330" s="102"/>
      <c r="E330" s="423"/>
      <c r="F330" s="1141" t="s">
        <v>246</v>
      </c>
      <c r="G330" s="529" t="s">
        <v>2741</v>
      </c>
      <c r="H330" s="102"/>
      <c r="I330" s="102"/>
      <c r="J330" s="102"/>
    </row>
    <row r="331" spans="1:10">
      <c r="A331" s="579">
        <f>A330+1</f>
        <v>199</v>
      </c>
      <c r="C331" s="413" t="s">
        <v>247</v>
      </c>
      <c r="D331" s="102"/>
      <c r="E331" s="424"/>
      <c r="F331" s="1142">
        <v>0</v>
      </c>
      <c r="G331" s="529" t="s">
        <v>2742</v>
      </c>
      <c r="H331" s="102"/>
      <c r="I331" s="102"/>
      <c r="J331" s="102"/>
    </row>
    <row r="332" spans="1:10">
      <c r="A332" s="579">
        <f>A331+1</f>
        <v>200</v>
      </c>
      <c r="C332" s="413" t="s">
        <v>1226</v>
      </c>
      <c r="D332" s="102"/>
      <c r="E332" s="423"/>
      <c r="F332" s="1141" t="s">
        <v>246</v>
      </c>
      <c r="G332" s="529" t="s">
        <v>2743</v>
      </c>
      <c r="H332" s="102"/>
      <c r="I332" s="102"/>
      <c r="J332" s="102"/>
    </row>
    <row r="333" spans="1:10">
      <c r="C333" s="413"/>
      <c r="D333" s="102"/>
      <c r="E333" s="423"/>
      <c r="F333" s="414"/>
      <c r="G333" s="585"/>
      <c r="H333" s="102"/>
      <c r="I333" s="102"/>
      <c r="J333" s="102"/>
    </row>
    <row r="334" spans="1:10">
      <c r="C334" s="422" t="s">
        <v>1233</v>
      </c>
      <c r="D334" s="102"/>
      <c r="E334" s="529"/>
      <c r="F334" s="586"/>
      <c r="G334" s="200" t="s">
        <v>1229</v>
      </c>
      <c r="H334" s="102"/>
      <c r="I334" s="102"/>
      <c r="J334" s="102"/>
    </row>
    <row r="335" spans="1:10">
      <c r="A335" s="579">
        <f>A332+1</f>
        <v>201</v>
      </c>
      <c r="C335" s="585" t="s">
        <v>245</v>
      </c>
      <c r="D335" s="102"/>
      <c r="E335" s="423"/>
      <c r="F335" s="1143" t="s">
        <v>246</v>
      </c>
      <c r="G335" s="529" t="s">
        <v>2744</v>
      </c>
      <c r="H335" s="102"/>
      <c r="I335" s="529"/>
      <c r="J335" s="529"/>
    </row>
    <row r="336" spans="1:10">
      <c r="A336" s="579">
        <f>A335+1</f>
        <v>202</v>
      </c>
      <c r="C336" s="413" t="s">
        <v>247</v>
      </c>
      <c r="D336" s="102"/>
      <c r="E336" s="424"/>
      <c r="F336" s="1144">
        <v>0</v>
      </c>
      <c r="G336" s="529" t="s">
        <v>2745</v>
      </c>
      <c r="H336" s="102"/>
      <c r="I336" s="529"/>
      <c r="J336" s="529"/>
    </row>
    <row r="337" spans="1:10">
      <c r="A337" s="579">
        <f>A336+1</f>
        <v>203</v>
      </c>
      <c r="C337" s="413" t="s">
        <v>1226</v>
      </c>
      <c r="D337" s="102"/>
      <c r="E337" s="423"/>
      <c r="F337" s="1143" t="s">
        <v>246</v>
      </c>
      <c r="G337" s="529" t="s">
        <v>2746</v>
      </c>
      <c r="H337" s="102"/>
      <c r="I337" s="529"/>
      <c r="J337" s="529"/>
    </row>
    <row r="338" spans="1:10">
      <c r="C338" s="413"/>
      <c r="D338" s="102"/>
      <c r="E338" s="424"/>
      <c r="F338" s="415"/>
      <c r="G338" s="529"/>
      <c r="H338" s="102"/>
      <c r="I338" s="529"/>
      <c r="J338" s="529"/>
    </row>
    <row r="339" spans="1:10">
      <c r="C339" s="422" t="s">
        <v>1234</v>
      </c>
      <c r="D339" s="102"/>
      <c r="E339" s="529"/>
      <c r="F339" s="586"/>
      <c r="G339" s="200" t="s">
        <v>1229</v>
      </c>
      <c r="H339" s="102"/>
      <c r="I339" s="529"/>
      <c r="J339" s="529"/>
    </row>
    <row r="340" spans="1:10">
      <c r="A340" s="579">
        <f>A337+1</f>
        <v>204</v>
      </c>
      <c r="C340" s="585" t="s">
        <v>245</v>
      </c>
      <c r="D340" s="102"/>
      <c r="E340" s="423"/>
      <c r="F340" s="1145" t="s">
        <v>246</v>
      </c>
      <c r="G340" s="529" t="s">
        <v>2744</v>
      </c>
      <c r="H340" s="102"/>
      <c r="I340" s="529"/>
      <c r="J340" s="529"/>
    </row>
    <row r="341" spans="1:10">
      <c r="A341" s="579">
        <f>A340+1</f>
        <v>205</v>
      </c>
      <c r="C341" s="413" t="s">
        <v>247</v>
      </c>
      <c r="D341" s="102"/>
      <c r="E341" s="424"/>
      <c r="F341" s="1146">
        <v>0</v>
      </c>
      <c r="G341" s="529" t="s">
        <v>2745</v>
      </c>
      <c r="H341" s="102"/>
      <c r="I341" s="529"/>
      <c r="J341" s="529"/>
    </row>
    <row r="342" spans="1:10">
      <c r="A342" s="579">
        <f>A341+1</f>
        <v>206</v>
      </c>
      <c r="C342" s="413" t="s">
        <v>1226</v>
      </c>
      <c r="D342" s="102"/>
      <c r="E342" s="423"/>
      <c r="F342" s="1145" t="s">
        <v>246</v>
      </c>
      <c r="G342" s="529" t="s">
        <v>2746</v>
      </c>
      <c r="H342" s="102"/>
      <c r="I342" s="529"/>
      <c r="J342" s="529"/>
    </row>
    <row r="343" spans="1:10">
      <c r="C343" s="102"/>
      <c r="D343" s="102"/>
      <c r="E343" s="102"/>
      <c r="F343" s="414"/>
      <c r="G343" s="102"/>
      <c r="H343" s="102"/>
      <c r="I343" s="102"/>
      <c r="J343" s="102"/>
    </row>
    <row r="344" spans="1:10">
      <c r="C344" s="422" t="s">
        <v>1235</v>
      </c>
      <c r="D344" s="102"/>
      <c r="E344" s="529"/>
      <c r="F344" s="586"/>
      <c r="G344" s="200" t="s">
        <v>1229</v>
      </c>
      <c r="H344" s="102"/>
      <c r="I344" s="102"/>
      <c r="J344" s="102"/>
    </row>
    <row r="345" spans="1:10">
      <c r="A345" s="579">
        <f>A342+1</f>
        <v>207</v>
      </c>
      <c r="C345" s="585" t="s">
        <v>245</v>
      </c>
      <c r="D345" s="102"/>
      <c r="E345" s="423"/>
      <c r="F345" s="1147" t="s">
        <v>246</v>
      </c>
      <c r="G345" s="587" t="s">
        <v>2747</v>
      </c>
      <c r="H345" s="102"/>
      <c r="I345" s="102"/>
      <c r="J345" s="102"/>
    </row>
    <row r="346" spans="1:10">
      <c r="A346" s="579">
        <f>A345+1</f>
        <v>208</v>
      </c>
      <c r="C346" s="413" t="s">
        <v>247</v>
      </c>
      <c r="D346" s="102"/>
      <c r="E346" s="424"/>
      <c r="F346" s="1148">
        <v>0</v>
      </c>
      <c r="G346" s="1149" t="s">
        <v>86</v>
      </c>
      <c r="H346" s="102"/>
      <c r="I346" s="102"/>
      <c r="J346" s="102"/>
    </row>
    <row r="347" spans="1:10">
      <c r="A347" s="579">
        <f>A346+1</f>
        <v>209</v>
      </c>
      <c r="C347" s="413" t="s">
        <v>1226</v>
      </c>
      <c r="D347" s="102"/>
      <c r="E347" s="423"/>
      <c r="F347" s="1147" t="s">
        <v>246</v>
      </c>
      <c r="G347" s="587" t="s">
        <v>2747</v>
      </c>
      <c r="H347" s="102"/>
      <c r="I347" s="102"/>
      <c r="J347" s="102"/>
    </row>
    <row r="348" spans="1:10">
      <c r="C348" s="102"/>
      <c r="D348" s="102"/>
      <c r="E348" s="102"/>
      <c r="F348" s="414"/>
      <c r="G348" s="102"/>
      <c r="H348" s="102"/>
      <c r="I348" s="102"/>
      <c r="J348" s="102"/>
    </row>
    <row r="349" spans="1:10">
      <c r="C349" s="422" t="s">
        <v>1236</v>
      </c>
      <c r="D349" s="102"/>
      <c r="E349" s="529"/>
      <c r="F349" s="586"/>
      <c r="G349" s="200" t="s">
        <v>1229</v>
      </c>
      <c r="H349" s="102"/>
      <c r="I349" s="102"/>
      <c r="J349" s="102"/>
    </row>
    <row r="350" spans="1:10">
      <c r="A350" s="579">
        <f>A347+1</f>
        <v>210</v>
      </c>
      <c r="C350" s="585" t="s">
        <v>245</v>
      </c>
      <c r="D350" s="102"/>
      <c r="E350" s="423"/>
      <c r="F350" s="1150" t="s">
        <v>246</v>
      </c>
      <c r="G350" s="587" t="s">
        <v>2747</v>
      </c>
      <c r="H350" s="102"/>
      <c r="I350" s="102"/>
      <c r="J350" s="102"/>
    </row>
    <row r="351" spans="1:10">
      <c r="A351" s="579">
        <f>A350+1</f>
        <v>211</v>
      </c>
      <c r="C351" s="413" t="s">
        <v>247</v>
      </c>
      <c r="D351" s="102"/>
      <c r="E351" s="424"/>
      <c r="F351" s="1151">
        <v>0</v>
      </c>
      <c r="G351" s="1149" t="s">
        <v>86</v>
      </c>
      <c r="H351" s="102"/>
      <c r="I351" s="102"/>
      <c r="J351" s="102"/>
    </row>
    <row r="352" spans="1:10">
      <c r="A352" s="579">
        <f>A351+1</f>
        <v>212</v>
      </c>
      <c r="C352" s="413" t="s">
        <v>1226</v>
      </c>
      <c r="D352" s="102"/>
      <c r="E352" s="423"/>
      <c r="F352" s="1150" t="s">
        <v>246</v>
      </c>
      <c r="G352" s="587" t="s">
        <v>2747</v>
      </c>
      <c r="H352" s="102"/>
      <c r="I352" s="102"/>
      <c r="J352" s="102"/>
    </row>
    <row r="353" spans="1:10">
      <c r="C353" s="102"/>
      <c r="D353" s="102"/>
      <c r="E353" s="102"/>
      <c r="F353" s="414"/>
      <c r="G353" s="102"/>
      <c r="H353" s="102"/>
      <c r="I353" s="102"/>
      <c r="J353" s="102"/>
    </row>
    <row r="354" spans="1:10">
      <c r="C354" s="422" t="s">
        <v>1237</v>
      </c>
      <c r="D354" s="102"/>
      <c r="E354" s="529"/>
      <c r="F354" s="586"/>
      <c r="G354" s="200" t="s">
        <v>1229</v>
      </c>
      <c r="H354" s="102"/>
      <c r="I354" s="102"/>
      <c r="J354" s="102"/>
    </row>
    <row r="355" spans="1:10">
      <c r="A355" s="579">
        <f>A352+1</f>
        <v>213</v>
      </c>
      <c r="C355" s="585" t="s">
        <v>245</v>
      </c>
      <c r="D355" s="102"/>
      <c r="E355" s="423"/>
      <c r="F355" s="1152" t="s">
        <v>246</v>
      </c>
      <c r="G355" s="587" t="s">
        <v>2747</v>
      </c>
      <c r="H355" s="102"/>
      <c r="I355" s="102"/>
      <c r="J355" s="102"/>
    </row>
    <row r="356" spans="1:10">
      <c r="A356" s="579">
        <f>A355+1</f>
        <v>214</v>
      </c>
      <c r="C356" s="413" t="s">
        <v>247</v>
      </c>
      <c r="D356" s="102"/>
      <c r="E356" s="424"/>
      <c r="F356" s="1153">
        <v>0</v>
      </c>
      <c r="G356" s="1149" t="s">
        <v>86</v>
      </c>
      <c r="H356" s="102"/>
      <c r="I356" s="102"/>
      <c r="J356" s="102"/>
    </row>
    <row r="357" spans="1:10">
      <c r="A357" s="579">
        <f>A356+1</f>
        <v>215</v>
      </c>
      <c r="C357" s="413" t="s">
        <v>1226</v>
      </c>
      <c r="D357" s="102"/>
      <c r="E357" s="423"/>
      <c r="F357" s="1152" t="s">
        <v>246</v>
      </c>
      <c r="G357" s="587" t="s">
        <v>2747</v>
      </c>
      <c r="H357" s="102"/>
      <c r="I357" s="102"/>
      <c r="J357" s="102"/>
    </row>
    <row r="358" spans="1:10">
      <c r="C358" s="102"/>
      <c r="D358" s="102"/>
      <c r="E358" s="102"/>
      <c r="F358" s="414"/>
      <c r="G358" s="102"/>
      <c r="H358" s="102"/>
      <c r="I358" s="102"/>
      <c r="J358" s="102"/>
    </row>
    <row r="359" spans="1:10">
      <c r="C359" s="422" t="s">
        <v>1238</v>
      </c>
      <c r="D359" s="102"/>
      <c r="E359" s="529"/>
      <c r="F359" s="586"/>
      <c r="G359" s="200" t="s">
        <v>1229</v>
      </c>
      <c r="H359" s="102"/>
      <c r="I359" s="102"/>
      <c r="J359" s="102"/>
    </row>
    <row r="360" spans="1:10">
      <c r="A360" s="579">
        <f>A357+1</f>
        <v>216</v>
      </c>
      <c r="C360" s="585" t="s">
        <v>245</v>
      </c>
      <c r="D360" s="102"/>
      <c r="E360" s="423"/>
      <c r="F360" s="1154" t="s">
        <v>246</v>
      </c>
      <c r="G360" s="587" t="s">
        <v>2747</v>
      </c>
      <c r="H360" s="102"/>
      <c r="I360" s="102"/>
      <c r="J360" s="102"/>
    </row>
    <row r="361" spans="1:10">
      <c r="A361" s="579">
        <f>A360+1</f>
        <v>217</v>
      </c>
      <c r="C361" s="413" t="s">
        <v>247</v>
      </c>
      <c r="D361" s="102"/>
      <c r="E361" s="424"/>
      <c r="F361" s="1155">
        <v>0</v>
      </c>
      <c r="G361" s="1149" t="s">
        <v>86</v>
      </c>
      <c r="H361" s="102"/>
      <c r="I361" s="102"/>
      <c r="J361" s="102"/>
    </row>
    <row r="362" spans="1:10">
      <c r="A362" s="579">
        <f>A361+1</f>
        <v>218</v>
      </c>
      <c r="C362" s="413" t="s">
        <v>1226</v>
      </c>
      <c r="D362" s="102"/>
      <c r="E362" s="423"/>
      <c r="F362" s="1154" t="s">
        <v>246</v>
      </c>
      <c r="G362" s="587" t="s">
        <v>2747</v>
      </c>
      <c r="H362" s="102"/>
      <c r="I362" s="102"/>
      <c r="J362" s="102"/>
    </row>
    <row r="363" spans="1:10">
      <c r="C363" s="102"/>
      <c r="D363" s="102"/>
      <c r="E363" s="102"/>
      <c r="F363" s="102"/>
      <c r="G363" s="102"/>
      <c r="H363" s="102"/>
      <c r="I363" s="102"/>
      <c r="J363" s="102"/>
    </row>
    <row r="364" spans="1:10">
      <c r="C364" s="417" t="s">
        <v>1239</v>
      </c>
      <c r="D364" s="102"/>
      <c r="E364" s="102"/>
      <c r="F364" s="102"/>
      <c r="G364" s="200" t="s">
        <v>1229</v>
      </c>
      <c r="H364" s="102"/>
      <c r="I364" s="102"/>
      <c r="J364" s="102"/>
    </row>
    <row r="365" spans="1:10">
      <c r="A365" s="579">
        <f>A362+1</f>
        <v>219</v>
      </c>
      <c r="C365" s="585" t="s">
        <v>245</v>
      </c>
      <c r="D365" s="102"/>
      <c r="E365" s="102"/>
      <c r="F365" s="102"/>
      <c r="G365" s="102"/>
      <c r="H365" s="102"/>
      <c r="I365" s="102"/>
      <c r="J365" s="102"/>
    </row>
    <row r="366" spans="1:10">
      <c r="A366" s="579">
        <f>A365+1</f>
        <v>220</v>
      </c>
      <c r="C366" s="413" t="s">
        <v>247</v>
      </c>
      <c r="D366" s="102"/>
      <c r="E366" s="102"/>
      <c r="F366" s="102"/>
      <c r="G366" s="102"/>
      <c r="H366" s="102"/>
      <c r="I366" s="102"/>
      <c r="J366" s="102"/>
    </row>
    <row r="367" spans="1:10">
      <c r="A367" s="579">
        <f>A366+1</f>
        <v>221</v>
      </c>
      <c r="C367" s="413" t="s">
        <v>1226</v>
      </c>
      <c r="D367" s="102"/>
      <c r="E367" s="102"/>
      <c r="F367" s="102"/>
      <c r="G367" s="102"/>
      <c r="H367" s="102"/>
      <c r="I367" s="102"/>
      <c r="J367" s="102"/>
    </row>
    <row r="368" spans="1:10">
      <c r="C368" s="418" t="s">
        <v>564</v>
      </c>
    </row>
    <row r="370" spans="2:3">
      <c r="B370" s="419" t="s">
        <v>420</v>
      </c>
    </row>
    <row r="371" spans="2:3">
      <c r="C371" s="522" t="s">
        <v>1334</v>
      </c>
    </row>
    <row r="372" spans="2:3">
      <c r="C372" t="s">
        <v>1240</v>
      </c>
    </row>
  </sheetData>
  <phoneticPr fontId="25" type="noConversion"/>
  <pageMargins left="0.75" right="0.75" top="1" bottom="1" header="0.5" footer="0.5"/>
  <pageSetup scale="70" orientation="portrait" cellComments="asDisplayed" r:id="rId1"/>
  <headerFooter alignWithMargins="0">
    <oddHeader>&amp;CSchedule 14
Incentive Plant
&amp;RTO11 Draft Annual Update
Attachment 1</oddHeader>
    <oddFooter>&amp;R&amp;A</oddFooter>
  </headerFooter>
  <rowBreaks count="5" manualBreakCount="5">
    <brk id="66" max="16383" man="1"/>
    <brk id="131" max="16383" man="1"/>
    <brk id="189" max="16383" man="1"/>
    <brk id="246" max="16383" man="1"/>
    <brk id="30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zoomScaleNormal="100" workbookViewId="0"/>
  </sheetViews>
  <sheetFormatPr defaultRowHeight="12.75"/>
  <cols>
    <col min="1" max="2" width="4.7109375" customWidth="1"/>
    <col min="3" max="4" width="10.7109375" customWidth="1"/>
    <col min="5" max="9" width="15.7109375" customWidth="1"/>
  </cols>
  <sheetData>
    <row r="1" spans="1:9">
      <c r="A1" s="1" t="s">
        <v>167</v>
      </c>
      <c r="B1" s="1"/>
    </row>
    <row r="2" spans="1:9">
      <c r="A2" s="1"/>
      <c r="B2" s="1"/>
      <c r="G2" s="100" t="s">
        <v>272</v>
      </c>
      <c r="H2" s="100"/>
    </row>
    <row r="3" spans="1:9">
      <c r="A3" s="1"/>
      <c r="B3" s="12" t="s">
        <v>1077</v>
      </c>
    </row>
    <row r="4" spans="1:9">
      <c r="A4" s="1"/>
      <c r="B4" s="13" t="s">
        <v>1078</v>
      </c>
    </row>
    <row r="5" spans="1:9">
      <c r="A5" s="1"/>
      <c r="B5" s="526" t="s">
        <v>1699</v>
      </c>
    </row>
    <row r="7" spans="1:9" ht="13.5" customHeight="1">
      <c r="B7" s="1" t="s">
        <v>300</v>
      </c>
    </row>
    <row r="8" spans="1:9">
      <c r="A8" s="1"/>
      <c r="B8" s="1"/>
    </row>
    <row r="9" spans="1:9">
      <c r="A9" s="1"/>
      <c r="B9" s="1"/>
      <c r="C9" s="12" t="s">
        <v>326</v>
      </c>
    </row>
    <row r="10" spans="1:9">
      <c r="A10" s="1"/>
      <c r="B10" s="1"/>
      <c r="C10" s="12" t="s">
        <v>1253</v>
      </c>
    </row>
    <row r="11" spans="1:9">
      <c r="A11" s="1"/>
      <c r="B11" s="1"/>
      <c r="C11" s="12"/>
    </row>
    <row r="12" spans="1:9">
      <c r="A12" s="1"/>
      <c r="B12" s="1"/>
      <c r="C12" s="522" t="s">
        <v>1667</v>
      </c>
    </row>
    <row r="13" spans="1:9">
      <c r="A13" s="1"/>
      <c r="B13" s="1"/>
    </row>
    <row r="14" spans="1:9">
      <c r="A14" s="52" t="s">
        <v>360</v>
      </c>
      <c r="B14" s="1"/>
      <c r="C14" s="12" t="s">
        <v>399</v>
      </c>
      <c r="G14" s="125" t="s">
        <v>190</v>
      </c>
      <c r="I14" s="3" t="s">
        <v>198</v>
      </c>
    </row>
    <row r="15" spans="1:9">
      <c r="A15" s="117">
        <v>1</v>
      </c>
      <c r="B15" s="44"/>
      <c r="C15" s="46" t="s">
        <v>400</v>
      </c>
      <c r="D15" s="14"/>
      <c r="E15" s="14"/>
      <c r="F15" s="14"/>
      <c r="G15" s="71">
        <f>'1-BaseTRR'!K80</f>
        <v>0.47802714144315023</v>
      </c>
      <c r="H15" s="14"/>
      <c r="I15" s="15" t="str">
        <f>"1-BaseTRR, L "&amp;'1-BaseTRR'!A80&amp;""</f>
        <v>1-BaseTRR, L 46</v>
      </c>
    </row>
    <row r="16" spans="1:9">
      <c r="A16" s="117">
        <v>2</v>
      </c>
      <c r="B16" s="44"/>
      <c r="C16" s="46" t="s">
        <v>242</v>
      </c>
      <c r="D16" s="14"/>
      <c r="E16" s="14"/>
      <c r="F16" s="14"/>
      <c r="G16" s="71">
        <f>'1-BaseTRR'!K102</f>
        <v>0.40754725118781476</v>
      </c>
      <c r="H16" s="14"/>
      <c r="I16" s="15" t="str">
        <f>"1-BaseTRR, L "&amp;'1-BaseTRR'!A102&amp;""</f>
        <v>1-BaseTRR, L 58</v>
      </c>
    </row>
    <row r="17" spans="1:9">
      <c r="A17" s="117">
        <v>3</v>
      </c>
      <c r="B17" s="44"/>
      <c r="C17" s="14"/>
      <c r="D17" s="14"/>
      <c r="E17" s="14"/>
      <c r="F17" s="374" t="s">
        <v>545</v>
      </c>
      <c r="G17" s="64">
        <f>G15*(1/(1-G16))* 10000</f>
        <v>8068.6120944084041</v>
      </c>
      <c r="H17" s="14"/>
      <c r="I17" s="15" t="s">
        <v>401</v>
      </c>
    </row>
    <row r="18" spans="1:9">
      <c r="A18" s="14"/>
      <c r="B18" s="14"/>
      <c r="C18" s="14"/>
      <c r="D18" s="14"/>
      <c r="E18" s="14"/>
      <c r="F18" s="14"/>
      <c r="G18" s="14"/>
      <c r="H18" s="14"/>
      <c r="I18" s="14"/>
    </row>
    <row r="19" spans="1:9">
      <c r="A19" s="14"/>
      <c r="B19" s="44" t="s">
        <v>301</v>
      </c>
      <c r="C19" s="14"/>
      <c r="D19" s="14"/>
      <c r="E19" s="14"/>
      <c r="F19" s="14"/>
      <c r="G19" s="14"/>
      <c r="H19" s="14"/>
      <c r="I19" s="14"/>
    </row>
    <row r="20" spans="1:9">
      <c r="A20" s="44"/>
      <c r="B20" s="44"/>
      <c r="C20" s="15" t="s">
        <v>331</v>
      </c>
      <c r="D20" s="14"/>
      <c r="E20" s="14"/>
      <c r="F20" s="14"/>
      <c r="G20" s="14"/>
      <c r="H20" s="14"/>
      <c r="I20" s="14"/>
    </row>
    <row r="21" spans="1:9">
      <c r="A21" s="44"/>
      <c r="B21" s="44"/>
      <c r="C21" s="15" t="s">
        <v>546</v>
      </c>
      <c r="D21" s="14"/>
      <c r="E21" s="14"/>
      <c r="F21" s="14"/>
      <c r="G21" s="14"/>
      <c r="H21" s="14"/>
      <c r="I21" s="14"/>
    </row>
    <row r="22" spans="1:9">
      <c r="A22" s="44"/>
      <c r="B22" s="44"/>
      <c r="C22" s="14"/>
      <c r="D22" s="14"/>
      <c r="E22" s="14"/>
      <c r="F22" s="14"/>
      <c r="G22" s="14"/>
      <c r="H22" s="14"/>
      <c r="I22" s="14"/>
    </row>
    <row r="23" spans="1:9">
      <c r="A23" s="44"/>
      <c r="B23" s="44"/>
      <c r="C23" s="14"/>
      <c r="D23" s="14"/>
      <c r="E23" s="14"/>
      <c r="F23" s="117" t="s">
        <v>303</v>
      </c>
      <c r="G23" s="14"/>
      <c r="H23" s="14"/>
      <c r="I23" s="14"/>
    </row>
    <row r="24" spans="1:9">
      <c r="A24" s="1008" t="s">
        <v>360</v>
      </c>
      <c r="B24" s="1008"/>
      <c r="C24" s="14"/>
      <c r="D24" s="14"/>
      <c r="E24" s="131" t="s">
        <v>9</v>
      </c>
      <c r="F24" s="131" t="s">
        <v>36</v>
      </c>
      <c r="G24" s="131" t="s">
        <v>198</v>
      </c>
      <c r="H24" s="14"/>
      <c r="I24" s="14"/>
    </row>
    <row r="25" spans="1:9">
      <c r="A25" s="117">
        <f>A17+1</f>
        <v>4</v>
      </c>
      <c r="B25" s="117"/>
      <c r="C25" s="14" t="s">
        <v>251</v>
      </c>
      <c r="D25" s="14"/>
      <c r="E25" s="84">
        <f>'14-IncentivePlant'!F308</f>
        <v>7.4999999999999997E-3</v>
      </c>
      <c r="F25" s="1057">
        <f>E25/0.01</f>
        <v>0.75</v>
      </c>
      <c r="G25" s="46" t="str">
        <f>"14-IncentivePlant, L "&amp;'14-IncentivePlant'!A308&amp;""</f>
        <v>14-IncentivePlant, L 184</v>
      </c>
      <c r="H25" s="14"/>
      <c r="I25" s="14"/>
    </row>
    <row r="26" spans="1:9">
      <c r="A26" s="117">
        <f>A25+1</f>
        <v>5</v>
      </c>
      <c r="B26" s="117"/>
      <c r="C26" s="14" t="s">
        <v>252</v>
      </c>
      <c r="D26" s="14"/>
      <c r="E26" s="84">
        <f>'14-IncentivePlant'!F313</f>
        <v>1.2500000000000001E-2</v>
      </c>
      <c r="F26" s="1057">
        <f>E26/0.01</f>
        <v>1.25</v>
      </c>
      <c r="G26" s="46" t="str">
        <f>"14-IncentivePlant, L "&amp;'14-IncentivePlant'!A313&amp;""</f>
        <v>14-IncentivePlant, L 187</v>
      </c>
      <c r="H26" s="14"/>
      <c r="I26" s="14"/>
    </row>
    <row r="27" spans="1:9">
      <c r="A27" s="117">
        <f>A26+1</f>
        <v>6</v>
      </c>
      <c r="B27" s="117"/>
      <c r="C27" s="524" t="s">
        <v>2709</v>
      </c>
      <c r="D27" s="14"/>
      <c r="E27" s="84">
        <f>'14-IncentivePlant'!F318</f>
        <v>0.01</v>
      </c>
      <c r="F27" s="1057">
        <f>E27/0.01</f>
        <v>1</v>
      </c>
      <c r="G27" s="46" t="str">
        <f>"14-IncentivePlant, L "&amp;'14-IncentivePlant'!A318&amp;""</f>
        <v>14-IncentivePlant, L 190</v>
      </c>
      <c r="H27" s="14"/>
      <c r="I27" s="14"/>
    </row>
    <row r="28" spans="1:9">
      <c r="A28" s="2">
        <f>A27+1</f>
        <v>7</v>
      </c>
      <c r="B28" s="2"/>
      <c r="C28" s="122"/>
      <c r="D28" s="102"/>
      <c r="E28" s="42"/>
      <c r="F28" s="103"/>
    </row>
    <row r="29" spans="1:9">
      <c r="A29" s="2">
        <f>A28+1</f>
        <v>8</v>
      </c>
      <c r="B29" s="2"/>
      <c r="C29" s="198" t="s">
        <v>564</v>
      </c>
      <c r="E29" s="42"/>
      <c r="F29" s="103"/>
    </row>
    <row r="31" spans="1:9">
      <c r="B31" s="1" t="s">
        <v>302</v>
      </c>
    </row>
    <row r="32" spans="1:9">
      <c r="A32" s="1"/>
      <c r="B32" s="1"/>
      <c r="C32" s="12" t="s">
        <v>1616</v>
      </c>
    </row>
    <row r="33" spans="1:9">
      <c r="A33" s="1"/>
      <c r="B33" s="1"/>
      <c r="C33" s="12" t="s">
        <v>547</v>
      </c>
    </row>
    <row r="34" spans="1:9">
      <c r="A34" s="1"/>
      <c r="B34" s="1"/>
      <c r="C34" s="12" t="s">
        <v>548</v>
      </c>
    </row>
    <row r="35" spans="1:9">
      <c r="E35" s="2"/>
      <c r="G35" s="2"/>
    </row>
    <row r="36" spans="1:9">
      <c r="E36" s="2" t="s">
        <v>73</v>
      </c>
      <c r="G36" s="2" t="s">
        <v>73</v>
      </c>
    </row>
    <row r="37" spans="1:9">
      <c r="E37" s="2" t="s">
        <v>8</v>
      </c>
      <c r="F37" s="2" t="s">
        <v>303</v>
      </c>
      <c r="G37" s="2" t="s">
        <v>8</v>
      </c>
    </row>
    <row r="38" spans="1:9">
      <c r="A38" s="52" t="s">
        <v>360</v>
      </c>
      <c r="B38" s="52"/>
      <c r="E38" s="3" t="s">
        <v>192</v>
      </c>
      <c r="F38" s="3" t="s">
        <v>36</v>
      </c>
      <c r="G38" s="3" t="s">
        <v>304</v>
      </c>
      <c r="H38" s="3" t="s">
        <v>198</v>
      </c>
    </row>
    <row r="39" spans="1:9">
      <c r="A39" s="2">
        <f>A29+1</f>
        <v>9</v>
      </c>
      <c r="B39" s="2"/>
      <c r="C39" t="s">
        <v>251</v>
      </c>
      <c r="E39" s="7">
        <f>'14-IncentivePlant'!E46</f>
        <v>159718238.86265433</v>
      </c>
      <c r="F39" s="103">
        <f>F25</f>
        <v>0.75</v>
      </c>
      <c r="G39" s="7">
        <f>(E39/1000000)*(F39*$G$17)</f>
        <v>966528.38533861726</v>
      </c>
      <c r="H39" s="46" t="str">
        <f>"14-IncentivePlant, L "&amp;'14-IncentivePlant'!A46&amp;", Col. 1"</f>
        <v>14-IncentivePlant, L 13, Col. 1</v>
      </c>
    </row>
    <row r="40" spans="1:9">
      <c r="A40" s="2">
        <f>A39+1</f>
        <v>10</v>
      </c>
      <c r="B40" s="2"/>
      <c r="C40" t="s">
        <v>252</v>
      </c>
      <c r="E40" s="7">
        <f>'14-IncentivePlant'!E47</f>
        <v>2721169268.0444202</v>
      </c>
      <c r="F40" s="103">
        <f>F26</f>
        <v>1.25</v>
      </c>
      <c r="G40" s="7">
        <f>(E40/1000000)*(F40*$G$17)</f>
        <v>27445074.083844595</v>
      </c>
      <c r="H40" s="46" t="str">
        <f>"14-IncentivePlant, L "&amp;'14-IncentivePlant'!A47&amp;", Col. 1"</f>
        <v>14-IncentivePlant, L 14, Col. 1</v>
      </c>
    </row>
    <row r="41" spans="1:9">
      <c r="A41" s="2">
        <f>A40+1</f>
        <v>11</v>
      </c>
      <c r="B41" s="2"/>
      <c r="C41" s="522" t="s">
        <v>2709</v>
      </c>
      <c r="E41" s="7">
        <f>'14-IncentivePlant'!E48</f>
        <v>729082807.54697227</v>
      </c>
      <c r="F41" s="103">
        <f>F27</f>
        <v>1</v>
      </c>
      <c r="G41" s="7">
        <f>(E41/1000000)*(F41*$G$17)</f>
        <v>5882686.3587987358</v>
      </c>
      <c r="H41" s="46" t="str">
        <f>"14-IncentivePlant, L "&amp;'14-IncentivePlant'!A48&amp;", Col. 1"</f>
        <v>14-IncentivePlant, L 15, Col. 1</v>
      </c>
    </row>
    <row r="42" spans="1:9">
      <c r="A42" s="2">
        <f>A41+1</f>
        <v>12</v>
      </c>
      <c r="B42" s="2"/>
      <c r="C42" s="122"/>
      <c r="D42" s="102"/>
      <c r="H42" s="14"/>
    </row>
    <row r="43" spans="1:9">
      <c r="A43" s="2">
        <f>A42+1</f>
        <v>13</v>
      </c>
      <c r="B43" s="2"/>
      <c r="C43" s="198" t="s">
        <v>564</v>
      </c>
      <c r="H43" s="14"/>
    </row>
    <row r="44" spans="1:9">
      <c r="A44" s="2">
        <f>A43+1</f>
        <v>14</v>
      </c>
      <c r="F44" s="36" t="s">
        <v>88</v>
      </c>
      <c r="G44" s="7">
        <f>SUM(G39:G42)</f>
        <v>34294288.827981949</v>
      </c>
      <c r="H44" s="521" t="s">
        <v>1900</v>
      </c>
    </row>
    <row r="45" spans="1:9">
      <c r="H45" s="521" t="s">
        <v>1901</v>
      </c>
      <c r="I45" s="7"/>
    </row>
    <row r="46" spans="1:9">
      <c r="B46" s="1" t="s">
        <v>1651</v>
      </c>
      <c r="H46" s="14"/>
    </row>
    <row r="47" spans="1:9">
      <c r="A47" s="1"/>
      <c r="B47" s="1"/>
      <c r="C47" s="522" t="s">
        <v>1652</v>
      </c>
      <c r="H47" s="14"/>
    </row>
    <row r="48" spans="1:9">
      <c r="A48" s="1"/>
      <c r="B48" s="1"/>
      <c r="C48" s="522" t="s">
        <v>1700</v>
      </c>
      <c r="H48" s="14"/>
    </row>
    <row r="49" spans="1:9">
      <c r="A49" s="1"/>
      <c r="B49" s="1"/>
      <c r="C49" s="522" t="s">
        <v>1899</v>
      </c>
      <c r="H49" s="14"/>
    </row>
    <row r="50" spans="1:9">
      <c r="H50" s="14"/>
    </row>
    <row r="51" spans="1:9">
      <c r="E51" s="2" t="s">
        <v>0</v>
      </c>
      <c r="G51" s="2" t="s">
        <v>0</v>
      </c>
      <c r="H51" s="14"/>
    </row>
    <row r="52" spans="1:9">
      <c r="E52" s="2" t="s">
        <v>8</v>
      </c>
      <c r="F52" s="2" t="s">
        <v>303</v>
      </c>
      <c r="G52" s="2" t="s">
        <v>8</v>
      </c>
      <c r="H52" s="14"/>
    </row>
    <row r="53" spans="1:9">
      <c r="A53" s="52" t="s">
        <v>360</v>
      </c>
      <c r="B53" s="52"/>
      <c r="E53" s="3" t="s">
        <v>1092</v>
      </c>
      <c r="F53" s="3" t="s">
        <v>36</v>
      </c>
      <c r="G53" s="3" t="s">
        <v>304</v>
      </c>
      <c r="H53" s="131" t="s">
        <v>198</v>
      </c>
    </row>
    <row r="54" spans="1:9">
      <c r="A54" s="2">
        <f>A44+1</f>
        <v>15</v>
      </c>
      <c r="B54" s="2"/>
      <c r="C54" t="s">
        <v>251</v>
      </c>
      <c r="E54" s="7">
        <f>'14-IncentivePlant'!E60</f>
        <v>162088989.50446436</v>
      </c>
      <c r="F54" s="103">
        <f>F25</f>
        <v>0.75</v>
      </c>
      <c r="G54" s="7">
        <f>(E54/1000000)*(F54*$G$17)</f>
        <v>980874.88581461855</v>
      </c>
      <c r="H54" s="46" t="str">
        <f>"14-IncentivePlant, L "&amp;'14-IncentivePlant'!A60&amp;", Col. 1"</f>
        <v>14-IncentivePlant, L 19, Col. 1</v>
      </c>
    </row>
    <row r="55" spans="1:9">
      <c r="A55" s="2">
        <f>A54+1</f>
        <v>16</v>
      </c>
      <c r="B55" s="2"/>
      <c r="C55" t="s">
        <v>252</v>
      </c>
      <c r="E55" s="7">
        <f>'14-IncentivePlant'!E61</f>
        <v>2627490664.8974462</v>
      </c>
      <c r="F55" s="103">
        <f>F26</f>
        <v>1.25</v>
      </c>
      <c r="G55" s="7">
        <f>(E55/1000000)*(F55*$G$17)</f>
        <v>26500253.695920892</v>
      </c>
      <c r="H55" s="46" t="str">
        <f>"14-IncentivePlant, L "&amp;'14-IncentivePlant'!A61&amp;", Col. 1"</f>
        <v>14-IncentivePlant, L 20, Col. 1</v>
      </c>
    </row>
    <row r="56" spans="1:9">
      <c r="A56" s="2">
        <f>A55+1</f>
        <v>17</v>
      </c>
      <c r="B56" s="2"/>
      <c r="C56" s="522" t="s">
        <v>2709</v>
      </c>
      <c r="E56" s="7">
        <f>'14-IncentivePlant'!E62</f>
        <v>739286359.77936268</v>
      </c>
      <c r="F56" s="103">
        <f>F27</f>
        <v>1</v>
      </c>
      <c r="G56" s="7">
        <f>(E56/1000000)*(F56*$G$17)</f>
        <v>5965014.8637469281</v>
      </c>
      <c r="H56" s="46" t="str">
        <f>"14-IncentivePlant, L "&amp;'14-IncentivePlant'!A62&amp;", Col. 1"</f>
        <v>14-IncentivePlant, L 21, Col. 1</v>
      </c>
    </row>
    <row r="57" spans="1:9">
      <c r="A57" s="2">
        <f>A56+1</f>
        <v>18</v>
      </c>
      <c r="B57" s="2"/>
      <c r="C57" s="122"/>
      <c r="D57" s="102"/>
    </row>
    <row r="58" spans="1:9">
      <c r="A58" s="2">
        <f>A57+1</f>
        <v>19</v>
      </c>
      <c r="B58" s="2"/>
      <c r="C58" s="198" t="s">
        <v>564</v>
      </c>
    </row>
    <row r="59" spans="1:9">
      <c r="A59" s="2">
        <f>A58+1</f>
        <v>20</v>
      </c>
      <c r="F59" s="520" t="s">
        <v>1653</v>
      </c>
      <c r="G59" s="7">
        <f>SUM(G54:G57)</f>
        <v>33446143.44548244</v>
      </c>
      <c r="H59" s="526" t="s">
        <v>1900</v>
      </c>
    </row>
    <row r="60" spans="1:9">
      <c r="H60" s="526" t="s">
        <v>1901</v>
      </c>
      <c r="I60" s="7"/>
    </row>
    <row r="61" spans="1:9">
      <c r="B61" s="1" t="s">
        <v>1715</v>
      </c>
    </row>
    <row r="63" spans="1:9">
      <c r="C63" s="1" t="s">
        <v>1716</v>
      </c>
    </row>
    <row r="65" spans="1:7">
      <c r="E65" s="549" t="s">
        <v>10</v>
      </c>
    </row>
    <row r="66" spans="1:7">
      <c r="C66" s="549" t="s">
        <v>8</v>
      </c>
      <c r="E66" s="549" t="s">
        <v>329</v>
      </c>
    </row>
    <row r="67" spans="1:7">
      <c r="A67" s="52" t="s">
        <v>360</v>
      </c>
      <c r="C67" s="3" t="s">
        <v>250</v>
      </c>
      <c r="E67" s="3" t="s">
        <v>3</v>
      </c>
      <c r="F67" s="3" t="s">
        <v>198</v>
      </c>
    </row>
    <row r="68" spans="1:7">
      <c r="A68" s="549">
        <f>A59+1</f>
        <v>21</v>
      </c>
      <c r="C68" t="s">
        <v>251</v>
      </c>
      <c r="E68" s="7">
        <f>'14-IncentivePlant'!G60</f>
        <v>162088989.50446436</v>
      </c>
      <c r="F68" s="521" t="str">
        <f>"14-IncentivePlant, L "&amp;'14-IncentivePlant'!A60&amp;", Col. 3"</f>
        <v>14-IncentivePlant, L 19, Col. 3</v>
      </c>
      <c r="G68" s="14"/>
    </row>
    <row r="69" spans="1:7">
      <c r="A69" s="549">
        <f t="shared" ref="A69:A71" si="0">A68+1</f>
        <v>22</v>
      </c>
      <c r="C69" t="s">
        <v>252</v>
      </c>
      <c r="E69" s="7">
        <f>'14-IncentivePlant'!G61</f>
        <v>2339462307.7197537</v>
      </c>
      <c r="F69" s="521" t="str">
        <f>"14-IncentivePlant, L "&amp;'14-IncentivePlant'!A61&amp;", Col. 3"</f>
        <v>14-IncentivePlant, L 20, Col. 3</v>
      </c>
      <c r="G69" s="14"/>
    </row>
    <row r="70" spans="1:7">
      <c r="A70" s="549">
        <f t="shared" si="0"/>
        <v>23</v>
      </c>
      <c r="C70" s="522" t="s">
        <v>2709</v>
      </c>
      <c r="E70" s="7">
        <f>'14-IncentivePlant'!G62</f>
        <v>739213289.28320885</v>
      </c>
      <c r="F70" s="521" t="str">
        <f>"14-IncentivePlant, L "&amp;'14-IncentivePlant'!A62&amp;", Col. 3"</f>
        <v>14-IncentivePlant, L 21, Col. 3</v>
      </c>
      <c r="G70" s="14"/>
    </row>
    <row r="71" spans="1:7">
      <c r="A71" s="549">
        <f t="shared" si="0"/>
        <v>24</v>
      </c>
      <c r="C71" s="122"/>
      <c r="F71" s="521"/>
      <c r="G71" s="14"/>
    </row>
    <row r="72" spans="1:7">
      <c r="C72" s="550" t="s">
        <v>564</v>
      </c>
      <c r="F72" s="14"/>
      <c r="G72" s="14"/>
    </row>
    <row r="73" spans="1:7">
      <c r="C73" s="550"/>
      <c r="F73" s="14"/>
      <c r="G73" s="14"/>
    </row>
    <row r="74" spans="1:7">
      <c r="C74" s="1" t="s">
        <v>1717</v>
      </c>
      <c r="F74" s="14"/>
      <c r="G74" s="14"/>
    </row>
    <row r="75" spans="1:7">
      <c r="C75" s="1"/>
      <c r="F75" s="14"/>
      <c r="G75" s="14"/>
    </row>
    <row r="76" spans="1:7">
      <c r="E76" s="3" t="s">
        <v>394</v>
      </c>
      <c r="F76" s="131" t="s">
        <v>378</v>
      </c>
      <c r="G76" s="14"/>
    </row>
    <row r="77" spans="1:7">
      <c r="E77" s="3"/>
      <c r="F77" s="117" t="s">
        <v>1718</v>
      </c>
      <c r="G77" s="14"/>
    </row>
    <row r="78" spans="1:7">
      <c r="E78" s="549" t="s">
        <v>307</v>
      </c>
      <c r="F78" s="117" t="s">
        <v>307</v>
      </c>
      <c r="G78" s="14"/>
    </row>
    <row r="79" spans="1:7">
      <c r="C79" s="549" t="s">
        <v>8</v>
      </c>
      <c r="E79" s="549" t="s">
        <v>8</v>
      </c>
      <c r="F79" s="117" t="s">
        <v>8</v>
      </c>
      <c r="G79" s="14"/>
    </row>
    <row r="80" spans="1:7">
      <c r="A80" s="52" t="s">
        <v>360</v>
      </c>
      <c r="C80" s="3" t="s">
        <v>250</v>
      </c>
      <c r="E80" s="3" t="s">
        <v>304</v>
      </c>
      <c r="F80" s="131" t="s">
        <v>304</v>
      </c>
      <c r="G80" s="131" t="s">
        <v>198</v>
      </c>
    </row>
    <row r="81" spans="1:7">
      <c r="A81" s="549">
        <f>A71+1</f>
        <v>25</v>
      </c>
      <c r="C81" t="s">
        <v>251</v>
      </c>
      <c r="E81" s="7">
        <f>(E68/1000000)*(F54*$G$17)</f>
        <v>980874.88581461855</v>
      </c>
      <c r="F81" s="64">
        <f>E81*(1-$G$16)</f>
        <v>581122.02234170912</v>
      </c>
      <c r="G81" s="521" t="s">
        <v>236</v>
      </c>
    </row>
    <row r="82" spans="1:7">
      <c r="A82" s="549">
        <f t="shared" ref="A82:A86" si="1">A81+1</f>
        <v>26</v>
      </c>
      <c r="C82" t="s">
        <v>252</v>
      </c>
      <c r="E82" s="7">
        <f>(E69/1000000)*(F55*$G$17)</f>
        <v>23595267.338100255</v>
      </c>
      <c r="F82" s="64">
        <f>E82*(1-$G$16)</f>
        <v>13979080.993415868</v>
      </c>
      <c r="G82" s="521" t="s">
        <v>236</v>
      </c>
    </row>
    <row r="83" spans="1:7">
      <c r="A83" s="549">
        <f t="shared" si="1"/>
        <v>27</v>
      </c>
      <c r="C83" s="522" t="s">
        <v>2709</v>
      </c>
      <c r="E83" s="7">
        <f>(E70/1000000)*(F56*$G$17)</f>
        <v>5964425.2862579171</v>
      </c>
      <c r="F83" s="64">
        <f>E83*(1-$G$16)</f>
        <v>3533640.1559284078</v>
      </c>
      <c r="G83" s="521" t="s">
        <v>236</v>
      </c>
    </row>
    <row r="84" spans="1:7">
      <c r="A84" s="549">
        <f t="shared" si="1"/>
        <v>28</v>
      </c>
      <c r="C84" s="122"/>
      <c r="E84" s="7"/>
      <c r="F84" s="64"/>
      <c r="G84" s="521" t="s">
        <v>236</v>
      </c>
    </row>
    <row r="85" spans="1:7">
      <c r="A85" s="549">
        <f t="shared" si="1"/>
        <v>29</v>
      </c>
      <c r="C85" s="550" t="s">
        <v>564</v>
      </c>
      <c r="E85" s="7"/>
      <c r="F85" s="64"/>
      <c r="G85" s="14"/>
    </row>
    <row r="86" spans="1:7">
      <c r="A86" s="549">
        <f t="shared" si="1"/>
        <v>30</v>
      </c>
      <c r="E86" s="520" t="s">
        <v>4</v>
      </c>
      <c r="F86" s="64">
        <f>SUM(F81:F85)</f>
        <v>18093843.171685986</v>
      </c>
      <c r="G86" s="14"/>
    </row>
    <row r="87" spans="1:7">
      <c r="F87" s="14"/>
      <c r="G87" s="14"/>
    </row>
    <row r="88" spans="1:7">
      <c r="C88" s="1" t="s">
        <v>1719</v>
      </c>
      <c r="F88" s="14"/>
      <c r="G88" s="14"/>
    </row>
    <row r="89" spans="1:7">
      <c r="A89" s="52" t="s">
        <v>360</v>
      </c>
      <c r="F89" s="131" t="s">
        <v>194</v>
      </c>
      <c r="G89" s="131" t="s">
        <v>198</v>
      </c>
    </row>
    <row r="90" spans="1:7">
      <c r="A90" s="549">
        <f>A86+1</f>
        <v>31</v>
      </c>
      <c r="E90" s="520" t="s">
        <v>1720</v>
      </c>
      <c r="F90" s="64">
        <f>'4-TUTRR'!J29</f>
        <v>5324024363.6035328</v>
      </c>
      <c r="G90" s="521" t="str">
        <f>"4-TUTRR, Line "&amp;'4-TUTRR'!A29&amp;""</f>
        <v>4-TUTRR, Line 17</v>
      </c>
    </row>
    <row r="91" spans="1:7">
      <c r="A91" s="549">
        <f t="shared" ref="A91:A94" si="2">A90+1</f>
        <v>32</v>
      </c>
      <c r="E91" s="520" t="s">
        <v>1721</v>
      </c>
      <c r="F91" s="118">
        <f>'4-TUTRR'!J24</f>
        <v>378577965.22230768</v>
      </c>
      <c r="G91" s="521" t="str">
        <f>"4-TUTRR, Line "&amp;'4-TUTRR'!A24&amp;""</f>
        <v>4-TUTRR, Line 14</v>
      </c>
    </row>
    <row r="92" spans="1:7">
      <c r="A92" s="549">
        <f t="shared" si="2"/>
        <v>33</v>
      </c>
      <c r="E92" s="520" t="s">
        <v>1722</v>
      </c>
      <c r="F92" s="64">
        <f>F90-F91</f>
        <v>4945446398.3812256</v>
      </c>
      <c r="G92" s="120" t="str">
        <f>"Line "&amp;A90&amp;" - Line "&amp;A91&amp;""</f>
        <v>Line 31 - Line 32</v>
      </c>
    </row>
    <row r="93" spans="1:7">
      <c r="A93" s="549">
        <f t="shared" si="2"/>
        <v>34</v>
      </c>
      <c r="E93" s="520" t="s">
        <v>1723</v>
      </c>
      <c r="F93" s="71">
        <f>'1-BaseTRR'!K80</f>
        <v>0.47802714144315023</v>
      </c>
      <c r="G93" s="521" t="str">
        <f>"1-BaseTRR, Line "&amp;'1-BaseTRR'!A80&amp;""</f>
        <v>1-BaseTRR, Line 46</v>
      </c>
    </row>
    <row r="94" spans="1:7">
      <c r="A94" s="549">
        <f t="shared" si="2"/>
        <v>35</v>
      </c>
      <c r="E94" s="520" t="s">
        <v>1724</v>
      </c>
      <c r="F94" s="64">
        <f>F92*F93</f>
        <v>2364057604.9784999</v>
      </c>
      <c r="G94" s="16" t="str">
        <f>"Line "&amp;A92&amp;" * Line "&amp;A93&amp;""</f>
        <v>Line 33 * Line 34</v>
      </c>
    </row>
    <row r="96" spans="1:7">
      <c r="C96" s="1" t="s">
        <v>1725</v>
      </c>
    </row>
    <row r="97" spans="1:8">
      <c r="A97" s="52" t="s">
        <v>360</v>
      </c>
    </row>
    <row r="98" spans="1:8">
      <c r="A98" s="549">
        <f>A94+1</f>
        <v>36</v>
      </c>
      <c r="E98" s="520" t="s">
        <v>1726</v>
      </c>
      <c r="F98" s="42">
        <f>F86/F94</f>
        <v>7.6537234683207063E-3</v>
      </c>
      <c r="G98" s="120" t="str">
        <f>"Line "&amp;A86&amp;" / Line "&amp;A94&amp;""</f>
        <v>Line 30 / Line 35</v>
      </c>
      <c r="H98" s="14"/>
    </row>
    <row r="99" spans="1:8">
      <c r="A99" s="549">
        <f t="shared" ref="A99:A101" si="3">A98+1</f>
        <v>37</v>
      </c>
      <c r="E99" s="520" t="s">
        <v>1727</v>
      </c>
      <c r="G99" s="14"/>
      <c r="H99" s="14"/>
    </row>
    <row r="100" spans="1:8">
      <c r="A100" s="549">
        <f t="shared" si="3"/>
        <v>38</v>
      </c>
      <c r="E100" s="520" t="s">
        <v>1728</v>
      </c>
      <c r="F100" s="551">
        <f>'1-BaseTRR'!K85</f>
        <v>9.8000000000000004E-2</v>
      </c>
      <c r="G100" s="521" t="str">
        <f>"1-BaseTRR, Line "&amp;'1-BaseTRR'!A85&amp;""</f>
        <v>1-BaseTRR, Line 49</v>
      </c>
      <c r="H100" s="14"/>
    </row>
    <row r="101" spans="1:8">
      <c r="A101" s="549">
        <f t="shared" si="3"/>
        <v>39</v>
      </c>
      <c r="E101" s="520" t="s">
        <v>1729</v>
      </c>
      <c r="F101" s="42">
        <f>F98+F100</f>
        <v>0.10565372346832071</v>
      </c>
      <c r="G101" s="120" t="str">
        <f>"Line "&amp;A98&amp;" + Line "&amp;A100&amp;""</f>
        <v>Line 36 + Line 38</v>
      </c>
      <c r="H101" s="14"/>
    </row>
    <row r="103" spans="1:8">
      <c r="B103" s="1" t="s">
        <v>420</v>
      </c>
    </row>
    <row r="104" spans="1:8">
      <c r="B104" s="522" t="s">
        <v>588</v>
      </c>
    </row>
    <row r="105" spans="1:8">
      <c r="B105" s="522" t="s">
        <v>589</v>
      </c>
    </row>
    <row r="107" spans="1:8">
      <c r="B107" s="1" t="s">
        <v>256</v>
      </c>
    </row>
    <row r="108" spans="1:8">
      <c r="B108" s="522" t="str">
        <f>"1) Column 1: The True Up Incentive Adder for each Incentive Project equals the IREF on Line "&amp;A17&amp;","</f>
        <v>1) Column 1: The True Up Incentive Adder for each Incentive Project equals the IREF on Line 3,</v>
      </c>
    </row>
    <row r="109" spans="1:8">
      <c r="B109" s="522" t="str">
        <f>"times the applicable Multiplicative Factor on Lines "&amp;A54&amp;" to "&amp;A57&amp;", times the million $ of"</f>
        <v>times the applicable Multiplicative Factor on Lines 15 to 18, times the million $ of</v>
      </c>
    </row>
    <row r="110" spans="1:8">
      <c r="B110" s="522" t="str">
        <f>"TIP Net Plant In Service on Lines "&amp;A68&amp;" to "&amp;A71&amp;"."</f>
        <v>TIP Net Plant In Service on Lines 21 to 24.</v>
      </c>
    </row>
    <row r="111" spans="1:8">
      <c r="B111" s="522" t="s">
        <v>1730</v>
      </c>
    </row>
    <row r="112" spans="1:8">
      <c r="B112" s="522" t="str">
        <f>"Column 1 by (1 - CTR) (Where the CTR is on Line "&amp;A16&amp;")."</f>
        <v>Column 1 by (1 - CTR) (Where the CTR is on Line 2).</v>
      </c>
    </row>
  </sheetData>
  <phoneticPr fontId="25" type="noConversion"/>
  <pageMargins left="0.75" right="0.75" top="1" bottom="1" header="0.5" footer="0.5"/>
  <pageSetup scale="75" orientation="portrait" cellComments="asDisplayed" r:id="rId1"/>
  <headerFooter alignWithMargins="0">
    <oddHeader>&amp;CSchedule 15
Incentive Adders
&amp;RTO11 Draft Annual Update
Attachment 1</oddHeader>
    <oddFooter>&amp;R&amp;A</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zoomScaleNormal="100" workbookViewId="0"/>
  </sheetViews>
  <sheetFormatPr defaultRowHeight="12.75"/>
  <cols>
    <col min="1" max="1" width="2.7109375" customWidth="1"/>
    <col min="2" max="2" width="18.7109375" customWidth="1"/>
    <col min="3" max="3" width="10.7109375" customWidth="1"/>
    <col min="4" max="4" width="66.7109375" customWidth="1"/>
  </cols>
  <sheetData>
    <row r="1" spans="1:4">
      <c r="A1" s="1" t="s">
        <v>1263</v>
      </c>
      <c r="C1" s="1"/>
    </row>
    <row r="3" spans="1:4">
      <c r="B3" s="3" t="s">
        <v>1264</v>
      </c>
      <c r="C3" s="3" t="s">
        <v>1338</v>
      </c>
      <c r="D3" s="421" t="s">
        <v>580</v>
      </c>
    </row>
    <row r="4" spans="1:4">
      <c r="B4" s="385" t="s">
        <v>1203</v>
      </c>
      <c r="C4" s="62"/>
      <c r="D4" s="12" t="s">
        <v>1266</v>
      </c>
    </row>
    <row r="5" spans="1:4">
      <c r="B5" s="670" t="s">
        <v>1265</v>
      </c>
      <c r="C5" s="62">
        <v>1</v>
      </c>
      <c r="D5" s="522" t="s">
        <v>2704</v>
      </c>
    </row>
    <row r="6" spans="1:4">
      <c r="B6" s="670" t="s">
        <v>1214</v>
      </c>
      <c r="C6" s="62">
        <v>2</v>
      </c>
      <c r="D6" s="12" t="s">
        <v>1273</v>
      </c>
    </row>
    <row r="7" spans="1:4">
      <c r="B7" s="670" t="s">
        <v>1215</v>
      </c>
      <c r="C7" s="62">
        <v>3</v>
      </c>
      <c r="D7" s="12" t="s">
        <v>1274</v>
      </c>
    </row>
    <row r="8" spans="1:4">
      <c r="B8" s="670" t="s">
        <v>1689</v>
      </c>
      <c r="C8" s="62">
        <v>4</v>
      </c>
      <c r="D8" s="522" t="s">
        <v>1690</v>
      </c>
    </row>
    <row r="9" spans="1:4">
      <c r="B9" s="670" t="s">
        <v>1204</v>
      </c>
      <c r="C9" s="62">
        <v>5</v>
      </c>
      <c r="D9" s="12" t="s">
        <v>1267</v>
      </c>
    </row>
    <row r="10" spans="1:4">
      <c r="B10" s="670" t="s">
        <v>1207</v>
      </c>
      <c r="C10" s="62">
        <v>6</v>
      </c>
      <c r="D10" s="12" t="s">
        <v>1270</v>
      </c>
    </row>
    <row r="11" spans="1:4">
      <c r="B11" s="670" t="s">
        <v>1208</v>
      </c>
      <c r="C11" s="62">
        <v>7</v>
      </c>
      <c r="D11" s="12" t="s">
        <v>1628</v>
      </c>
    </row>
    <row r="12" spans="1:4">
      <c r="B12" s="670" t="s">
        <v>1217</v>
      </c>
      <c r="C12" s="62">
        <v>8</v>
      </c>
      <c r="D12" s="12" t="s">
        <v>1275</v>
      </c>
    </row>
    <row r="13" spans="1:4">
      <c r="B13" s="670" t="s">
        <v>220</v>
      </c>
      <c r="C13" s="62">
        <v>9</v>
      </c>
      <c r="D13" s="12" t="s">
        <v>109</v>
      </c>
    </row>
    <row r="14" spans="1:4">
      <c r="B14" s="670" t="s">
        <v>1</v>
      </c>
      <c r="C14" s="62">
        <v>10</v>
      </c>
      <c r="D14" s="522" t="s">
        <v>2705</v>
      </c>
    </row>
    <row r="15" spans="1:4">
      <c r="B15" s="670" t="s">
        <v>1209</v>
      </c>
      <c r="C15" s="62">
        <v>11</v>
      </c>
      <c r="D15" s="12" t="s">
        <v>1323</v>
      </c>
    </row>
    <row r="16" spans="1:4">
      <c r="B16" s="670" t="s">
        <v>1210</v>
      </c>
      <c r="C16" s="62">
        <v>12</v>
      </c>
      <c r="D16" s="12" t="s">
        <v>1271</v>
      </c>
    </row>
    <row r="17" spans="2:4">
      <c r="B17" s="670" t="s">
        <v>1216</v>
      </c>
      <c r="C17" s="62">
        <v>13</v>
      </c>
      <c r="D17" s="12" t="s">
        <v>1285</v>
      </c>
    </row>
    <row r="18" spans="2:4">
      <c r="B18" s="670" t="s">
        <v>1211</v>
      </c>
      <c r="C18" s="62">
        <v>14</v>
      </c>
      <c r="D18" s="12" t="s">
        <v>1272</v>
      </c>
    </row>
    <row r="19" spans="2:4">
      <c r="B19" s="670" t="s">
        <v>1212</v>
      </c>
      <c r="C19" s="62">
        <v>15</v>
      </c>
      <c r="D19" s="522" t="s">
        <v>1936</v>
      </c>
    </row>
    <row r="20" spans="2:4">
      <c r="B20" s="670" t="s">
        <v>1213</v>
      </c>
      <c r="C20" s="62">
        <v>16</v>
      </c>
      <c r="D20" s="12" t="s">
        <v>1331</v>
      </c>
    </row>
    <row r="21" spans="2:4">
      <c r="B21" s="670" t="s">
        <v>1205</v>
      </c>
      <c r="C21" s="62">
        <v>17</v>
      </c>
      <c r="D21" s="12" t="s">
        <v>1268</v>
      </c>
    </row>
    <row r="22" spans="2:4">
      <c r="B22" s="670" t="s">
        <v>1206</v>
      </c>
      <c r="C22" s="62">
        <v>18</v>
      </c>
      <c r="D22" s="12" t="s">
        <v>1269</v>
      </c>
    </row>
    <row r="23" spans="2:4">
      <c r="B23" s="670" t="s">
        <v>1218</v>
      </c>
      <c r="C23" s="62">
        <v>19</v>
      </c>
      <c r="D23" s="12" t="s">
        <v>1276</v>
      </c>
    </row>
    <row r="24" spans="2:4">
      <c r="B24" s="670" t="s">
        <v>1219</v>
      </c>
      <c r="C24" s="62">
        <v>20</v>
      </c>
      <c r="D24" s="522" t="s">
        <v>308</v>
      </c>
    </row>
    <row r="25" spans="2:4">
      <c r="B25" s="670" t="s">
        <v>1242</v>
      </c>
      <c r="C25" s="62">
        <v>21</v>
      </c>
      <c r="D25" s="12" t="s">
        <v>1277</v>
      </c>
    </row>
    <row r="26" spans="2:4">
      <c r="B26" s="670" t="s">
        <v>1243</v>
      </c>
      <c r="C26" s="62">
        <v>22</v>
      </c>
      <c r="D26" s="12" t="s">
        <v>1330</v>
      </c>
    </row>
    <row r="27" spans="2:4">
      <c r="B27" s="670" t="s">
        <v>1244</v>
      </c>
      <c r="C27" s="62">
        <v>23</v>
      </c>
      <c r="D27" s="12" t="s">
        <v>1278</v>
      </c>
    </row>
    <row r="28" spans="2:4" ht="12.75" customHeight="1">
      <c r="B28" s="670" t="s">
        <v>1610</v>
      </c>
      <c r="C28" s="62">
        <v>24</v>
      </c>
      <c r="D28" s="12" t="s">
        <v>1611</v>
      </c>
    </row>
    <row r="29" spans="2:4">
      <c r="B29" s="670" t="s">
        <v>1549</v>
      </c>
      <c r="C29" s="62">
        <v>25</v>
      </c>
      <c r="D29" s="12" t="s">
        <v>1550</v>
      </c>
    </row>
    <row r="30" spans="2:4">
      <c r="B30" s="670" t="s">
        <v>1247</v>
      </c>
      <c r="C30" s="62">
        <v>26</v>
      </c>
      <c r="D30" s="12" t="s">
        <v>1279</v>
      </c>
    </row>
    <row r="31" spans="2:4">
      <c r="B31" s="670" t="s">
        <v>1246</v>
      </c>
      <c r="C31" s="62">
        <v>27</v>
      </c>
      <c r="D31" s="12" t="s">
        <v>221</v>
      </c>
    </row>
    <row r="32" spans="2:4">
      <c r="B32" s="670" t="s">
        <v>1245</v>
      </c>
      <c r="C32" s="62">
        <v>28</v>
      </c>
      <c r="D32" s="12" t="s">
        <v>1280</v>
      </c>
    </row>
    <row r="33" spans="2:4">
      <c r="B33" s="670" t="s">
        <v>1248</v>
      </c>
      <c r="C33" s="62">
        <v>29</v>
      </c>
      <c r="D33" s="12" t="s">
        <v>1281</v>
      </c>
    </row>
    <row r="34" spans="2:4">
      <c r="B34" s="670" t="s">
        <v>1249</v>
      </c>
      <c r="C34" s="62">
        <v>30</v>
      </c>
      <c r="D34" s="12" t="s">
        <v>1332</v>
      </c>
    </row>
    <row r="35" spans="2:4">
      <c r="B35" s="670" t="s">
        <v>1250</v>
      </c>
      <c r="C35" s="62">
        <v>31</v>
      </c>
      <c r="D35" s="12" t="s">
        <v>1282</v>
      </c>
    </row>
    <row r="36" spans="2:4">
      <c r="B36" s="670" t="s">
        <v>1251</v>
      </c>
      <c r="C36" s="62">
        <v>32</v>
      </c>
      <c r="D36" s="12" t="s">
        <v>1283</v>
      </c>
    </row>
    <row r="37" spans="2:4">
      <c r="B37" s="670" t="s">
        <v>1252</v>
      </c>
      <c r="C37" s="509">
        <v>33</v>
      </c>
      <c r="D37" s="12" t="s">
        <v>1284</v>
      </c>
    </row>
    <row r="38" spans="2:4">
      <c r="B38" s="670" t="s">
        <v>2415</v>
      </c>
      <c r="C38" s="1016">
        <v>34</v>
      </c>
      <c r="D38" s="524" t="s">
        <v>2461</v>
      </c>
    </row>
    <row r="39" spans="2:4">
      <c r="B39" s="1015" t="s">
        <v>534</v>
      </c>
      <c r="C39" s="1016">
        <v>35</v>
      </c>
      <c r="D39" s="524" t="s">
        <v>2408</v>
      </c>
    </row>
    <row r="40" spans="2:4">
      <c r="B40" s="12"/>
    </row>
    <row r="41" spans="2:4">
      <c r="B41" s="12"/>
    </row>
    <row r="42" spans="2:4">
      <c r="B42" s="12"/>
    </row>
    <row r="43" spans="2:4">
      <c r="B43" s="12"/>
    </row>
  </sheetData>
  <hyperlinks>
    <hyperlink ref="B9" location="'5-ROR-1'!A1" display="ROR"/>
    <hyperlink ref="B4" location="Overview!A1" display="Overview"/>
    <hyperlink ref="B5" location="'1-BaseTRR'!A1" display="BaseTRR"/>
    <hyperlink ref="B21" location="'17-Depreciation'!A1" display="Depreciation"/>
    <hyperlink ref="B22" location="'18-DepRates'!A1" display="DepRates"/>
    <hyperlink ref="B10" location="'6-PlantInService'!A1" display="PlantInService"/>
    <hyperlink ref="B11" location="'7-PlantStudy'!A1" display="PlantStudy"/>
    <hyperlink ref="B15" location="'11-PHFU'!A1" display="PHFU"/>
    <hyperlink ref="B16" location="'12-AbandonedPlant'!A1" display="AbandonedPlant"/>
    <hyperlink ref="B18" location="'14-IncentivePlant'!A1" display="IncentivePlant"/>
    <hyperlink ref="B19" location="'15-IncentiveAdder'!A1" display="IncentiveAdder"/>
    <hyperlink ref="B20" location="'16-PlantAdditions'!A1" display="PlantAdditions"/>
    <hyperlink ref="B14" location="'10-CWIP'!A1" display="CWIP"/>
    <hyperlink ref="B6" location="'2-IFPTRR'!A1" display="IFPTRR"/>
    <hyperlink ref="B8" location="'4-TUTRR'!A1" display="TUTRR"/>
    <hyperlink ref="B7" location="'3-TrueUpAdjust'!A1" display="TrueUpAdjust"/>
    <hyperlink ref="B17" location="'13-WorkCap'!A1" display="WorkCap"/>
    <hyperlink ref="B12" location="'8-AccDep'!A1" display="AccDep"/>
    <hyperlink ref="B23" location="'19-OandM'!A1" display="OandM"/>
    <hyperlink ref="B24" location="'20-AandG'!A1" display="AandG"/>
    <hyperlink ref="B13" location="'9-ADIT'!A1" display="ADIT"/>
    <hyperlink ref="B25" location="'21-RevenueCredits'!A1" display="RevenueCredits"/>
    <hyperlink ref="B26" location="'22-NUCs'!A1" display="NUCs"/>
    <hyperlink ref="B27" location="'23-RegAssets'!A1" display="RegAssets"/>
    <hyperlink ref="B29" location="'25-WholesaleDifference'!A1" display="WholesaleDifference"/>
    <hyperlink ref="B30" location="'26-TaxRates'!A1" display="TaxRates"/>
    <hyperlink ref="B31" location="'27-Allocators'!A1" display="Allocators"/>
    <hyperlink ref="B32" location="'28-FFU'!A1" display="FFU"/>
    <hyperlink ref="B33" location="'29-WholesaleTRRs'!A1" display="WholesaleTRRs"/>
    <hyperlink ref="B34" location="'30-WholesaleRates'!A1" display="Wholesale Rates"/>
    <hyperlink ref="B35" location="'31-HVLV'!A1" display="HVLV"/>
    <hyperlink ref="B36" location="'32-GrossLoad'!A1" display="GrossLoad"/>
    <hyperlink ref="B37" location="'33-RetailRates'!A1" display="RetailRates"/>
    <hyperlink ref="B28" location="'24-CWIPTRR'!A1" display="CWIPTRR"/>
    <hyperlink ref="B39" location="'35-PBOPs'!A1" display="PBOPs"/>
    <hyperlink ref="B38" location="'34-UnfundedReserves'!Print_Area" display="Unfunded Reserves"/>
  </hyperlinks>
  <pageMargins left="0.7" right="0.7" top="0.75" bottom="0.75" header="0.3" footer="0.3"/>
  <pageSetup scale="90" orientation="portrait" cellComments="asDisplayed" r:id="rId1"/>
  <headerFooter>
    <oddHeader>&amp;RTO11 Draft Annual Update
Attachment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04"/>
  <sheetViews>
    <sheetView zoomScaleNormal="100" workbookViewId="0"/>
  </sheetViews>
  <sheetFormatPr defaultColWidth="9.140625" defaultRowHeight="12.75"/>
  <cols>
    <col min="1" max="1" width="4.7109375" style="728" customWidth="1"/>
    <col min="2" max="2" width="6" style="728" customWidth="1"/>
    <col min="3" max="3" width="15.7109375" style="728" customWidth="1"/>
    <col min="4" max="4" width="9.140625" style="728" customWidth="1"/>
    <col min="5" max="6" width="14.7109375" style="728" customWidth="1"/>
    <col min="7" max="7" width="16" style="728" bestFit="1" customWidth="1"/>
    <col min="8" max="8" width="18.28515625" style="728" customWidth="1"/>
    <col min="9" max="10" width="15.7109375" style="728" customWidth="1"/>
    <col min="11" max="11" width="16.85546875" style="728" customWidth="1"/>
    <col min="12" max="16" width="15.7109375" style="728" customWidth="1"/>
    <col min="17" max="17" width="2.85546875" style="728" customWidth="1"/>
    <col min="18" max="21" width="18.7109375" style="728" customWidth="1"/>
    <col min="22" max="22" width="15.7109375" style="728" customWidth="1"/>
    <col min="23" max="23" width="20.85546875" style="728" bestFit="1" customWidth="1"/>
    <col min="24" max="40" width="15.7109375" style="728" customWidth="1"/>
    <col min="41" max="16384" width="9.140625" style="728"/>
  </cols>
  <sheetData>
    <row r="1" spans="1:40">
      <c r="A1" s="684" t="s">
        <v>1617</v>
      </c>
    </row>
    <row r="2" spans="1:40">
      <c r="F2" s="729" t="s">
        <v>384</v>
      </c>
      <c r="G2" s="729"/>
    </row>
    <row r="3" spans="1:40">
      <c r="B3" s="684" t="s">
        <v>1618</v>
      </c>
    </row>
    <row r="4" spans="1:40">
      <c r="B4" s="684" t="s">
        <v>2368</v>
      </c>
    </row>
    <row r="5" spans="1:40">
      <c r="B5" s="684" t="s">
        <v>2369</v>
      </c>
    </row>
    <row r="6" spans="1:40">
      <c r="B6" s="684"/>
    </row>
    <row r="7" spans="1:40">
      <c r="B7" s="683" t="s">
        <v>2370</v>
      </c>
      <c r="H7" s="684"/>
      <c r="I7" s="684"/>
    </row>
    <row r="8" spans="1:40">
      <c r="B8" s="684"/>
      <c r="E8" s="730" t="s">
        <v>394</v>
      </c>
      <c r="F8" s="730" t="s">
        <v>378</v>
      </c>
      <c r="G8" s="730" t="s">
        <v>379</v>
      </c>
      <c r="H8" s="730" t="s">
        <v>380</v>
      </c>
      <c r="I8" s="730" t="s">
        <v>381</v>
      </c>
      <c r="J8" s="730" t="s">
        <v>382</v>
      </c>
      <c r="K8" s="730" t="s">
        <v>383</v>
      </c>
      <c r="L8" s="730" t="s">
        <v>596</v>
      </c>
      <c r="M8" s="730" t="s">
        <v>1045</v>
      </c>
      <c r="N8" s="730" t="s">
        <v>1061</v>
      </c>
      <c r="O8" s="730" t="s">
        <v>1064</v>
      </c>
      <c r="P8" s="730" t="s">
        <v>1082</v>
      </c>
      <c r="T8" s="730"/>
      <c r="U8" s="730"/>
      <c r="X8" s="731"/>
      <c r="Y8" s="731"/>
      <c r="Z8" s="731"/>
      <c r="AA8" s="731"/>
      <c r="AB8" s="731"/>
      <c r="AC8" s="731"/>
      <c r="AD8" s="731"/>
      <c r="AE8" s="731"/>
      <c r="AF8" s="731"/>
      <c r="AG8" s="731"/>
      <c r="AH8" s="731"/>
      <c r="AI8" s="731"/>
      <c r="AJ8" s="731"/>
      <c r="AK8" s="731"/>
      <c r="AL8" s="731"/>
      <c r="AM8" s="731"/>
      <c r="AN8" s="731"/>
    </row>
    <row r="9" spans="1:40">
      <c r="B9" s="684"/>
      <c r="E9" s="732" t="s">
        <v>235</v>
      </c>
      <c r="F9" s="732" t="s">
        <v>235</v>
      </c>
      <c r="G9" s="732" t="s">
        <v>235</v>
      </c>
      <c r="H9" s="732" t="s">
        <v>235</v>
      </c>
      <c r="I9" s="732" t="s">
        <v>235</v>
      </c>
      <c r="J9" s="732" t="s">
        <v>235</v>
      </c>
      <c r="K9" s="732" t="s">
        <v>235</v>
      </c>
      <c r="L9" s="732" t="s">
        <v>235</v>
      </c>
      <c r="M9" s="732" t="s">
        <v>235</v>
      </c>
      <c r="N9" s="732" t="s">
        <v>235</v>
      </c>
      <c r="O9" s="732" t="s">
        <v>235</v>
      </c>
      <c r="P9" s="732" t="s">
        <v>235</v>
      </c>
      <c r="Q9" s="734"/>
    </row>
    <row r="10" spans="1:40">
      <c r="C10" s="735" t="s">
        <v>217</v>
      </c>
      <c r="E10" s="735" t="s">
        <v>2333</v>
      </c>
      <c r="F10" s="735"/>
      <c r="G10" s="735"/>
      <c r="H10" s="736"/>
      <c r="I10" s="736" t="s">
        <v>2318</v>
      </c>
      <c r="J10" s="736"/>
      <c r="K10" s="736"/>
      <c r="L10" s="736"/>
      <c r="M10" s="736"/>
      <c r="O10" s="735" t="s">
        <v>2333</v>
      </c>
      <c r="P10" s="735" t="s">
        <v>2371</v>
      </c>
      <c r="T10" s="736"/>
      <c r="U10" s="736"/>
      <c r="X10" s="736"/>
      <c r="Y10" s="736"/>
      <c r="Z10" s="736"/>
      <c r="AA10" s="736"/>
      <c r="AB10" s="736"/>
      <c r="AC10" s="736"/>
      <c r="AD10" s="736"/>
      <c r="AE10" s="736"/>
      <c r="AF10" s="736"/>
      <c r="AG10" s="736"/>
      <c r="AH10" s="736"/>
      <c r="AI10" s="736"/>
      <c r="AJ10" s="736"/>
      <c r="AK10" s="736"/>
      <c r="AL10" s="736"/>
      <c r="AM10" s="736"/>
      <c r="AN10" s="736"/>
    </row>
    <row r="11" spans="1:40">
      <c r="B11" s="683"/>
      <c r="C11" s="735" t="s">
        <v>218</v>
      </c>
      <c r="E11" s="735" t="s">
        <v>215</v>
      </c>
      <c r="F11" s="735" t="s">
        <v>2335</v>
      </c>
      <c r="G11" s="736" t="s">
        <v>2336</v>
      </c>
      <c r="H11" s="736" t="s">
        <v>2319</v>
      </c>
      <c r="I11" s="736" t="s">
        <v>2372</v>
      </c>
      <c r="J11" s="736"/>
      <c r="K11" s="736" t="s">
        <v>327</v>
      </c>
      <c r="L11" s="736" t="s">
        <v>1205</v>
      </c>
      <c r="M11" s="736" t="s">
        <v>327</v>
      </c>
      <c r="O11" s="736" t="s">
        <v>1837</v>
      </c>
      <c r="P11" s="736" t="s">
        <v>1837</v>
      </c>
      <c r="T11" s="736"/>
      <c r="U11" s="736"/>
      <c r="X11" s="736"/>
      <c r="Y11" s="736"/>
      <c r="Z11" s="736"/>
      <c r="AA11" s="736"/>
      <c r="AB11" s="736"/>
      <c r="AC11" s="736"/>
      <c r="AD11" s="736"/>
      <c r="AE11" s="736"/>
      <c r="AF11" s="736"/>
      <c r="AG11" s="736"/>
      <c r="AH11" s="736"/>
      <c r="AI11" s="736"/>
      <c r="AJ11" s="736"/>
      <c r="AK11" s="736"/>
      <c r="AL11" s="736"/>
      <c r="AM11" s="736"/>
      <c r="AN11" s="736"/>
    </row>
    <row r="12" spans="1:40">
      <c r="A12" s="737" t="s">
        <v>360</v>
      </c>
      <c r="C12" s="718" t="s">
        <v>211</v>
      </c>
      <c r="D12" s="718" t="s">
        <v>212</v>
      </c>
      <c r="E12" s="731" t="s">
        <v>2339</v>
      </c>
      <c r="F12" s="731" t="s">
        <v>2340</v>
      </c>
      <c r="G12" s="738" t="s">
        <v>2341</v>
      </c>
      <c r="H12" s="738" t="s">
        <v>1117</v>
      </c>
      <c r="I12" s="738" t="s">
        <v>1103</v>
      </c>
      <c r="J12" s="738" t="s">
        <v>2318</v>
      </c>
      <c r="K12" s="738" t="s">
        <v>508</v>
      </c>
      <c r="L12" s="738" t="s">
        <v>2324</v>
      </c>
      <c r="M12" s="738" t="s">
        <v>1504</v>
      </c>
      <c r="N12" s="738" t="s">
        <v>1092</v>
      </c>
      <c r="O12" s="738" t="s">
        <v>1103</v>
      </c>
      <c r="P12" s="738" t="s">
        <v>1103</v>
      </c>
      <c r="T12" s="738"/>
      <c r="U12" s="738"/>
      <c r="V12" s="738"/>
      <c r="W12" s="738"/>
      <c r="X12" s="738"/>
      <c r="Y12" s="738"/>
      <c r="Z12" s="738"/>
      <c r="AA12" s="738"/>
      <c r="AB12" s="738"/>
      <c r="AC12" s="738"/>
      <c r="AD12" s="738"/>
      <c r="AE12" s="738"/>
      <c r="AF12" s="738"/>
      <c r="AG12" s="738"/>
      <c r="AH12" s="738"/>
      <c r="AI12" s="738"/>
      <c r="AJ12" s="738"/>
      <c r="AK12" s="738"/>
      <c r="AL12" s="738"/>
      <c r="AM12" s="738"/>
      <c r="AN12" s="738"/>
    </row>
    <row r="13" spans="1:40">
      <c r="A13" s="735">
        <v>1</v>
      </c>
      <c r="C13" s="728" t="str">
        <f>C45</f>
        <v>January</v>
      </c>
      <c r="D13" s="1014">
        <v>2016</v>
      </c>
      <c r="E13" s="681">
        <f t="shared" ref="E13:P13" si="0">E45+E76</f>
        <v>36808086.249251045</v>
      </c>
      <c r="F13" s="681">
        <f t="shared" si="0"/>
        <v>20660080.318358332</v>
      </c>
      <c r="G13" s="681">
        <f t="shared" si="0"/>
        <v>1211100.4448169535</v>
      </c>
      <c r="H13" s="681">
        <f t="shared" si="0"/>
        <v>1232282.4588767735</v>
      </c>
      <c r="I13" s="681">
        <f t="shared" si="0"/>
        <v>14171248.277082894</v>
      </c>
      <c r="J13" s="681">
        <f t="shared" si="0"/>
        <v>425137.44831248681</v>
      </c>
      <c r="K13" s="681">
        <f t="shared" si="0"/>
        <v>37212041.68350371</v>
      </c>
      <c r="L13" s="681">
        <f t="shared" si="0"/>
        <v>0</v>
      </c>
      <c r="M13" s="681">
        <f t="shared" si="0"/>
        <v>0</v>
      </c>
      <c r="N13" s="681">
        <f t="shared" si="0"/>
        <v>37212041.68350371</v>
      </c>
      <c r="O13" s="681">
        <f t="shared" si="0"/>
        <v>500131.20050904871</v>
      </c>
      <c r="P13" s="681">
        <f t="shared" si="0"/>
        <v>508433.37843749893</v>
      </c>
      <c r="T13" s="739"/>
      <c r="U13" s="739"/>
      <c r="V13" s="740"/>
      <c r="W13" s="739"/>
      <c r="X13" s="741"/>
      <c r="Y13" s="531"/>
      <c r="Z13" s="739"/>
      <c r="AA13" s="739"/>
      <c r="AB13" s="739"/>
      <c r="AC13" s="739"/>
      <c r="AD13" s="739"/>
      <c r="AE13" s="739"/>
      <c r="AF13" s="739"/>
      <c r="AG13" s="739"/>
      <c r="AH13" s="739"/>
      <c r="AI13" s="739"/>
      <c r="AJ13" s="739"/>
      <c r="AK13" s="739"/>
      <c r="AL13" s="739"/>
      <c r="AM13" s="739"/>
      <c r="AN13" s="739"/>
    </row>
    <row r="14" spans="1:40">
      <c r="A14" s="735">
        <f>A13+1</f>
        <v>2</v>
      </c>
      <c r="C14" s="728" t="str">
        <f t="shared" ref="C14:C29" si="1">C46</f>
        <v>February</v>
      </c>
      <c r="D14" s="1014">
        <v>2016</v>
      </c>
      <c r="E14" s="681">
        <f t="shared" ref="E14:P14" si="2">E46+E77</f>
        <v>28689398.629251048</v>
      </c>
      <c r="F14" s="681">
        <f t="shared" si="2"/>
        <v>11078462.278358333</v>
      </c>
      <c r="G14" s="681">
        <f t="shared" si="2"/>
        <v>1320820.2263169535</v>
      </c>
      <c r="H14" s="681">
        <f t="shared" si="2"/>
        <v>1232282.4588767735</v>
      </c>
      <c r="I14" s="681">
        <f t="shared" si="2"/>
        <v>14171248.277082894</v>
      </c>
      <c r="J14" s="681">
        <f t="shared" si="2"/>
        <v>425137.44831248681</v>
      </c>
      <c r="K14" s="681">
        <f t="shared" si="2"/>
        <v>66415115.528507426</v>
      </c>
      <c r="L14" s="681">
        <f t="shared" si="2"/>
        <v>79012.630155895778</v>
      </c>
      <c r="M14" s="681">
        <f t="shared" si="2"/>
        <v>79012.630155895778</v>
      </c>
      <c r="N14" s="681">
        <f t="shared" si="2"/>
        <v>66336102.898351528</v>
      </c>
      <c r="O14" s="681">
        <f t="shared" si="2"/>
        <v>1000262.4010180974</v>
      </c>
      <c r="P14" s="681">
        <f t="shared" si="2"/>
        <v>1016866.7568749979</v>
      </c>
      <c r="T14" s="739"/>
      <c r="U14" s="739"/>
      <c r="V14" s="740"/>
      <c r="W14" s="739"/>
      <c r="X14" s="741"/>
      <c r="Y14" s="531"/>
      <c r="Z14" s="739"/>
      <c r="AA14" s="739"/>
      <c r="AB14" s="739"/>
      <c r="AC14" s="739"/>
      <c r="AD14" s="739"/>
      <c r="AE14" s="739"/>
      <c r="AF14" s="739"/>
      <c r="AG14" s="739"/>
      <c r="AH14" s="739"/>
      <c r="AI14" s="739"/>
      <c r="AJ14" s="739"/>
      <c r="AK14" s="739"/>
      <c r="AL14" s="739"/>
      <c r="AM14" s="739"/>
      <c r="AN14" s="739"/>
    </row>
    <row r="15" spans="1:40">
      <c r="A15" s="735">
        <f t="shared" ref="A15:A37" si="3">A14+1</f>
        <v>3</v>
      </c>
      <c r="C15" s="728" t="str">
        <f t="shared" si="1"/>
        <v>March</v>
      </c>
      <c r="D15" s="1014">
        <v>2016</v>
      </c>
      <c r="E15" s="681">
        <f t="shared" ref="E15:P15" si="4">E47+E78</f>
        <v>26485654.869251058</v>
      </c>
      <c r="F15" s="681">
        <f t="shared" si="4"/>
        <v>11078462.278358333</v>
      </c>
      <c r="G15" s="681">
        <f t="shared" si="4"/>
        <v>1155539.4443169544</v>
      </c>
      <c r="H15" s="681">
        <f t="shared" si="4"/>
        <v>1232282.4588767744</v>
      </c>
      <c r="I15" s="681">
        <f t="shared" si="4"/>
        <v>14171248.277082907</v>
      </c>
      <c r="J15" s="681">
        <f t="shared" si="4"/>
        <v>425137.44831248722</v>
      </c>
      <c r="K15" s="681">
        <f t="shared" si="4"/>
        <v>93249164.83151114</v>
      </c>
      <c r="L15" s="681">
        <f t="shared" si="4"/>
        <v>141019.75389169119</v>
      </c>
      <c r="M15" s="681">
        <f t="shared" si="4"/>
        <v>220032.38404758697</v>
      </c>
      <c r="N15" s="681">
        <f t="shared" si="4"/>
        <v>93029132.447463572</v>
      </c>
      <c r="O15" s="681">
        <f t="shared" si="4"/>
        <v>1500393.6015271461</v>
      </c>
      <c r="P15" s="681">
        <f t="shared" si="4"/>
        <v>1525300.1353124967</v>
      </c>
      <c r="T15" s="739"/>
      <c r="U15" s="739"/>
      <c r="V15" s="740"/>
      <c r="W15" s="739"/>
      <c r="X15" s="741"/>
      <c r="Y15" s="531"/>
      <c r="Z15" s="739"/>
      <c r="AA15" s="739"/>
      <c r="AB15" s="739"/>
      <c r="AC15" s="739"/>
      <c r="AD15" s="739"/>
      <c r="AE15" s="739"/>
      <c r="AF15" s="739"/>
      <c r="AG15" s="739"/>
      <c r="AH15" s="739"/>
      <c r="AI15" s="739"/>
      <c r="AJ15" s="739"/>
      <c r="AK15" s="739"/>
      <c r="AL15" s="739"/>
      <c r="AM15" s="739"/>
      <c r="AN15" s="739"/>
    </row>
    <row r="16" spans="1:40">
      <c r="A16" s="735">
        <f t="shared" si="3"/>
        <v>4</v>
      </c>
      <c r="C16" s="728" t="str">
        <f t="shared" si="1"/>
        <v>April</v>
      </c>
      <c r="D16" s="1014">
        <v>2016</v>
      </c>
      <c r="E16" s="681">
        <f t="shared" ref="E16:P16" si="5">E48+E79</f>
        <v>27463771.753695481</v>
      </c>
      <c r="F16" s="681">
        <f t="shared" si="5"/>
        <v>11288961.508358333</v>
      </c>
      <c r="G16" s="681">
        <f t="shared" si="5"/>
        <v>1213110.7684002859</v>
      </c>
      <c r="H16" s="681">
        <f t="shared" si="5"/>
        <v>1232282.4588767726</v>
      </c>
      <c r="I16" s="681">
        <f t="shared" si="5"/>
        <v>14171248.277082885</v>
      </c>
      <c r="J16" s="681">
        <f t="shared" si="5"/>
        <v>425137.44831248652</v>
      </c>
      <c r="K16" s="681">
        <f t="shared" si="5"/>
        <v>121118902.34304263</v>
      </c>
      <c r="L16" s="681">
        <f t="shared" si="5"/>
        <v>197996.70858813869</v>
      </c>
      <c r="M16" s="681">
        <f t="shared" si="5"/>
        <v>418029.09263572562</v>
      </c>
      <c r="N16" s="681">
        <f t="shared" si="5"/>
        <v>120700873.25040692</v>
      </c>
      <c r="O16" s="681">
        <f t="shared" si="5"/>
        <v>2000524.8020361948</v>
      </c>
      <c r="P16" s="681">
        <f t="shared" si="5"/>
        <v>2033733.5137499957</v>
      </c>
      <c r="T16" s="739"/>
      <c r="U16" s="739"/>
      <c r="V16" s="740"/>
      <c r="W16" s="739"/>
      <c r="X16" s="741"/>
      <c r="Y16" s="531"/>
      <c r="Z16" s="739"/>
      <c r="AA16" s="739"/>
      <c r="AB16" s="739"/>
      <c r="AC16" s="739"/>
      <c r="AD16" s="739"/>
      <c r="AE16" s="739"/>
      <c r="AF16" s="739"/>
      <c r="AG16" s="739"/>
      <c r="AH16" s="739"/>
      <c r="AI16" s="739"/>
      <c r="AJ16" s="739"/>
      <c r="AK16" s="739"/>
      <c r="AL16" s="739"/>
      <c r="AM16" s="739"/>
      <c r="AN16" s="739"/>
    </row>
    <row r="17" spans="1:40">
      <c r="A17" s="735">
        <f t="shared" si="3"/>
        <v>5</v>
      </c>
      <c r="C17" s="728" t="str">
        <f t="shared" si="1"/>
        <v>May</v>
      </c>
      <c r="D17" s="1014">
        <v>2016</v>
      </c>
      <c r="E17" s="681">
        <f t="shared" ref="E17:P17" si="6">E49+E80</f>
        <v>29714157.168645542</v>
      </c>
      <c r="F17" s="681">
        <f t="shared" si="6"/>
        <v>11626346.928358333</v>
      </c>
      <c r="G17" s="681">
        <f t="shared" si="6"/>
        <v>1356585.7680215405</v>
      </c>
      <c r="H17" s="681">
        <f t="shared" si="6"/>
        <v>1356122.458442478</v>
      </c>
      <c r="I17" s="681">
        <f t="shared" si="6"/>
        <v>15595408.272088496</v>
      </c>
      <c r="J17" s="681">
        <f t="shared" si="6"/>
        <v>467862.24816265487</v>
      </c>
      <c r="K17" s="681">
        <f t="shared" si="6"/>
        <v>151301385.0694299</v>
      </c>
      <c r="L17" s="681">
        <f t="shared" si="6"/>
        <v>257172.74846441121</v>
      </c>
      <c r="M17" s="681">
        <f t="shared" si="6"/>
        <v>675201.84110013687</v>
      </c>
      <c r="N17" s="681">
        <f t="shared" si="6"/>
        <v>150626183.22832975</v>
      </c>
      <c r="O17" s="681">
        <f t="shared" si="6"/>
        <v>2500656.0025452436</v>
      </c>
      <c r="P17" s="681">
        <f t="shared" si="6"/>
        <v>2542166.8921874948</v>
      </c>
      <c r="T17" s="739"/>
      <c r="U17" s="739"/>
      <c r="V17" s="740"/>
      <c r="W17" s="739"/>
      <c r="X17" s="741"/>
      <c r="Y17" s="531"/>
      <c r="Z17" s="739"/>
      <c r="AA17" s="739"/>
      <c r="AB17" s="739"/>
      <c r="AC17" s="739"/>
      <c r="AD17" s="739"/>
      <c r="AE17" s="739"/>
      <c r="AF17" s="739"/>
      <c r="AG17" s="739"/>
      <c r="AH17" s="739"/>
      <c r="AI17" s="739"/>
      <c r="AJ17" s="739"/>
      <c r="AK17" s="739"/>
      <c r="AL17" s="739"/>
      <c r="AM17" s="739"/>
      <c r="AN17" s="739"/>
    </row>
    <row r="18" spans="1:40">
      <c r="A18" s="735">
        <f t="shared" si="3"/>
        <v>6</v>
      </c>
      <c r="C18" s="728" t="str">
        <f t="shared" si="1"/>
        <v xml:space="preserve">June </v>
      </c>
      <c r="D18" s="1014">
        <v>2016</v>
      </c>
      <c r="E18" s="681">
        <f t="shared" ref="E18:P18" si="7">E50+E81</f>
        <v>63681736.606125623</v>
      </c>
      <c r="F18" s="681">
        <f t="shared" si="7"/>
        <v>29061299.418358363</v>
      </c>
      <c r="G18" s="681">
        <f t="shared" si="7"/>
        <v>2596532.7890825444</v>
      </c>
      <c r="H18" s="681">
        <f t="shared" si="7"/>
        <v>2823766.3759257621</v>
      </c>
      <c r="I18" s="681">
        <f t="shared" si="7"/>
        <v>32473313.323146265</v>
      </c>
      <c r="J18" s="681">
        <f t="shared" si="7"/>
        <v>974199.39969438792</v>
      </c>
      <c r="K18" s="681">
        <f t="shared" si="7"/>
        <v>215730087.48840669</v>
      </c>
      <c r="L18" s="681">
        <f t="shared" si="7"/>
        <v>321259.45902788837</v>
      </c>
      <c r="M18" s="681">
        <f t="shared" si="7"/>
        <v>996461.30012802524</v>
      </c>
      <c r="N18" s="681">
        <f t="shared" si="7"/>
        <v>214733626.18827865</v>
      </c>
      <c r="O18" s="681">
        <f t="shared" si="7"/>
        <v>3000787.2030542921</v>
      </c>
      <c r="P18" s="681">
        <f t="shared" si="7"/>
        <v>3050600.2706249934</v>
      </c>
      <c r="T18" s="739"/>
      <c r="U18" s="739"/>
      <c r="V18" s="740"/>
      <c r="W18" s="739"/>
      <c r="X18" s="741"/>
      <c r="Y18" s="531"/>
      <c r="Z18" s="739"/>
      <c r="AA18" s="739"/>
      <c r="AB18" s="739"/>
      <c r="AC18" s="739"/>
      <c r="AD18" s="739"/>
      <c r="AE18" s="739"/>
      <c r="AF18" s="739"/>
      <c r="AG18" s="739"/>
      <c r="AH18" s="739"/>
      <c r="AI18" s="739"/>
      <c r="AJ18" s="739"/>
      <c r="AK18" s="739"/>
      <c r="AL18" s="739"/>
      <c r="AM18" s="739"/>
      <c r="AN18" s="739"/>
    </row>
    <row r="19" spans="1:40">
      <c r="A19" s="735">
        <f t="shared" si="3"/>
        <v>7</v>
      </c>
      <c r="C19" s="728" t="str">
        <f t="shared" si="1"/>
        <v>July</v>
      </c>
      <c r="D19" s="1014">
        <v>2016</v>
      </c>
      <c r="E19" s="681">
        <f t="shared" ref="E19:P19" si="8">E51+E82</f>
        <v>27166272.523695495</v>
      </c>
      <c r="F19" s="681">
        <f t="shared" si="8"/>
        <v>11078462.278358333</v>
      </c>
      <c r="G19" s="681">
        <f t="shared" si="8"/>
        <v>1206585.768400287</v>
      </c>
      <c r="H19" s="681">
        <f t="shared" si="8"/>
        <v>1232282.4588767737</v>
      </c>
      <c r="I19" s="681">
        <f t="shared" si="8"/>
        <v>14171248.277082898</v>
      </c>
      <c r="J19" s="681">
        <f t="shared" si="8"/>
        <v>425137.44831248693</v>
      </c>
      <c r="K19" s="681">
        <f t="shared" si="8"/>
        <v>243295800.76993817</v>
      </c>
      <c r="L19" s="681">
        <f t="shared" si="8"/>
        <v>458061.44584044232</v>
      </c>
      <c r="M19" s="681">
        <f t="shared" si="8"/>
        <v>1454522.7459684676</v>
      </c>
      <c r="N19" s="681">
        <f t="shared" si="8"/>
        <v>241841278.02396971</v>
      </c>
      <c r="O19" s="681">
        <f t="shared" si="8"/>
        <v>3500918.4035633407</v>
      </c>
      <c r="P19" s="681">
        <f t="shared" si="8"/>
        <v>3559033.649062492</v>
      </c>
      <c r="T19" s="739"/>
      <c r="U19" s="739"/>
      <c r="V19" s="740"/>
      <c r="W19" s="739"/>
      <c r="X19" s="741"/>
      <c r="Y19" s="531"/>
      <c r="Z19" s="739"/>
      <c r="AA19" s="739"/>
      <c r="AB19" s="739"/>
      <c r="AC19" s="739"/>
      <c r="AD19" s="739"/>
      <c r="AE19" s="739"/>
      <c r="AF19" s="739"/>
      <c r="AG19" s="739"/>
      <c r="AH19" s="739"/>
      <c r="AI19" s="739"/>
      <c r="AJ19" s="739"/>
      <c r="AK19" s="739"/>
      <c r="AL19" s="739"/>
      <c r="AM19" s="739"/>
      <c r="AN19" s="739"/>
    </row>
    <row r="20" spans="1:40">
      <c r="A20" s="735">
        <f t="shared" si="3"/>
        <v>8</v>
      </c>
      <c r="C20" s="728" t="str">
        <f t="shared" si="1"/>
        <v>August</v>
      </c>
      <c r="D20" s="1014">
        <v>2016</v>
      </c>
      <c r="E20" s="681">
        <f t="shared" ref="E20:P20" si="9">E52+E83</f>
        <v>27041972.523695435</v>
      </c>
      <c r="F20" s="681">
        <f t="shared" si="9"/>
        <v>11078462.278358333</v>
      </c>
      <c r="G20" s="681">
        <f t="shared" si="9"/>
        <v>1197263.2684002826</v>
      </c>
      <c r="H20" s="681">
        <f t="shared" si="9"/>
        <v>1232282.4588767686</v>
      </c>
      <c r="I20" s="681">
        <f t="shared" si="9"/>
        <v>14171248.27708284</v>
      </c>
      <c r="J20" s="681">
        <f t="shared" si="9"/>
        <v>425137.44831248518</v>
      </c>
      <c r="K20" s="681">
        <f t="shared" si="9"/>
        <v>270727891.55146962</v>
      </c>
      <c r="L20" s="681">
        <f t="shared" si="9"/>
        <v>516591.94860139798</v>
      </c>
      <c r="M20" s="681">
        <f t="shared" si="9"/>
        <v>1971114.6945698657</v>
      </c>
      <c r="N20" s="681">
        <f t="shared" si="9"/>
        <v>268756776.85689974</v>
      </c>
      <c r="O20" s="681">
        <f t="shared" si="9"/>
        <v>4001049.6040723892</v>
      </c>
      <c r="P20" s="681">
        <f t="shared" si="9"/>
        <v>4067467.027499991</v>
      </c>
      <c r="T20" s="739"/>
      <c r="U20" s="739"/>
      <c r="V20" s="740"/>
      <c r="W20" s="739"/>
      <c r="X20" s="741"/>
      <c r="Y20" s="531"/>
      <c r="Z20" s="739"/>
      <c r="AA20" s="739"/>
      <c r="AB20" s="739"/>
      <c r="AC20" s="739"/>
      <c r="AD20" s="739"/>
      <c r="AE20" s="739"/>
      <c r="AF20" s="739"/>
      <c r="AG20" s="739"/>
      <c r="AH20" s="739"/>
      <c r="AI20" s="739"/>
      <c r="AJ20" s="739"/>
      <c r="AK20" s="739"/>
      <c r="AL20" s="739"/>
      <c r="AM20" s="739"/>
      <c r="AN20" s="739"/>
    </row>
    <row r="21" spans="1:40">
      <c r="A21" s="735">
        <f t="shared" si="3"/>
        <v>9</v>
      </c>
      <c r="C21" s="728" t="str">
        <f t="shared" si="1"/>
        <v>September</v>
      </c>
      <c r="D21" s="1014">
        <v>2016</v>
      </c>
      <c r="E21" s="681">
        <f t="shared" ref="E21:P21" si="10">E53+E84</f>
        <v>28587698.682787266</v>
      </c>
      <c r="F21" s="681">
        <f t="shared" si="10"/>
        <v>11727388.438358333</v>
      </c>
      <c r="G21" s="681">
        <f t="shared" si="10"/>
        <v>1264523.2683321699</v>
      </c>
      <c r="H21" s="681">
        <f t="shared" si="10"/>
        <v>1309682.458798666</v>
      </c>
      <c r="I21" s="681">
        <f t="shared" si="10"/>
        <v>15061348.276184659</v>
      </c>
      <c r="J21" s="681">
        <f t="shared" si="10"/>
        <v>451840.44828553975</v>
      </c>
      <c r="K21" s="681">
        <f t="shared" si="10"/>
        <v>299722271.49207592</v>
      </c>
      <c r="L21" s="681">
        <f t="shared" si="10"/>
        <v>574838.72962349269</v>
      </c>
      <c r="M21" s="681">
        <f t="shared" si="10"/>
        <v>2545953.4241933585</v>
      </c>
      <c r="N21" s="681">
        <f t="shared" si="10"/>
        <v>297176318.06788254</v>
      </c>
      <c r="O21" s="681">
        <f t="shared" si="10"/>
        <v>4501180.8045814382</v>
      </c>
      <c r="P21" s="681">
        <f t="shared" si="10"/>
        <v>4575900.4059374901</v>
      </c>
      <c r="T21" s="739"/>
      <c r="U21" s="739"/>
      <c r="V21" s="740"/>
      <c r="W21" s="739"/>
      <c r="X21" s="741"/>
      <c r="Y21" s="531"/>
      <c r="Z21" s="739"/>
      <c r="AA21" s="739"/>
      <c r="AB21" s="739"/>
      <c r="AC21" s="739"/>
      <c r="AD21" s="739"/>
      <c r="AE21" s="739"/>
      <c r="AF21" s="739"/>
      <c r="AG21" s="739"/>
      <c r="AH21" s="739"/>
      <c r="AI21" s="739"/>
      <c r="AJ21" s="739"/>
      <c r="AK21" s="739"/>
      <c r="AL21" s="739"/>
      <c r="AM21" s="739"/>
      <c r="AN21" s="739"/>
    </row>
    <row r="22" spans="1:40">
      <c r="A22" s="735">
        <f t="shared" si="3"/>
        <v>10</v>
      </c>
      <c r="C22" s="728" t="str">
        <f t="shared" si="1"/>
        <v xml:space="preserve">October </v>
      </c>
      <c r="D22" s="1014">
        <v>2016</v>
      </c>
      <c r="E22" s="681">
        <f t="shared" ref="E22:P22" si="11">E54+E85</f>
        <v>350463254.83362788</v>
      </c>
      <c r="F22" s="681">
        <f t="shared" si="11"/>
        <v>237895592.49835837</v>
      </c>
      <c r="G22" s="681">
        <f t="shared" si="11"/>
        <v>8442574.6751452126</v>
      </c>
      <c r="H22" s="681">
        <f t="shared" si="11"/>
        <v>1356982.4588709583</v>
      </c>
      <c r="I22" s="681">
        <f t="shared" si="11"/>
        <v>15605298.277016021</v>
      </c>
      <c r="J22" s="681">
        <f t="shared" si="11"/>
        <v>468158.94831048063</v>
      </c>
      <c r="K22" s="681">
        <f t="shared" si="11"/>
        <v>657739277.4902885</v>
      </c>
      <c r="L22" s="681">
        <f t="shared" si="11"/>
        <v>636402.73189811734</v>
      </c>
      <c r="M22" s="681">
        <f t="shared" si="11"/>
        <v>3182356.1560914759</v>
      </c>
      <c r="N22" s="681">
        <f t="shared" si="11"/>
        <v>654556921.33419704</v>
      </c>
      <c r="O22" s="681">
        <f t="shared" si="11"/>
        <v>5001312.0050904863</v>
      </c>
      <c r="P22" s="681">
        <f t="shared" si="11"/>
        <v>5084333.7843749886</v>
      </c>
      <c r="T22" s="739"/>
      <c r="U22" s="739"/>
      <c r="V22" s="740"/>
      <c r="W22" s="739"/>
      <c r="X22" s="741"/>
      <c r="Y22" s="531"/>
      <c r="Z22" s="739"/>
      <c r="AA22" s="739"/>
      <c r="AB22" s="739"/>
      <c r="AC22" s="739"/>
      <c r="AD22" s="739"/>
      <c r="AE22" s="739"/>
      <c r="AF22" s="739"/>
      <c r="AG22" s="739"/>
      <c r="AH22" s="739"/>
      <c r="AI22" s="739"/>
      <c r="AJ22" s="739"/>
      <c r="AK22" s="739"/>
      <c r="AL22" s="739"/>
      <c r="AM22" s="739"/>
      <c r="AN22" s="739"/>
    </row>
    <row r="23" spans="1:40">
      <c r="A23" s="735">
        <f t="shared" si="3"/>
        <v>11</v>
      </c>
      <c r="C23" s="728" t="str">
        <f t="shared" si="1"/>
        <v>November</v>
      </c>
      <c r="D23" s="1014">
        <v>2016</v>
      </c>
      <c r="E23" s="681">
        <f t="shared" ref="E23:P23" si="12">E55+E86</f>
        <v>31247620.146164563</v>
      </c>
      <c r="F23" s="681">
        <f t="shared" si="12"/>
        <v>11117309.898358332</v>
      </c>
      <c r="G23" s="681">
        <f t="shared" si="12"/>
        <v>1509773.2685854672</v>
      </c>
      <c r="H23" s="681">
        <f t="shared" si="12"/>
        <v>1352682.4590891139</v>
      </c>
      <c r="I23" s="681">
        <f t="shared" si="12"/>
        <v>15555848.279524809</v>
      </c>
      <c r="J23" s="681">
        <f t="shared" si="12"/>
        <v>466675.44838574424</v>
      </c>
      <c r="K23" s="681">
        <f t="shared" si="12"/>
        <v>689610663.89433515</v>
      </c>
      <c r="L23" s="681">
        <f t="shared" si="12"/>
        <v>1396583.1467501745</v>
      </c>
      <c r="M23" s="681">
        <f t="shared" si="12"/>
        <v>4578939.3028416503</v>
      </c>
      <c r="N23" s="681">
        <f t="shared" si="12"/>
        <v>685031724.59149361</v>
      </c>
      <c r="O23" s="681">
        <f t="shared" si="12"/>
        <v>5501443.2055995353</v>
      </c>
      <c r="P23" s="681">
        <f t="shared" si="12"/>
        <v>5592767.1628124872</v>
      </c>
      <c r="T23" s="739"/>
      <c r="U23" s="739"/>
      <c r="V23" s="740"/>
      <c r="W23" s="739"/>
      <c r="X23" s="741"/>
      <c r="Y23" s="531"/>
      <c r="Z23" s="739"/>
      <c r="AA23" s="739"/>
      <c r="AB23" s="739"/>
      <c r="AC23" s="739"/>
      <c r="AD23" s="739"/>
      <c r="AE23" s="739"/>
      <c r="AF23" s="739"/>
      <c r="AG23" s="739"/>
      <c r="AH23" s="739"/>
      <c r="AI23" s="739"/>
      <c r="AJ23" s="739"/>
      <c r="AK23" s="739"/>
      <c r="AL23" s="739"/>
      <c r="AM23" s="739"/>
      <c r="AN23" s="739"/>
    </row>
    <row r="24" spans="1:40">
      <c r="A24" s="735">
        <f t="shared" si="3"/>
        <v>12</v>
      </c>
      <c r="C24" s="728" t="str">
        <f t="shared" si="1"/>
        <v>December</v>
      </c>
      <c r="D24" s="1014">
        <v>2016</v>
      </c>
      <c r="E24" s="681">
        <f t="shared" ref="E24:P24" si="13">E56+E87</f>
        <v>52913783.624976031</v>
      </c>
      <c r="F24" s="681">
        <f t="shared" si="13"/>
        <v>21665084.963458322</v>
      </c>
      <c r="G24" s="681">
        <f t="shared" si="13"/>
        <v>2343652.3996138279</v>
      </c>
      <c r="H24" s="681">
        <f t="shared" si="13"/>
        <v>1747452.5602683008</v>
      </c>
      <c r="I24" s="681">
        <f t="shared" si="13"/>
        <v>20095704.443085458</v>
      </c>
      <c r="J24" s="681">
        <f t="shared" si="13"/>
        <v>602871.13329256373</v>
      </c>
      <c r="K24" s="681">
        <f t="shared" si="13"/>
        <v>743723518.4919492</v>
      </c>
      <c r="L24" s="681">
        <f t="shared" si="13"/>
        <v>1464255.9202012192</v>
      </c>
      <c r="M24" s="681">
        <f t="shared" si="13"/>
        <v>6043195.2230428699</v>
      </c>
      <c r="N24" s="681">
        <f t="shared" si="13"/>
        <v>737680323.26890635</v>
      </c>
      <c r="O24" s="681">
        <f t="shared" si="13"/>
        <v>6001574.4061085833</v>
      </c>
      <c r="P24" s="681">
        <f t="shared" si="13"/>
        <v>6101200.5412499858</v>
      </c>
      <c r="T24" s="739"/>
      <c r="U24" s="739"/>
      <c r="V24" s="740"/>
      <c r="W24" s="739"/>
      <c r="X24" s="741"/>
      <c r="Y24" s="531"/>
      <c r="Z24" s="739"/>
      <c r="AA24" s="739"/>
      <c r="AB24" s="739"/>
      <c r="AC24" s="739"/>
      <c r="AD24" s="739"/>
      <c r="AE24" s="739"/>
      <c r="AF24" s="739"/>
      <c r="AG24" s="739"/>
      <c r="AH24" s="739"/>
      <c r="AI24" s="739"/>
      <c r="AJ24" s="739"/>
      <c r="AK24" s="739"/>
      <c r="AL24" s="739"/>
      <c r="AM24" s="739"/>
      <c r="AN24" s="739"/>
    </row>
    <row r="25" spans="1:40">
      <c r="A25" s="735">
        <f t="shared" si="3"/>
        <v>13</v>
      </c>
      <c r="C25" s="728" t="str">
        <f t="shared" si="1"/>
        <v>January</v>
      </c>
      <c r="D25" s="1014">
        <v>2017</v>
      </c>
      <c r="E25" s="681">
        <f t="shared" ref="E25:P25" si="14">E57+E88</f>
        <v>15046033.03185755</v>
      </c>
      <c r="F25" s="681">
        <f t="shared" si="14"/>
        <v>0</v>
      </c>
      <c r="G25" s="681">
        <f t="shared" si="14"/>
        <v>1128452.4773893163</v>
      </c>
      <c r="H25" s="681">
        <f t="shared" si="14"/>
        <v>1293958.8407397494</v>
      </c>
      <c r="I25" s="681">
        <f t="shared" si="14"/>
        <v>14880526.668507118</v>
      </c>
      <c r="J25" s="681">
        <f t="shared" si="14"/>
        <v>446415.80005521351</v>
      </c>
      <c r="K25" s="681">
        <f t="shared" si="14"/>
        <v>759050460.96051145</v>
      </c>
      <c r="L25" s="681">
        <f t="shared" si="14"/>
        <v>1579154.1836011671</v>
      </c>
      <c r="M25" s="681">
        <f t="shared" si="14"/>
        <v>7622349.4066440361</v>
      </c>
      <c r="N25" s="681">
        <f t="shared" si="14"/>
        <v>751428111.55386746</v>
      </c>
      <c r="O25" s="681">
        <f t="shared" si="14"/>
        <v>6061825.6153953569</v>
      </c>
      <c r="P25" s="681">
        <f t="shared" si="14"/>
        <v>6162451.9206109205</v>
      </c>
      <c r="T25" s="739"/>
      <c r="U25" s="739"/>
      <c r="V25" s="740"/>
      <c r="W25" s="739"/>
      <c r="X25" s="741"/>
      <c r="Y25" s="531"/>
      <c r="Z25" s="739"/>
      <c r="AA25" s="739"/>
      <c r="AB25" s="739"/>
      <c r="AC25" s="739"/>
      <c r="AD25" s="739"/>
      <c r="AE25" s="739"/>
      <c r="AF25" s="739"/>
      <c r="AG25" s="739"/>
      <c r="AH25" s="739"/>
      <c r="AI25" s="739"/>
      <c r="AJ25" s="739"/>
      <c r="AK25" s="739"/>
      <c r="AL25" s="739"/>
      <c r="AM25" s="739"/>
      <c r="AN25" s="739"/>
    </row>
    <row r="26" spans="1:40">
      <c r="A26" s="735">
        <f t="shared" si="3"/>
        <v>14</v>
      </c>
      <c r="C26" s="728" t="str">
        <f t="shared" si="1"/>
        <v>February</v>
      </c>
      <c r="D26" s="1014">
        <v>2017</v>
      </c>
      <c r="E26" s="681">
        <f t="shared" ref="E26:P26" si="15">E58+E89</f>
        <v>51528749.789505824</v>
      </c>
      <c r="F26" s="681">
        <f t="shared" si="15"/>
        <v>7338276.5736000007</v>
      </c>
      <c r="G26" s="681">
        <f t="shared" si="15"/>
        <v>3314285.4911929369</v>
      </c>
      <c r="H26" s="681">
        <f t="shared" si="15"/>
        <v>1352016.1442079002</v>
      </c>
      <c r="I26" s="681">
        <f t="shared" si="15"/>
        <v>15548185.658390852</v>
      </c>
      <c r="J26" s="681">
        <f t="shared" si="15"/>
        <v>466445.56975172553</v>
      </c>
      <c r="K26" s="681">
        <f t="shared" si="15"/>
        <v>813007925.66675425</v>
      </c>
      <c r="L26" s="681">
        <f t="shared" si="15"/>
        <v>1611698.0049531155</v>
      </c>
      <c r="M26" s="681">
        <f t="shared" si="15"/>
        <v>9234047.4115971513</v>
      </c>
      <c r="N26" s="681">
        <f t="shared" si="15"/>
        <v>803773878.25515699</v>
      </c>
      <c r="O26" s="681">
        <f t="shared" si="15"/>
        <v>6122076.8246821305</v>
      </c>
      <c r="P26" s="681">
        <f t="shared" si="15"/>
        <v>6223703.2999718543</v>
      </c>
      <c r="T26" s="739"/>
      <c r="U26" s="739"/>
      <c r="V26" s="740"/>
      <c r="W26" s="739"/>
      <c r="X26" s="741"/>
      <c r="Y26" s="531"/>
      <c r="Z26" s="739"/>
      <c r="AA26" s="739"/>
      <c r="AB26" s="739"/>
      <c r="AC26" s="739"/>
      <c r="AD26" s="739"/>
      <c r="AE26" s="739"/>
      <c r="AF26" s="739"/>
      <c r="AG26" s="739"/>
      <c r="AH26" s="739"/>
      <c r="AI26" s="739"/>
      <c r="AJ26" s="739"/>
      <c r="AK26" s="739"/>
      <c r="AL26" s="739"/>
      <c r="AM26" s="739"/>
      <c r="AN26" s="739"/>
    </row>
    <row r="27" spans="1:40">
      <c r="A27" s="735">
        <f t="shared" si="3"/>
        <v>15</v>
      </c>
      <c r="C27" s="728" t="str">
        <f t="shared" si="1"/>
        <v>March</v>
      </c>
      <c r="D27" s="1014">
        <v>2017</v>
      </c>
      <c r="E27" s="681">
        <f t="shared" ref="E27:P27" si="16">E59+E90</f>
        <v>16899284.582416058</v>
      </c>
      <c r="F27" s="681">
        <f t="shared" si="16"/>
        <v>949493.5500000004</v>
      </c>
      <c r="G27" s="681">
        <f t="shared" si="16"/>
        <v>1196234.3274312043</v>
      </c>
      <c r="H27" s="681">
        <f t="shared" si="16"/>
        <v>1363082.028787781</v>
      </c>
      <c r="I27" s="681">
        <f t="shared" si="16"/>
        <v>15675443.331059482</v>
      </c>
      <c r="J27" s="681">
        <f t="shared" si="16"/>
        <v>470263.29993178445</v>
      </c>
      <c r="K27" s="681">
        <f t="shared" si="16"/>
        <v>830210625.84774542</v>
      </c>
      <c r="L27" s="681">
        <f t="shared" si="16"/>
        <v>1726266.327735418</v>
      </c>
      <c r="M27" s="681">
        <f t="shared" si="16"/>
        <v>10960313.73933257</v>
      </c>
      <c r="N27" s="681">
        <f t="shared" si="16"/>
        <v>819250312.10841286</v>
      </c>
      <c r="O27" s="681">
        <f t="shared" si="16"/>
        <v>6182328.0339689041</v>
      </c>
      <c r="P27" s="681">
        <f t="shared" si="16"/>
        <v>6284954.6793327881</v>
      </c>
      <c r="T27" s="739"/>
      <c r="U27" s="739"/>
      <c r="V27" s="740"/>
      <c r="W27" s="739"/>
      <c r="X27" s="741"/>
      <c r="Y27" s="531"/>
      <c r="Z27" s="739"/>
      <c r="AA27" s="739"/>
      <c r="AB27" s="739"/>
      <c r="AC27" s="739"/>
      <c r="AD27" s="739"/>
      <c r="AE27" s="739"/>
      <c r="AF27" s="739"/>
      <c r="AG27" s="739"/>
      <c r="AH27" s="739"/>
      <c r="AI27" s="739"/>
      <c r="AJ27" s="739"/>
      <c r="AK27" s="739"/>
      <c r="AL27" s="739"/>
      <c r="AM27" s="739"/>
      <c r="AN27" s="739"/>
    </row>
    <row r="28" spans="1:40">
      <c r="A28" s="735">
        <f t="shared" si="3"/>
        <v>16</v>
      </c>
      <c r="C28" s="728" t="str">
        <f t="shared" si="1"/>
        <v>April</v>
      </c>
      <c r="D28" s="1014">
        <v>2017</v>
      </c>
      <c r="E28" s="681">
        <f t="shared" ref="E28:P28" si="17">E60+E91</f>
        <v>15046033.03185755</v>
      </c>
      <c r="F28" s="681">
        <f t="shared" si="17"/>
        <v>0</v>
      </c>
      <c r="G28" s="681">
        <f t="shared" si="17"/>
        <v>1128452.4773893163</v>
      </c>
      <c r="H28" s="681">
        <f t="shared" si="17"/>
        <v>1293958.8407397494</v>
      </c>
      <c r="I28" s="681">
        <f t="shared" si="17"/>
        <v>14880526.668507118</v>
      </c>
      <c r="J28" s="681">
        <f t="shared" si="17"/>
        <v>446415.80005521351</v>
      </c>
      <c r="K28" s="681">
        <f t="shared" si="17"/>
        <v>845537568.31630778</v>
      </c>
      <c r="L28" s="681">
        <f t="shared" si="17"/>
        <v>1762792.9606636507</v>
      </c>
      <c r="M28" s="681">
        <f t="shared" si="17"/>
        <v>12723106.69999622</v>
      </c>
      <c r="N28" s="681">
        <f t="shared" si="17"/>
        <v>832814461.61631155</v>
      </c>
      <c r="O28" s="681">
        <f t="shared" si="17"/>
        <v>6242579.2432556786</v>
      </c>
      <c r="P28" s="681">
        <f t="shared" si="17"/>
        <v>6346206.0586937228</v>
      </c>
      <c r="T28" s="739"/>
      <c r="U28" s="739"/>
      <c r="V28" s="740"/>
      <c r="W28" s="739"/>
      <c r="X28" s="741"/>
      <c r="Y28" s="531"/>
      <c r="Z28" s="739"/>
      <c r="AA28" s="739"/>
      <c r="AB28" s="739"/>
      <c r="AC28" s="739"/>
      <c r="AD28" s="739"/>
      <c r="AE28" s="739"/>
      <c r="AF28" s="739"/>
      <c r="AG28" s="739"/>
      <c r="AH28" s="739"/>
      <c r="AI28" s="739"/>
      <c r="AJ28" s="739"/>
      <c r="AK28" s="739"/>
      <c r="AL28" s="739"/>
      <c r="AM28" s="739"/>
      <c r="AN28" s="739"/>
    </row>
    <row r="29" spans="1:40">
      <c r="A29" s="735">
        <f t="shared" si="3"/>
        <v>17</v>
      </c>
      <c r="C29" s="728" t="str">
        <f t="shared" si="1"/>
        <v>May</v>
      </c>
      <c r="D29" s="1014">
        <v>2017</v>
      </c>
      <c r="E29" s="681">
        <f t="shared" ref="E29:P29" si="18">E61+E92</f>
        <v>15046033.03185755</v>
      </c>
      <c r="F29" s="681">
        <f t="shared" si="18"/>
        <v>0</v>
      </c>
      <c r="G29" s="681">
        <f t="shared" si="18"/>
        <v>1128452.4773893163</v>
      </c>
      <c r="H29" s="681">
        <f t="shared" si="18"/>
        <v>1293958.8407397494</v>
      </c>
      <c r="I29" s="681">
        <f t="shared" si="18"/>
        <v>14880526.668507118</v>
      </c>
      <c r="J29" s="681">
        <f t="shared" si="18"/>
        <v>446415.80005521351</v>
      </c>
      <c r="K29" s="681">
        <f t="shared" si="18"/>
        <v>860864510.78487003</v>
      </c>
      <c r="L29" s="681">
        <f t="shared" si="18"/>
        <v>1795336.7820155991</v>
      </c>
      <c r="M29" s="681">
        <f t="shared" si="18"/>
        <v>14518443.482011817</v>
      </c>
      <c r="N29" s="681">
        <f t="shared" si="18"/>
        <v>846346067.30285823</v>
      </c>
      <c r="O29" s="681">
        <f t="shared" si="18"/>
        <v>6302830.4525424521</v>
      </c>
      <c r="P29" s="681">
        <f t="shared" si="18"/>
        <v>6407457.4380546566</v>
      </c>
      <c r="T29" s="739"/>
      <c r="U29" s="739"/>
      <c r="V29" s="740"/>
      <c r="W29" s="739"/>
      <c r="X29" s="741"/>
      <c r="Y29" s="531"/>
      <c r="Z29" s="739"/>
      <c r="AA29" s="739"/>
      <c r="AB29" s="739"/>
      <c r="AC29" s="739"/>
      <c r="AD29" s="739"/>
      <c r="AE29" s="739"/>
      <c r="AF29" s="739"/>
      <c r="AG29" s="739"/>
      <c r="AH29" s="739"/>
      <c r="AI29" s="739"/>
      <c r="AJ29" s="739"/>
      <c r="AK29" s="739"/>
      <c r="AL29" s="739"/>
      <c r="AM29" s="739"/>
      <c r="AN29" s="739"/>
    </row>
    <row r="30" spans="1:40">
      <c r="A30" s="735">
        <f t="shared" si="3"/>
        <v>18</v>
      </c>
      <c r="C30" s="728" t="str">
        <f t="shared" ref="C30:C33" si="19">C62</f>
        <v xml:space="preserve">June </v>
      </c>
      <c r="D30" s="1014">
        <v>2017</v>
      </c>
      <c r="E30" s="681">
        <f t="shared" ref="E30:P30" si="20">E62+E93</f>
        <v>15046033.031857491</v>
      </c>
      <c r="F30" s="681">
        <f t="shared" si="20"/>
        <v>0</v>
      </c>
      <c r="G30" s="681">
        <f t="shared" si="20"/>
        <v>1128452.4773893117</v>
      </c>
      <c r="H30" s="681">
        <f t="shared" si="20"/>
        <v>1293958.8407397442</v>
      </c>
      <c r="I30" s="681">
        <f t="shared" si="20"/>
        <v>14880526.668507058</v>
      </c>
      <c r="J30" s="681">
        <f t="shared" si="20"/>
        <v>446415.8000552117</v>
      </c>
      <c r="K30" s="681">
        <f t="shared" si="20"/>
        <v>876191453.25343227</v>
      </c>
      <c r="L30" s="681">
        <f t="shared" si="20"/>
        <v>1827880.6033675475</v>
      </c>
      <c r="M30" s="681">
        <f t="shared" si="20"/>
        <v>16346324.085379366</v>
      </c>
      <c r="N30" s="681">
        <f t="shared" si="20"/>
        <v>859845129.16805291</v>
      </c>
      <c r="O30" s="681">
        <f t="shared" si="20"/>
        <v>6363081.6618292257</v>
      </c>
      <c r="P30" s="681">
        <f t="shared" si="20"/>
        <v>6468708.8174155913</v>
      </c>
      <c r="T30" s="739"/>
      <c r="U30" s="739"/>
      <c r="V30" s="740"/>
      <c r="W30" s="739"/>
      <c r="X30" s="741"/>
      <c r="Y30" s="531"/>
      <c r="Z30" s="739"/>
      <c r="AA30" s="739"/>
      <c r="AB30" s="739"/>
      <c r="AC30" s="739"/>
      <c r="AD30" s="739"/>
      <c r="AE30" s="739"/>
      <c r="AF30" s="739"/>
      <c r="AG30" s="739"/>
      <c r="AH30" s="739"/>
      <c r="AI30" s="739"/>
      <c r="AJ30" s="739"/>
      <c r="AK30" s="739"/>
      <c r="AL30" s="739"/>
      <c r="AM30" s="739"/>
      <c r="AN30" s="739"/>
    </row>
    <row r="31" spans="1:40">
      <c r="A31" s="735">
        <f t="shared" si="3"/>
        <v>19</v>
      </c>
      <c r="C31" s="728" t="str">
        <f t="shared" si="19"/>
        <v>July</v>
      </c>
      <c r="D31" s="1014">
        <v>2017</v>
      </c>
      <c r="E31" s="681">
        <f t="shared" ref="E31:P31" si="21">E63+E94</f>
        <v>15046033.03185761</v>
      </c>
      <c r="F31" s="681">
        <f t="shared" si="21"/>
        <v>0</v>
      </c>
      <c r="G31" s="681">
        <f t="shared" si="21"/>
        <v>1128452.4773893207</v>
      </c>
      <c r="H31" s="681">
        <f t="shared" si="21"/>
        <v>1293958.8407397545</v>
      </c>
      <c r="I31" s="681">
        <f t="shared" si="21"/>
        <v>14880526.668507176</v>
      </c>
      <c r="J31" s="681">
        <f t="shared" si="21"/>
        <v>446415.80005521525</v>
      </c>
      <c r="K31" s="681">
        <f t="shared" si="21"/>
        <v>891518395.72199464</v>
      </c>
      <c r="L31" s="681">
        <f t="shared" si="21"/>
        <v>1860424.4247194959</v>
      </c>
      <c r="M31" s="681">
        <f t="shared" si="21"/>
        <v>18206748.510098863</v>
      </c>
      <c r="N31" s="681">
        <f t="shared" si="21"/>
        <v>873311647.2118957</v>
      </c>
      <c r="O31" s="681">
        <f t="shared" si="21"/>
        <v>6423332.8711159993</v>
      </c>
      <c r="P31" s="681">
        <f t="shared" si="21"/>
        <v>6529960.1967765251</v>
      </c>
      <c r="T31" s="739"/>
      <c r="U31" s="739"/>
      <c r="V31" s="740"/>
      <c r="W31" s="739"/>
      <c r="X31" s="741"/>
      <c r="Y31" s="531"/>
      <c r="Z31" s="739"/>
      <c r="AA31" s="739"/>
      <c r="AB31" s="739"/>
      <c r="AC31" s="739"/>
      <c r="AD31" s="739"/>
      <c r="AE31" s="739"/>
      <c r="AF31" s="739"/>
      <c r="AG31" s="739"/>
      <c r="AH31" s="739"/>
      <c r="AI31" s="739"/>
      <c r="AJ31" s="739"/>
      <c r="AK31" s="739"/>
      <c r="AL31" s="739"/>
      <c r="AM31" s="739"/>
      <c r="AN31" s="739"/>
    </row>
    <row r="32" spans="1:40">
      <c r="A32" s="735">
        <f t="shared" si="3"/>
        <v>20</v>
      </c>
      <c r="C32" s="728" t="str">
        <f t="shared" si="19"/>
        <v>August</v>
      </c>
      <c r="D32" s="1014">
        <v>2017</v>
      </c>
      <c r="E32" s="681">
        <f t="shared" ref="E32:P32" si="22">E64+E95</f>
        <v>15046033.03185755</v>
      </c>
      <c r="F32" s="681">
        <f t="shared" si="22"/>
        <v>0</v>
      </c>
      <c r="G32" s="681">
        <f t="shared" si="22"/>
        <v>1128452.4773893163</v>
      </c>
      <c r="H32" s="681">
        <f t="shared" si="22"/>
        <v>1293958.8407397494</v>
      </c>
      <c r="I32" s="681">
        <f t="shared" si="22"/>
        <v>14880526.668507118</v>
      </c>
      <c r="J32" s="681">
        <f t="shared" si="22"/>
        <v>446415.80005521351</v>
      </c>
      <c r="K32" s="681">
        <f t="shared" si="22"/>
        <v>906845338.190557</v>
      </c>
      <c r="L32" s="681">
        <f t="shared" si="22"/>
        <v>1892968.2460714444</v>
      </c>
      <c r="M32" s="681">
        <f t="shared" si="22"/>
        <v>20099716.756170306</v>
      </c>
      <c r="N32" s="681">
        <f t="shared" si="22"/>
        <v>886745621.43438673</v>
      </c>
      <c r="O32" s="681">
        <f t="shared" si="22"/>
        <v>6483584.0804027729</v>
      </c>
      <c r="P32" s="681">
        <f t="shared" si="22"/>
        <v>6591211.5761374589</v>
      </c>
      <c r="T32" s="739"/>
      <c r="U32" s="739"/>
      <c r="V32" s="740"/>
      <c r="W32" s="739"/>
      <c r="X32" s="741"/>
      <c r="Y32" s="531"/>
      <c r="Z32" s="739"/>
      <c r="AA32" s="739"/>
      <c r="AB32" s="739"/>
      <c r="AC32" s="739"/>
      <c r="AD32" s="739"/>
      <c r="AE32" s="739"/>
      <c r="AF32" s="739"/>
      <c r="AG32" s="739"/>
      <c r="AH32" s="739"/>
      <c r="AI32" s="739"/>
      <c r="AJ32" s="739"/>
      <c r="AK32" s="739"/>
      <c r="AL32" s="739"/>
      <c r="AM32" s="739"/>
      <c r="AN32" s="739"/>
    </row>
    <row r="33" spans="1:40">
      <c r="A33" s="735">
        <f t="shared" si="3"/>
        <v>21</v>
      </c>
      <c r="C33" s="728" t="str">
        <f t="shared" si="19"/>
        <v>September</v>
      </c>
      <c r="D33" s="1014">
        <v>2017</v>
      </c>
      <c r="E33" s="681">
        <f t="shared" ref="E33:P33" si="23">E65+E96</f>
        <v>15046033.03185755</v>
      </c>
      <c r="F33" s="681">
        <f t="shared" si="23"/>
        <v>0</v>
      </c>
      <c r="G33" s="681">
        <f t="shared" si="23"/>
        <v>1128452.4773893163</v>
      </c>
      <c r="H33" s="681">
        <f t="shared" si="23"/>
        <v>1293958.8407397494</v>
      </c>
      <c r="I33" s="681">
        <f t="shared" si="23"/>
        <v>14880526.668507118</v>
      </c>
      <c r="J33" s="681">
        <f t="shared" si="23"/>
        <v>446415.80005521351</v>
      </c>
      <c r="K33" s="697">
        <f t="shared" si="23"/>
        <v>922172280.65911925</v>
      </c>
      <c r="L33" s="697">
        <f t="shared" si="23"/>
        <v>1925512.067423393</v>
      </c>
      <c r="M33" s="697">
        <f t="shared" si="23"/>
        <v>22025228.823593698</v>
      </c>
      <c r="N33" s="697">
        <f t="shared" si="23"/>
        <v>900147051.83552551</v>
      </c>
      <c r="O33" s="697">
        <f t="shared" si="23"/>
        <v>6543835.2896895465</v>
      </c>
      <c r="P33" s="697">
        <f t="shared" si="23"/>
        <v>6652462.9554983936</v>
      </c>
      <c r="T33" s="739"/>
      <c r="U33" s="739"/>
      <c r="V33" s="740"/>
      <c r="W33" s="739"/>
      <c r="X33" s="741"/>
      <c r="Y33" s="531"/>
      <c r="Z33" s="739"/>
      <c r="AA33" s="739"/>
      <c r="AB33" s="739"/>
      <c r="AC33" s="739"/>
      <c r="AD33" s="739"/>
      <c r="AE33" s="739"/>
      <c r="AF33" s="739"/>
      <c r="AG33" s="739"/>
      <c r="AH33" s="739"/>
      <c r="AI33" s="739"/>
      <c r="AJ33" s="739"/>
      <c r="AK33" s="739"/>
      <c r="AL33" s="739"/>
      <c r="AM33" s="739"/>
      <c r="AN33" s="739"/>
    </row>
    <row r="34" spans="1:40">
      <c r="A34" s="736">
        <f t="shared" si="3"/>
        <v>22</v>
      </c>
      <c r="C34" s="728" t="str">
        <f t="shared" ref="C34" si="24">C66</f>
        <v>October</v>
      </c>
      <c r="D34" s="1014">
        <v>2017</v>
      </c>
      <c r="E34" s="681">
        <f t="shared" ref="E34:P34" si="25">E66+E97</f>
        <v>15046033.03185755</v>
      </c>
      <c r="F34" s="681">
        <f t="shared" si="25"/>
        <v>0</v>
      </c>
      <c r="G34" s="681">
        <f t="shared" si="25"/>
        <v>1128452.4773893163</v>
      </c>
      <c r="H34" s="681">
        <f t="shared" si="25"/>
        <v>1293958.8407397494</v>
      </c>
      <c r="I34" s="681">
        <f t="shared" si="25"/>
        <v>14880526.668507118</v>
      </c>
      <c r="J34" s="681">
        <f t="shared" si="25"/>
        <v>446415.80005521351</v>
      </c>
      <c r="K34" s="697">
        <f t="shared" si="25"/>
        <v>937499223.12768149</v>
      </c>
      <c r="L34" s="697">
        <f t="shared" si="25"/>
        <v>1958055.8887753412</v>
      </c>
      <c r="M34" s="697">
        <f t="shared" si="25"/>
        <v>23983284.71236904</v>
      </c>
      <c r="N34" s="697">
        <f t="shared" si="25"/>
        <v>913515938.41531253</v>
      </c>
      <c r="O34" s="697">
        <f t="shared" si="25"/>
        <v>6604086.49897632</v>
      </c>
      <c r="P34" s="697">
        <f t="shared" si="25"/>
        <v>6713714.3348593274</v>
      </c>
      <c r="T34" s="739"/>
      <c r="U34" s="739"/>
      <c r="V34" s="740"/>
      <c r="W34" s="739"/>
      <c r="X34" s="741"/>
      <c r="Y34" s="531"/>
      <c r="Z34" s="739"/>
      <c r="AA34" s="739"/>
      <c r="AB34" s="739"/>
      <c r="AC34" s="739"/>
      <c r="AD34" s="739"/>
      <c r="AE34" s="739"/>
      <c r="AF34" s="739"/>
      <c r="AG34" s="739"/>
      <c r="AH34" s="739"/>
      <c r="AI34" s="739"/>
      <c r="AJ34" s="739"/>
      <c r="AK34" s="739"/>
      <c r="AL34" s="739"/>
      <c r="AM34" s="739"/>
      <c r="AN34" s="739"/>
    </row>
    <row r="35" spans="1:40">
      <c r="A35" s="736">
        <f t="shared" si="3"/>
        <v>23</v>
      </c>
      <c r="C35" s="728" t="str">
        <f t="shared" ref="C35" si="26">C67</f>
        <v>November</v>
      </c>
      <c r="D35" s="1014">
        <v>2017</v>
      </c>
      <c r="E35" s="681">
        <f t="shared" ref="E35:P35" si="27">E67+E98</f>
        <v>50409136.811857462</v>
      </c>
      <c r="F35" s="681">
        <f t="shared" si="27"/>
        <v>6200603.7800000003</v>
      </c>
      <c r="G35" s="681">
        <f t="shared" si="27"/>
        <v>3315639.9773893096</v>
      </c>
      <c r="H35" s="681">
        <f t="shared" si="27"/>
        <v>3801933.8407397415</v>
      </c>
      <c r="I35" s="681">
        <f t="shared" si="27"/>
        <v>43722239.168507025</v>
      </c>
      <c r="J35" s="681">
        <f t="shared" si="27"/>
        <v>1311667.1750552107</v>
      </c>
      <c r="K35" s="697">
        <f t="shared" si="27"/>
        <v>988733733.25124383</v>
      </c>
      <c r="L35" s="697">
        <f t="shared" si="27"/>
        <v>1990599.7101272899</v>
      </c>
      <c r="M35" s="697">
        <f t="shared" si="27"/>
        <v>25973884.422496326</v>
      </c>
      <c r="N35" s="697">
        <f t="shared" si="27"/>
        <v>962759848.82874751</v>
      </c>
      <c r="O35" s="697">
        <f t="shared" si="27"/>
        <v>6664337.7082630945</v>
      </c>
      <c r="P35" s="697">
        <f t="shared" si="27"/>
        <v>6774965.7142202621</v>
      </c>
      <c r="T35" s="739"/>
      <c r="U35" s="739"/>
      <c r="V35" s="740"/>
      <c r="W35" s="739"/>
      <c r="X35" s="741"/>
      <c r="Y35" s="531"/>
      <c r="Z35" s="739"/>
      <c r="AA35" s="739"/>
      <c r="AB35" s="739"/>
      <c r="AC35" s="739"/>
      <c r="AD35" s="739"/>
      <c r="AE35" s="739"/>
      <c r="AF35" s="739"/>
      <c r="AG35" s="739"/>
      <c r="AH35" s="739"/>
      <c r="AI35" s="739"/>
      <c r="AJ35" s="739"/>
      <c r="AK35" s="739"/>
      <c r="AL35" s="739"/>
      <c r="AM35" s="739"/>
      <c r="AN35" s="739"/>
    </row>
    <row r="36" spans="1:40">
      <c r="A36" s="736">
        <f t="shared" si="3"/>
        <v>24</v>
      </c>
      <c r="C36" s="728" t="str">
        <f t="shared" ref="C36" si="28">C68</f>
        <v>December</v>
      </c>
      <c r="D36" s="1014">
        <v>2017</v>
      </c>
      <c r="E36" s="681">
        <f t="shared" ref="E36:P36" si="29">E68+E99</f>
        <v>77015043.185064077</v>
      </c>
      <c r="F36" s="681">
        <f t="shared" si="29"/>
        <v>34471393.05779998</v>
      </c>
      <c r="G36" s="681">
        <f t="shared" si="29"/>
        <v>3190773.759544807</v>
      </c>
      <c r="H36" s="681">
        <f t="shared" si="29"/>
        <v>3658753.9109447123</v>
      </c>
      <c r="I36" s="681">
        <f t="shared" si="29"/>
        <v>42075669.975864187</v>
      </c>
      <c r="J36" s="681">
        <f t="shared" si="29"/>
        <v>1262270.0992759257</v>
      </c>
      <c r="K36" s="742">
        <f t="shared" si="29"/>
        <v>1066543066.3841839</v>
      </c>
      <c r="L36" s="697">
        <f t="shared" si="29"/>
        <v>2099386.3613420255</v>
      </c>
      <c r="M36" s="697">
        <f t="shared" si="29"/>
        <v>28073270.783838354</v>
      </c>
      <c r="N36" s="742">
        <f t="shared" si="29"/>
        <v>1038469795.6003454</v>
      </c>
      <c r="O36" s="697">
        <f t="shared" si="29"/>
        <v>6724588.9175498681</v>
      </c>
      <c r="P36" s="742">
        <f t="shared" si="29"/>
        <v>6836217.0935811959</v>
      </c>
      <c r="T36" s="739"/>
      <c r="U36" s="739"/>
      <c r="V36" s="740"/>
      <c r="W36" s="739"/>
      <c r="X36" s="741"/>
      <c r="Y36" s="531"/>
      <c r="Z36" s="739"/>
      <c r="AA36" s="739"/>
      <c r="AB36" s="739"/>
      <c r="AC36" s="739"/>
      <c r="AD36" s="739"/>
      <c r="AE36" s="739"/>
      <c r="AF36" s="739"/>
      <c r="AG36" s="739"/>
      <c r="AH36" s="739"/>
      <c r="AI36" s="739"/>
      <c r="AJ36" s="739"/>
      <c r="AK36" s="739"/>
      <c r="AL36" s="739"/>
      <c r="AM36" s="739"/>
      <c r="AN36" s="739"/>
    </row>
    <row r="37" spans="1:40" s="683" customFormat="1">
      <c r="A37" s="736">
        <f t="shared" si="3"/>
        <v>25</v>
      </c>
      <c r="D37" s="774" t="s">
        <v>1838</v>
      </c>
      <c r="K37" s="1058">
        <f>AVERAGE(K24:K36)</f>
        <v>880146007.74279606</v>
      </c>
      <c r="M37" s="775"/>
      <c r="N37" s="775">
        <f>AVERAGE(N24:N36)</f>
        <v>863545245.12305999</v>
      </c>
      <c r="O37" s="775"/>
      <c r="P37" s="775">
        <f>AVERAGE(P24:P36)</f>
        <v>6468708.8174155904</v>
      </c>
      <c r="Q37" s="776"/>
      <c r="T37" s="753"/>
      <c r="U37" s="753"/>
    </row>
    <row r="38" spans="1:40">
      <c r="A38" s="735"/>
      <c r="T38" s="681"/>
      <c r="U38" s="681"/>
      <c r="Z38" s="681"/>
    </row>
    <row r="39" spans="1:40">
      <c r="A39" s="735"/>
      <c r="B39" s="683" t="s">
        <v>2373</v>
      </c>
      <c r="G39" s="735"/>
      <c r="K39" s="531"/>
      <c r="M39" s="531"/>
      <c r="N39" s="531"/>
      <c r="O39" s="531"/>
      <c r="P39" s="531"/>
    </row>
    <row r="40" spans="1:40">
      <c r="A40" s="735"/>
      <c r="B40" s="683"/>
      <c r="E40" s="731" t="s">
        <v>394</v>
      </c>
      <c r="F40" s="731" t="s">
        <v>378</v>
      </c>
      <c r="G40" s="731" t="s">
        <v>379</v>
      </c>
      <c r="H40" s="731" t="s">
        <v>380</v>
      </c>
      <c r="I40" s="731" t="s">
        <v>381</v>
      </c>
      <c r="J40" s="731" t="s">
        <v>382</v>
      </c>
      <c r="K40" s="777" t="s">
        <v>383</v>
      </c>
      <c r="L40" s="731" t="s">
        <v>596</v>
      </c>
      <c r="M40" s="777" t="s">
        <v>1045</v>
      </c>
      <c r="N40" s="777" t="s">
        <v>1061</v>
      </c>
      <c r="O40" s="777" t="s">
        <v>1064</v>
      </c>
      <c r="P40" s="777" t="s">
        <v>1082</v>
      </c>
    </row>
    <row r="41" spans="1:40" ht="25.5">
      <c r="A41" s="735"/>
      <c r="B41" s="683"/>
      <c r="E41" s="778" t="s">
        <v>2596</v>
      </c>
      <c r="F41" s="778" t="s">
        <v>2597</v>
      </c>
      <c r="G41" s="778" t="s">
        <v>2598</v>
      </c>
      <c r="H41" s="779" t="s">
        <v>2374</v>
      </c>
      <c r="I41" s="779" t="s">
        <v>2374</v>
      </c>
      <c r="J41" s="734" t="s">
        <v>2374</v>
      </c>
      <c r="K41" s="780" t="s">
        <v>2375</v>
      </c>
      <c r="L41" s="781" t="s">
        <v>2599</v>
      </c>
      <c r="M41" s="782" t="s">
        <v>2376</v>
      </c>
      <c r="N41" s="749" t="s">
        <v>2315</v>
      </c>
      <c r="O41" s="749"/>
      <c r="P41" s="782" t="s">
        <v>2600</v>
      </c>
    </row>
    <row r="42" spans="1:40">
      <c r="A42" s="735"/>
      <c r="C42" s="735" t="str">
        <f>C10</f>
        <v>Forecast</v>
      </c>
      <c r="E42" s="735" t="str">
        <f>E10</f>
        <v>Unloaded</v>
      </c>
      <c r="F42" s="735"/>
      <c r="G42" s="735"/>
      <c r="I42" s="736" t="str">
        <f>I10</f>
        <v>AFUDC</v>
      </c>
      <c r="J42" s="736"/>
      <c r="K42" s="736"/>
      <c r="L42" s="736"/>
      <c r="M42" s="736"/>
      <c r="N42" s="736"/>
      <c r="O42" s="735" t="str">
        <f t="shared" ref="O42:P44" si="30">O10</f>
        <v>Unloaded</v>
      </c>
      <c r="P42" s="735" t="str">
        <f t="shared" si="30"/>
        <v>Loaded</v>
      </c>
    </row>
    <row r="43" spans="1:40">
      <c r="A43" s="735"/>
      <c r="B43" s="683"/>
      <c r="C43" s="735" t="str">
        <f>C11</f>
        <v>Period</v>
      </c>
      <c r="E43" s="735" t="str">
        <f>E11</f>
        <v>Total</v>
      </c>
      <c r="F43" s="735" t="str">
        <f t="shared" ref="F43:H44" si="31">F11</f>
        <v>Prior Period</v>
      </c>
      <c r="G43" s="736" t="str">
        <f t="shared" si="31"/>
        <v>Over Heads</v>
      </c>
      <c r="H43" s="736" t="str">
        <f t="shared" si="31"/>
        <v xml:space="preserve">Cost of </v>
      </c>
      <c r="I43" s="736" t="str">
        <f>I11</f>
        <v>Eligible Plant</v>
      </c>
      <c r="J43" s="736"/>
      <c r="K43" s="736" t="str">
        <f>K11</f>
        <v>Incremental</v>
      </c>
      <c r="L43" s="736" t="str">
        <f>L11</f>
        <v>Depreciation</v>
      </c>
      <c r="M43" s="736"/>
      <c r="N43" s="736"/>
      <c r="O43" s="736" t="str">
        <f t="shared" si="30"/>
        <v>Low Voltage</v>
      </c>
      <c r="P43" s="736" t="str">
        <f t="shared" si="30"/>
        <v>Low Voltage</v>
      </c>
    </row>
    <row r="44" spans="1:40">
      <c r="A44" s="737" t="s">
        <v>360</v>
      </c>
      <c r="C44" s="718" t="str">
        <f t="shared" ref="C44:D44" si="32">C12</f>
        <v>Month</v>
      </c>
      <c r="D44" s="718" t="str">
        <f t="shared" si="32"/>
        <v>Year</v>
      </c>
      <c r="E44" s="731" t="str">
        <f>E12</f>
        <v>Plant Adds</v>
      </c>
      <c r="F44" s="731" t="str">
        <f t="shared" si="31"/>
        <v>CWIP Closed</v>
      </c>
      <c r="G44" s="738" t="str">
        <f t="shared" si="31"/>
        <v>Closed to PIS</v>
      </c>
      <c r="H44" s="738" t="str">
        <f t="shared" si="31"/>
        <v>Removal</v>
      </c>
      <c r="I44" s="738" t="str">
        <f>I12</f>
        <v>Additions</v>
      </c>
      <c r="J44" s="738" t="str">
        <f>J12</f>
        <v>AFUDC</v>
      </c>
      <c r="K44" s="738" t="str">
        <f>K12</f>
        <v>Gross Plant</v>
      </c>
      <c r="L44" s="738" t="str">
        <f>L12</f>
        <v>Accrual</v>
      </c>
      <c r="M44" s="738" t="str">
        <f>M12</f>
        <v>Reserve</v>
      </c>
      <c r="N44" s="738" t="str">
        <f>N12</f>
        <v>Net Plant</v>
      </c>
      <c r="O44" s="738" t="str">
        <f t="shared" si="30"/>
        <v>Additions</v>
      </c>
      <c r="P44" s="738" t="str">
        <f t="shared" si="30"/>
        <v>Additions</v>
      </c>
      <c r="T44" s="738"/>
      <c r="U44" s="738"/>
      <c r="V44" s="738"/>
      <c r="W44" s="738"/>
      <c r="X44" s="738"/>
      <c r="Y44" s="738"/>
    </row>
    <row r="45" spans="1:40">
      <c r="A45" s="735">
        <f>A37+1</f>
        <v>26</v>
      </c>
      <c r="C45" s="719" t="s">
        <v>200</v>
      </c>
      <c r="D45" s="1014">
        <v>2016</v>
      </c>
      <c r="E45" s="746">
        <f>'10-CWIP'!G55</f>
        <v>11400758.169999998</v>
      </c>
      <c r="F45" s="746">
        <f>'10-CWIP'!H55</f>
        <v>9581618.0399999991</v>
      </c>
      <c r="G45" s="746">
        <f>'10-CWIP'!I55</f>
        <v>136435.50974999985</v>
      </c>
      <c r="H45" s="783">
        <v>0</v>
      </c>
      <c r="I45" s="739">
        <v>0</v>
      </c>
      <c r="J45" s="784">
        <v>0</v>
      </c>
      <c r="K45" s="681">
        <f>0+E45+G45</f>
        <v>11537193.679749997</v>
      </c>
      <c r="L45" s="681">
        <v>0</v>
      </c>
      <c r="M45" s="681">
        <f>L45</f>
        <v>0</v>
      </c>
      <c r="N45" s="681">
        <f t="shared" ref="N45:N65" si="33">K45-M45</f>
        <v>11537193.679749997</v>
      </c>
      <c r="O45" s="785">
        <v>0</v>
      </c>
      <c r="P45" s="784">
        <f t="shared" ref="P45:P68" si="34">O45*(1-$E$107)*(1+$E$103+$E$111)</f>
        <v>0</v>
      </c>
      <c r="S45" s="681"/>
      <c r="T45" s="745"/>
      <c r="U45" s="741"/>
      <c r="V45" s="531"/>
      <c r="W45" s="745"/>
      <c r="X45" s="741"/>
      <c r="Y45" s="531"/>
    </row>
    <row r="46" spans="1:40">
      <c r="A46" s="735">
        <f t="shared" ref="A46:A99" si="35">A45+1</f>
        <v>27</v>
      </c>
      <c r="C46" s="722" t="s">
        <v>201</v>
      </c>
      <c r="D46" s="1014">
        <v>2016</v>
      </c>
      <c r="E46" s="746">
        <f>'10-CWIP'!G56</f>
        <v>3282070.55</v>
      </c>
      <c r="F46" s="746">
        <f>'10-CWIP'!H56</f>
        <v>0</v>
      </c>
      <c r="G46" s="746">
        <f>'10-CWIP'!I56</f>
        <v>246155.29124999998</v>
      </c>
      <c r="H46" s="783">
        <v>0</v>
      </c>
      <c r="I46" s="739">
        <v>0</v>
      </c>
      <c r="J46" s="784">
        <v>0</v>
      </c>
      <c r="K46" s="681">
        <f>K45+E46+G46</f>
        <v>15065419.520999996</v>
      </c>
      <c r="L46" s="681">
        <f t="shared" ref="L46:L68" si="36">K45*$E$133/12</f>
        <v>24497.016987356936</v>
      </c>
      <c r="M46" s="681">
        <f>M45+L46</f>
        <v>24497.016987356936</v>
      </c>
      <c r="N46" s="681">
        <f t="shared" si="33"/>
        <v>15040922.504012639</v>
      </c>
      <c r="O46" s="785">
        <v>0</v>
      </c>
      <c r="P46" s="784">
        <f t="shared" si="34"/>
        <v>0</v>
      </c>
      <c r="S46" s="681"/>
      <c r="T46" s="745"/>
      <c r="U46" s="741"/>
      <c r="V46" s="531"/>
      <c r="W46" s="745"/>
      <c r="X46" s="741"/>
      <c r="Y46" s="531"/>
    </row>
    <row r="47" spans="1:40">
      <c r="A47" s="735">
        <f t="shared" si="35"/>
        <v>28</v>
      </c>
      <c r="C47" s="722" t="s">
        <v>214</v>
      </c>
      <c r="D47" s="1014">
        <v>2016</v>
      </c>
      <c r="E47" s="746">
        <f>'10-CWIP'!G57</f>
        <v>1078326.79</v>
      </c>
      <c r="F47" s="746">
        <f>'10-CWIP'!H57</f>
        <v>0</v>
      </c>
      <c r="G47" s="746">
        <f>'10-CWIP'!I57</f>
        <v>80874.509250000003</v>
      </c>
      <c r="H47" s="783">
        <v>0</v>
      </c>
      <c r="I47" s="739">
        <v>0</v>
      </c>
      <c r="J47" s="784">
        <v>0</v>
      </c>
      <c r="K47" s="681">
        <f t="shared" ref="K47:K65" si="37">K46+E47+G47</f>
        <v>16224620.820249997</v>
      </c>
      <c r="L47" s="681">
        <f t="shared" si="36"/>
        <v>31988.527554613513</v>
      </c>
      <c r="M47" s="681">
        <f t="shared" ref="M47:M65" si="38">M46+L47</f>
        <v>56485.544541970448</v>
      </c>
      <c r="N47" s="681">
        <f t="shared" si="33"/>
        <v>16168135.275708027</v>
      </c>
      <c r="O47" s="785">
        <v>0</v>
      </c>
      <c r="P47" s="784">
        <f t="shared" si="34"/>
        <v>0</v>
      </c>
      <c r="S47" s="681"/>
      <c r="T47" s="745"/>
      <c r="U47" s="741"/>
      <c r="V47" s="531"/>
      <c r="W47" s="745"/>
      <c r="X47" s="741"/>
      <c r="Y47" s="531"/>
    </row>
    <row r="48" spans="1:40">
      <c r="A48" s="735">
        <f t="shared" si="35"/>
        <v>29</v>
      </c>
      <c r="C48" s="719" t="s">
        <v>202</v>
      </c>
      <c r="D48" s="1014">
        <v>2016</v>
      </c>
      <c r="E48" s="746">
        <f>'10-CWIP'!G58</f>
        <v>2056443.6744444442</v>
      </c>
      <c r="F48" s="746">
        <f>'10-CWIP'!H58</f>
        <v>210499.23</v>
      </c>
      <c r="G48" s="746">
        <f>'10-CWIP'!I58</f>
        <v>138445.83333333331</v>
      </c>
      <c r="H48" s="783">
        <v>0</v>
      </c>
      <c r="I48" s="739">
        <v>0</v>
      </c>
      <c r="J48" s="784">
        <v>0</v>
      </c>
      <c r="K48" s="681">
        <f t="shared" si="37"/>
        <v>18419510.328027774</v>
      </c>
      <c r="L48" s="681">
        <f t="shared" si="36"/>
        <v>34449.869082522135</v>
      </c>
      <c r="M48" s="681">
        <f t="shared" si="38"/>
        <v>90935.41362449259</v>
      </c>
      <c r="N48" s="681">
        <f t="shared" si="33"/>
        <v>18328574.914403282</v>
      </c>
      <c r="O48" s="785">
        <v>0</v>
      </c>
      <c r="P48" s="784">
        <f t="shared" si="34"/>
        <v>0</v>
      </c>
      <c r="S48" s="681"/>
      <c r="T48" s="745"/>
      <c r="U48" s="741"/>
      <c r="V48" s="531"/>
      <c r="W48" s="745"/>
      <c r="X48" s="741"/>
      <c r="Y48" s="531"/>
    </row>
    <row r="49" spans="1:25">
      <c r="A49" s="735">
        <f t="shared" si="35"/>
        <v>30</v>
      </c>
      <c r="C49" s="722" t="s">
        <v>203</v>
      </c>
      <c r="D49" s="1014">
        <v>2016</v>
      </c>
      <c r="E49" s="746">
        <f>'10-CWIP'!G59</f>
        <v>2318944.4444444445</v>
      </c>
      <c r="F49" s="746">
        <f>'10-CWIP'!H59</f>
        <v>0</v>
      </c>
      <c r="G49" s="746">
        <f>'10-CWIP'!I59</f>
        <v>173920.83333333334</v>
      </c>
      <c r="H49" s="783">
        <v>0</v>
      </c>
      <c r="I49" s="739">
        <v>0</v>
      </c>
      <c r="J49" s="784">
        <v>0</v>
      </c>
      <c r="K49" s="681">
        <f t="shared" si="37"/>
        <v>20912375.60580555</v>
      </c>
      <c r="L49" s="681">
        <f t="shared" si="36"/>
        <v>39110.295790255863</v>
      </c>
      <c r="M49" s="681">
        <f t="shared" si="38"/>
        <v>130045.70941474845</v>
      </c>
      <c r="N49" s="681">
        <f t="shared" si="33"/>
        <v>20782329.896390803</v>
      </c>
      <c r="O49" s="785">
        <v>0</v>
      </c>
      <c r="P49" s="784">
        <f t="shared" si="34"/>
        <v>0</v>
      </c>
      <c r="S49" s="681"/>
      <c r="T49" s="745"/>
      <c r="U49" s="741"/>
      <c r="V49" s="531"/>
      <c r="W49" s="745"/>
      <c r="X49" s="741"/>
      <c r="Y49" s="531"/>
    </row>
    <row r="50" spans="1:25">
      <c r="A50" s="735">
        <f t="shared" si="35"/>
        <v>31</v>
      </c>
      <c r="C50" s="722" t="s">
        <v>204</v>
      </c>
      <c r="D50" s="1014">
        <v>2016</v>
      </c>
      <c r="E50" s="746">
        <f>'10-CWIP'!G60</f>
        <v>1785944.4444444443</v>
      </c>
      <c r="F50" s="746">
        <f>'10-CWIP'!H60</f>
        <v>0</v>
      </c>
      <c r="G50" s="746">
        <f>'10-CWIP'!I60</f>
        <v>133945.83333333331</v>
      </c>
      <c r="H50" s="783">
        <v>0</v>
      </c>
      <c r="I50" s="739">
        <v>0</v>
      </c>
      <c r="J50" s="784">
        <v>0</v>
      </c>
      <c r="K50" s="681">
        <f t="shared" si="37"/>
        <v>22832265.883583326</v>
      </c>
      <c r="L50" s="681">
        <f t="shared" si="36"/>
        <v>44403.416869093278</v>
      </c>
      <c r="M50" s="681">
        <f t="shared" si="38"/>
        <v>174449.12628384173</v>
      </c>
      <c r="N50" s="681">
        <f t="shared" si="33"/>
        <v>22657816.757299483</v>
      </c>
      <c r="O50" s="785">
        <v>0</v>
      </c>
      <c r="P50" s="784">
        <f t="shared" si="34"/>
        <v>0</v>
      </c>
      <c r="S50" s="681"/>
      <c r="T50" s="745"/>
      <c r="U50" s="741"/>
      <c r="V50" s="531"/>
      <c r="W50" s="745"/>
      <c r="X50" s="741"/>
      <c r="Y50" s="531"/>
    </row>
    <row r="51" spans="1:25">
      <c r="A51" s="735">
        <f t="shared" si="35"/>
        <v>32</v>
      </c>
      <c r="C51" s="719" t="s">
        <v>205</v>
      </c>
      <c r="D51" s="1014">
        <v>2016</v>
      </c>
      <c r="E51" s="746">
        <f>'10-CWIP'!G61</f>
        <v>1758944.4444444443</v>
      </c>
      <c r="F51" s="746">
        <f>'10-CWIP'!H61</f>
        <v>0</v>
      </c>
      <c r="G51" s="746">
        <f>'10-CWIP'!I61</f>
        <v>131920.83333333331</v>
      </c>
      <c r="H51" s="783">
        <v>0</v>
      </c>
      <c r="I51" s="739">
        <v>0</v>
      </c>
      <c r="J51" s="784">
        <v>0</v>
      </c>
      <c r="K51" s="681">
        <f t="shared" si="37"/>
        <v>24723131.161361102</v>
      </c>
      <c r="L51" s="681">
        <f t="shared" si="36"/>
        <v>48479.935479605389</v>
      </c>
      <c r="M51" s="681">
        <f t="shared" si="38"/>
        <v>222929.06176344713</v>
      </c>
      <c r="N51" s="681">
        <f t="shared" si="33"/>
        <v>24500202.099597655</v>
      </c>
      <c r="O51" s="785">
        <v>0</v>
      </c>
      <c r="P51" s="784">
        <f t="shared" si="34"/>
        <v>0</v>
      </c>
      <c r="S51" s="681"/>
      <c r="T51" s="745"/>
      <c r="U51" s="741"/>
      <c r="V51" s="531"/>
      <c r="W51" s="745"/>
      <c r="X51" s="741"/>
      <c r="Y51" s="531"/>
    </row>
    <row r="52" spans="1:25">
      <c r="A52" s="735">
        <f t="shared" si="35"/>
        <v>33</v>
      </c>
      <c r="C52" s="722" t="s">
        <v>206</v>
      </c>
      <c r="D52" s="1014">
        <v>2016</v>
      </c>
      <c r="E52" s="746">
        <f>'10-CWIP'!G62</f>
        <v>1634644.4444444445</v>
      </c>
      <c r="F52" s="746">
        <f>'10-CWIP'!H62</f>
        <v>0</v>
      </c>
      <c r="G52" s="746">
        <f>'10-CWIP'!I62</f>
        <v>122598.33333333333</v>
      </c>
      <c r="H52" s="783">
        <v>0</v>
      </c>
      <c r="I52" s="739">
        <v>0</v>
      </c>
      <c r="J52" s="784">
        <v>0</v>
      </c>
      <c r="K52" s="681">
        <f t="shared" si="37"/>
        <v>26480373.939138878</v>
      </c>
      <c r="L52" s="681">
        <f t="shared" si="36"/>
        <v>52494.82507202222</v>
      </c>
      <c r="M52" s="681">
        <f t="shared" si="38"/>
        <v>275423.88683546934</v>
      </c>
      <c r="N52" s="681">
        <f t="shared" si="33"/>
        <v>26204950.052303407</v>
      </c>
      <c r="O52" s="785">
        <v>0</v>
      </c>
      <c r="P52" s="784">
        <f t="shared" si="34"/>
        <v>0</v>
      </c>
      <c r="S52" s="681"/>
      <c r="T52" s="745"/>
      <c r="U52" s="741"/>
      <c r="V52" s="531"/>
      <c r="W52" s="745"/>
      <c r="X52" s="741"/>
      <c r="Y52" s="531"/>
    </row>
    <row r="53" spans="1:25">
      <c r="A53" s="735">
        <f t="shared" si="35"/>
        <v>34</v>
      </c>
      <c r="C53" s="722" t="s">
        <v>207</v>
      </c>
      <c r="D53" s="1014">
        <v>2016</v>
      </c>
      <c r="E53" s="746">
        <f>'10-CWIP'!G63</f>
        <v>1631444.4444444443</v>
      </c>
      <c r="F53" s="746">
        <f>'10-CWIP'!H63</f>
        <v>0</v>
      </c>
      <c r="G53" s="746">
        <f>'10-CWIP'!I63</f>
        <v>122358.33333333331</v>
      </c>
      <c r="H53" s="783">
        <v>0</v>
      </c>
      <c r="I53" s="739">
        <v>0</v>
      </c>
      <c r="J53" s="784">
        <v>0</v>
      </c>
      <c r="K53" s="681">
        <f t="shared" si="37"/>
        <v>28234176.716916654</v>
      </c>
      <c r="L53" s="681">
        <f t="shared" si="36"/>
        <v>56225.992925578212</v>
      </c>
      <c r="M53" s="681">
        <f t="shared" si="38"/>
        <v>331649.87976104754</v>
      </c>
      <c r="N53" s="681">
        <f t="shared" si="33"/>
        <v>27902526.837155607</v>
      </c>
      <c r="O53" s="785">
        <v>0</v>
      </c>
      <c r="P53" s="784">
        <f t="shared" si="34"/>
        <v>0</v>
      </c>
      <c r="S53" s="681"/>
      <c r="T53" s="745"/>
      <c r="U53" s="741"/>
      <c r="V53" s="531"/>
      <c r="W53" s="745"/>
      <c r="X53" s="741"/>
      <c r="Y53" s="531"/>
    </row>
    <row r="54" spans="1:25">
      <c r="A54" s="735">
        <f t="shared" si="35"/>
        <v>35</v>
      </c>
      <c r="C54" s="719" t="s">
        <v>208</v>
      </c>
      <c r="D54" s="1014">
        <v>2016</v>
      </c>
      <c r="E54" s="746">
        <f>'10-CWIP'!G64</f>
        <v>322116773.22444445</v>
      </c>
      <c r="F54" s="746">
        <f>'10-CWIP'!H64</f>
        <v>225327976.69000003</v>
      </c>
      <c r="G54" s="746">
        <f>'10-CWIP'!I64</f>
        <v>7259159.7400833312</v>
      </c>
      <c r="H54" s="783">
        <v>0</v>
      </c>
      <c r="I54" s="739">
        <v>0</v>
      </c>
      <c r="J54" s="784">
        <v>0</v>
      </c>
      <c r="K54" s="681">
        <f t="shared" si="37"/>
        <v>357610109.68144447</v>
      </c>
      <c r="L54" s="681">
        <f t="shared" si="36"/>
        <v>59949.856599211787</v>
      </c>
      <c r="M54" s="681">
        <f t="shared" si="38"/>
        <v>391599.73636025935</v>
      </c>
      <c r="N54" s="681">
        <f t="shared" si="33"/>
        <v>357218509.94508421</v>
      </c>
      <c r="O54" s="785">
        <v>0</v>
      </c>
      <c r="P54" s="784">
        <f t="shared" si="34"/>
        <v>0</v>
      </c>
      <c r="S54" s="681"/>
      <c r="T54" s="745"/>
      <c r="U54" s="741"/>
      <c r="V54" s="531"/>
      <c r="W54" s="745"/>
      <c r="X54" s="741"/>
      <c r="Y54" s="531"/>
    </row>
    <row r="55" spans="1:25">
      <c r="A55" s="735">
        <f t="shared" si="35"/>
        <v>36</v>
      </c>
      <c r="C55" s="719" t="s">
        <v>209</v>
      </c>
      <c r="D55" s="1014">
        <v>2016</v>
      </c>
      <c r="E55" s="746">
        <f>'10-CWIP'!G65</f>
        <v>4401444.444444444</v>
      </c>
      <c r="F55" s="746">
        <f>'10-CWIP'!H65</f>
        <v>0</v>
      </c>
      <c r="G55" s="746">
        <f>'10-CWIP'!I65</f>
        <v>330108.33333333331</v>
      </c>
      <c r="H55" s="783">
        <v>0</v>
      </c>
      <c r="I55" s="739">
        <v>0</v>
      </c>
      <c r="J55" s="784">
        <v>0</v>
      </c>
      <c r="K55" s="681">
        <f t="shared" si="37"/>
        <v>362341662.4592222</v>
      </c>
      <c r="L55" s="681">
        <f t="shared" si="36"/>
        <v>759316.448599895</v>
      </c>
      <c r="M55" s="681">
        <f t="shared" si="38"/>
        <v>1150916.1849601544</v>
      </c>
      <c r="N55" s="681">
        <f t="shared" si="33"/>
        <v>361190746.27426207</v>
      </c>
      <c r="O55" s="785">
        <v>0</v>
      </c>
      <c r="P55" s="784">
        <f t="shared" si="34"/>
        <v>0</v>
      </c>
      <c r="S55" s="681"/>
      <c r="T55" s="745"/>
      <c r="U55" s="741"/>
      <c r="V55" s="531"/>
      <c r="W55" s="745"/>
      <c r="X55" s="741"/>
      <c r="Y55" s="531"/>
    </row>
    <row r="56" spans="1:25">
      <c r="A56" s="735">
        <f t="shared" si="35"/>
        <v>37</v>
      </c>
      <c r="C56" s="719" t="s">
        <v>199</v>
      </c>
      <c r="D56" s="1014">
        <v>2016</v>
      </c>
      <c r="E56" s="746">
        <f>'10-CWIP'!G66</f>
        <v>10929482.844444444</v>
      </c>
      <c r="F56" s="746">
        <f>'10-CWIP'!H66</f>
        <v>0</v>
      </c>
      <c r="G56" s="746">
        <f>'10-CWIP'!I66</f>
        <v>819711.21333333326</v>
      </c>
      <c r="H56" s="783">
        <v>0</v>
      </c>
      <c r="I56" s="739">
        <v>0</v>
      </c>
      <c r="J56" s="784">
        <v>0</v>
      </c>
      <c r="K56" s="681">
        <f t="shared" si="37"/>
        <v>374090856.51699996</v>
      </c>
      <c r="L56" s="681">
        <f t="shared" si="36"/>
        <v>769362.99301885872</v>
      </c>
      <c r="M56" s="681">
        <f t="shared" si="38"/>
        <v>1920279.177979013</v>
      </c>
      <c r="N56" s="681">
        <f t="shared" si="33"/>
        <v>372170577.33902097</v>
      </c>
      <c r="O56" s="785">
        <v>0</v>
      </c>
      <c r="P56" s="784">
        <f t="shared" si="34"/>
        <v>0</v>
      </c>
      <c r="S56" s="681"/>
      <c r="T56" s="745"/>
      <c r="U56" s="741"/>
      <c r="V56" s="531"/>
      <c r="W56" s="745"/>
      <c r="X56" s="741"/>
      <c r="Y56" s="531"/>
    </row>
    <row r="57" spans="1:25">
      <c r="A57" s="735">
        <f t="shared" si="35"/>
        <v>38</v>
      </c>
      <c r="C57" s="719" t="s">
        <v>200</v>
      </c>
      <c r="D57" s="1014">
        <v>2017</v>
      </c>
      <c r="E57" s="746">
        <f>'10-CWIP'!G67</f>
        <v>0</v>
      </c>
      <c r="F57" s="746">
        <f>'10-CWIP'!H67</f>
        <v>0</v>
      </c>
      <c r="G57" s="746">
        <f>'10-CWIP'!I67</f>
        <v>0</v>
      </c>
      <c r="H57" s="783">
        <v>0</v>
      </c>
      <c r="I57" s="739">
        <v>0</v>
      </c>
      <c r="J57" s="784">
        <v>0</v>
      </c>
      <c r="K57" s="681">
        <f t="shared" si="37"/>
        <v>374090856.51699996</v>
      </c>
      <c r="L57" s="681">
        <f t="shared" si="36"/>
        <v>794310.15212968446</v>
      </c>
      <c r="M57" s="681">
        <f t="shared" si="38"/>
        <v>2714589.3301086975</v>
      </c>
      <c r="N57" s="681">
        <f t="shared" si="33"/>
        <v>371376267.18689126</v>
      </c>
      <c r="O57" s="785">
        <v>0</v>
      </c>
      <c r="P57" s="784">
        <f t="shared" si="34"/>
        <v>0</v>
      </c>
      <c r="S57" s="681"/>
      <c r="T57" s="745"/>
      <c r="U57" s="741"/>
      <c r="V57" s="531"/>
      <c r="W57" s="745"/>
      <c r="X57" s="741"/>
      <c r="Y57" s="531"/>
    </row>
    <row r="58" spans="1:25">
      <c r="A58" s="735">
        <f t="shared" si="35"/>
        <v>39</v>
      </c>
      <c r="C58" s="722" t="s">
        <v>201</v>
      </c>
      <c r="D58" s="1014">
        <v>2017</v>
      </c>
      <c r="E58" s="746">
        <f>'10-CWIP'!G68</f>
        <v>35027942.540000007</v>
      </c>
      <c r="F58" s="746">
        <f>'10-CWIP'!H68</f>
        <v>6558587.2800000003</v>
      </c>
      <c r="G58" s="746">
        <f>'10-CWIP'!I68</f>
        <v>2135201.6445000004</v>
      </c>
      <c r="H58" s="783">
        <v>0</v>
      </c>
      <c r="I58" s="739">
        <v>0</v>
      </c>
      <c r="J58" s="784">
        <v>0</v>
      </c>
      <c r="K58" s="681">
        <f t="shared" si="37"/>
        <v>411254000.7015</v>
      </c>
      <c r="L58" s="681">
        <f t="shared" si="36"/>
        <v>794310.15212968446</v>
      </c>
      <c r="M58" s="681">
        <f t="shared" si="38"/>
        <v>3508899.4822383821</v>
      </c>
      <c r="N58" s="681">
        <f t="shared" si="33"/>
        <v>407745101.21926165</v>
      </c>
      <c r="O58" s="785">
        <v>0</v>
      </c>
      <c r="P58" s="784">
        <f t="shared" si="34"/>
        <v>0</v>
      </c>
      <c r="S58" s="681"/>
      <c r="T58" s="745"/>
      <c r="U58" s="741"/>
      <c r="V58" s="531"/>
      <c r="W58" s="745"/>
      <c r="X58" s="741"/>
      <c r="Y58" s="531"/>
    </row>
    <row r="59" spans="1:25">
      <c r="A59" s="735">
        <f t="shared" si="35"/>
        <v>40</v>
      </c>
      <c r="C59" s="722" t="s">
        <v>214</v>
      </c>
      <c r="D59" s="1014">
        <v>2017</v>
      </c>
      <c r="E59" s="746">
        <f>'10-CWIP'!G69</f>
        <v>100000</v>
      </c>
      <c r="F59" s="746">
        <f>'10-CWIP'!H69</f>
        <v>0</v>
      </c>
      <c r="G59" s="746">
        <f>'10-CWIP'!I69</f>
        <v>7500</v>
      </c>
      <c r="H59" s="783">
        <v>0</v>
      </c>
      <c r="I59" s="739">
        <v>0</v>
      </c>
      <c r="J59" s="784">
        <v>0</v>
      </c>
      <c r="K59" s="681">
        <f t="shared" si="37"/>
        <v>411361500.7015</v>
      </c>
      <c r="L59" s="681">
        <f t="shared" si="36"/>
        <v>873218.95782904571</v>
      </c>
      <c r="M59" s="681">
        <f t="shared" si="38"/>
        <v>4382118.4400674282</v>
      </c>
      <c r="N59" s="681">
        <f t="shared" si="33"/>
        <v>406979382.26143259</v>
      </c>
      <c r="O59" s="785">
        <v>0</v>
      </c>
      <c r="P59" s="784">
        <f t="shared" si="34"/>
        <v>0</v>
      </c>
      <c r="S59" s="681"/>
      <c r="T59" s="745"/>
      <c r="U59" s="741"/>
      <c r="V59" s="531"/>
      <c r="W59" s="745"/>
      <c r="X59" s="741"/>
      <c r="Y59" s="531"/>
    </row>
    <row r="60" spans="1:25">
      <c r="A60" s="735">
        <f t="shared" si="35"/>
        <v>41</v>
      </c>
      <c r="C60" s="719" t="s">
        <v>202</v>
      </c>
      <c r="D60" s="1014">
        <v>2017</v>
      </c>
      <c r="E60" s="746">
        <f>'10-CWIP'!G70</f>
        <v>0</v>
      </c>
      <c r="F60" s="746">
        <f>'10-CWIP'!H70</f>
        <v>0</v>
      </c>
      <c r="G60" s="746">
        <f>'10-CWIP'!I70</f>
        <v>0</v>
      </c>
      <c r="H60" s="783">
        <v>0</v>
      </c>
      <c r="I60" s="739">
        <v>0</v>
      </c>
      <c r="J60" s="784">
        <v>0</v>
      </c>
      <c r="K60" s="681">
        <f t="shared" si="37"/>
        <v>411361500.7015</v>
      </c>
      <c r="L60" s="681">
        <f t="shared" si="36"/>
        <v>873447.21345162101</v>
      </c>
      <c r="M60" s="681">
        <f t="shared" si="38"/>
        <v>5255565.6535190493</v>
      </c>
      <c r="N60" s="681">
        <f t="shared" si="33"/>
        <v>406105935.04798096</v>
      </c>
      <c r="O60" s="785">
        <v>0</v>
      </c>
      <c r="P60" s="784">
        <f t="shared" si="34"/>
        <v>0</v>
      </c>
      <c r="S60" s="681"/>
      <c r="T60" s="745"/>
      <c r="U60" s="741"/>
      <c r="V60" s="531"/>
      <c r="W60" s="745"/>
      <c r="X60" s="741"/>
      <c r="Y60" s="531"/>
    </row>
    <row r="61" spans="1:25">
      <c r="A61" s="735">
        <f t="shared" si="35"/>
        <v>42</v>
      </c>
      <c r="C61" s="722" t="s">
        <v>203</v>
      </c>
      <c r="D61" s="1014">
        <v>2017</v>
      </c>
      <c r="E61" s="746">
        <f>'10-CWIP'!G71</f>
        <v>0</v>
      </c>
      <c r="F61" s="746">
        <f>'10-CWIP'!H71</f>
        <v>0</v>
      </c>
      <c r="G61" s="746">
        <f>'10-CWIP'!I71</f>
        <v>0</v>
      </c>
      <c r="H61" s="783">
        <v>0</v>
      </c>
      <c r="I61" s="739">
        <v>0</v>
      </c>
      <c r="J61" s="784">
        <v>0</v>
      </c>
      <c r="K61" s="681">
        <f t="shared" si="37"/>
        <v>411361500.7015</v>
      </c>
      <c r="L61" s="681">
        <f t="shared" si="36"/>
        <v>873447.21345162101</v>
      </c>
      <c r="M61" s="681">
        <f t="shared" si="38"/>
        <v>6129012.8669706704</v>
      </c>
      <c r="N61" s="681">
        <f t="shared" si="33"/>
        <v>405232487.83452934</v>
      </c>
      <c r="O61" s="785">
        <v>0</v>
      </c>
      <c r="P61" s="784">
        <f t="shared" si="34"/>
        <v>0</v>
      </c>
      <c r="S61" s="681"/>
      <c r="T61" s="745"/>
      <c r="U61" s="741"/>
      <c r="V61" s="531"/>
      <c r="W61" s="745"/>
      <c r="X61" s="741"/>
      <c r="Y61" s="531"/>
    </row>
    <row r="62" spans="1:25">
      <c r="A62" s="735">
        <f t="shared" si="35"/>
        <v>43</v>
      </c>
      <c r="C62" s="722" t="s">
        <v>204</v>
      </c>
      <c r="D62" s="1014">
        <v>2017</v>
      </c>
      <c r="E62" s="746">
        <f>'10-CWIP'!G72</f>
        <v>0</v>
      </c>
      <c r="F62" s="746">
        <f>'10-CWIP'!H72</f>
        <v>0</v>
      </c>
      <c r="G62" s="746">
        <f>'10-CWIP'!I72</f>
        <v>0</v>
      </c>
      <c r="H62" s="783">
        <v>0</v>
      </c>
      <c r="I62" s="739">
        <v>0</v>
      </c>
      <c r="J62" s="784">
        <v>0</v>
      </c>
      <c r="K62" s="681">
        <f t="shared" si="37"/>
        <v>411361500.7015</v>
      </c>
      <c r="L62" s="681">
        <f t="shared" si="36"/>
        <v>873447.21345162101</v>
      </c>
      <c r="M62" s="681">
        <f t="shared" si="38"/>
        <v>7002460.0804222915</v>
      </c>
      <c r="N62" s="681">
        <f t="shared" si="33"/>
        <v>404359040.62107772</v>
      </c>
      <c r="O62" s="785">
        <v>0</v>
      </c>
      <c r="P62" s="784">
        <f t="shared" si="34"/>
        <v>0</v>
      </c>
      <c r="S62" s="681"/>
      <c r="T62" s="745"/>
      <c r="U62" s="741"/>
      <c r="V62" s="531"/>
      <c r="W62" s="745"/>
      <c r="X62" s="741"/>
      <c r="Y62" s="531"/>
    </row>
    <row r="63" spans="1:25">
      <c r="A63" s="735">
        <f t="shared" si="35"/>
        <v>44</v>
      </c>
      <c r="C63" s="719" t="s">
        <v>205</v>
      </c>
      <c r="D63" s="1014">
        <v>2017</v>
      </c>
      <c r="E63" s="746">
        <f>'10-CWIP'!G73</f>
        <v>0</v>
      </c>
      <c r="F63" s="746">
        <f>'10-CWIP'!H73</f>
        <v>0</v>
      </c>
      <c r="G63" s="746">
        <f>'10-CWIP'!I73</f>
        <v>0</v>
      </c>
      <c r="H63" s="783">
        <v>0</v>
      </c>
      <c r="I63" s="739">
        <v>0</v>
      </c>
      <c r="J63" s="784">
        <v>0</v>
      </c>
      <c r="K63" s="681">
        <f t="shared" si="37"/>
        <v>411361500.7015</v>
      </c>
      <c r="L63" s="681">
        <f t="shared" si="36"/>
        <v>873447.21345162101</v>
      </c>
      <c r="M63" s="681">
        <f t="shared" si="38"/>
        <v>7875907.2938739127</v>
      </c>
      <c r="N63" s="681">
        <f t="shared" si="33"/>
        <v>403485593.40762609</v>
      </c>
      <c r="O63" s="785">
        <v>0</v>
      </c>
      <c r="P63" s="784">
        <f t="shared" si="34"/>
        <v>0</v>
      </c>
      <c r="S63" s="681"/>
      <c r="T63" s="745"/>
      <c r="U63" s="741"/>
      <c r="V63" s="531"/>
      <c r="W63" s="745"/>
      <c r="X63" s="741"/>
      <c r="Y63" s="531"/>
    </row>
    <row r="64" spans="1:25">
      <c r="A64" s="735">
        <f t="shared" si="35"/>
        <v>45</v>
      </c>
      <c r="C64" s="722" t="s">
        <v>206</v>
      </c>
      <c r="D64" s="1014">
        <v>2017</v>
      </c>
      <c r="E64" s="746">
        <f>'10-CWIP'!G74</f>
        <v>0</v>
      </c>
      <c r="F64" s="746">
        <f>'10-CWIP'!H74</f>
        <v>0</v>
      </c>
      <c r="G64" s="746">
        <f>'10-CWIP'!I74</f>
        <v>0</v>
      </c>
      <c r="H64" s="783">
        <v>0</v>
      </c>
      <c r="I64" s="739">
        <v>0</v>
      </c>
      <c r="J64" s="784">
        <v>0</v>
      </c>
      <c r="K64" s="681">
        <f t="shared" si="37"/>
        <v>411361500.7015</v>
      </c>
      <c r="L64" s="681">
        <f t="shared" si="36"/>
        <v>873447.21345162101</v>
      </c>
      <c r="M64" s="681">
        <f t="shared" si="38"/>
        <v>8749354.5073255338</v>
      </c>
      <c r="N64" s="681">
        <f t="shared" si="33"/>
        <v>402612146.19417447</v>
      </c>
      <c r="O64" s="785">
        <v>0</v>
      </c>
      <c r="P64" s="784">
        <f t="shared" si="34"/>
        <v>0</v>
      </c>
      <c r="S64" s="681"/>
      <c r="T64" s="745"/>
      <c r="U64" s="741"/>
      <c r="V64" s="531"/>
      <c r="W64" s="745"/>
      <c r="X64" s="741"/>
      <c r="Y64" s="531"/>
    </row>
    <row r="65" spans="1:25">
      <c r="A65" s="735">
        <f t="shared" si="35"/>
        <v>46</v>
      </c>
      <c r="C65" s="722" t="s">
        <v>207</v>
      </c>
      <c r="D65" s="1014">
        <v>2017</v>
      </c>
      <c r="E65" s="746">
        <f>'10-CWIP'!G75</f>
        <v>0</v>
      </c>
      <c r="F65" s="746">
        <f>'10-CWIP'!H75</f>
        <v>0</v>
      </c>
      <c r="G65" s="746">
        <f>'10-CWIP'!I75</f>
        <v>0</v>
      </c>
      <c r="H65" s="783">
        <v>0</v>
      </c>
      <c r="I65" s="739">
        <v>0</v>
      </c>
      <c r="J65" s="784">
        <v>0</v>
      </c>
      <c r="K65" s="681">
        <f t="shared" si="37"/>
        <v>411361500.7015</v>
      </c>
      <c r="L65" s="681">
        <f t="shared" si="36"/>
        <v>873447.21345162101</v>
      </c>
      <c r="M65" s="681">
        <f t="shared" si="38"/>
        <v>9622801.720777154</v>
      </c>
      <c r="N65" s="681">
        <f t="shared" si="33"/>
        <v>401738698.98072284</v>
      </c>
      <c r="O65" s="785">
        <v>0</v>
      </c>
      <c r="P65" s="784">
        <f t="shared" si="34"/>
        <v>0</v>
      </c>
      <c r="S65" s="681"/>
      <c r="T65" s="745"/>
      <c r="U65" s="741"/>
      <c r="V65" s="531"/>
      <c r="W65" s="745"/>
      <c r="X65" s="741"/>
      <c r="Y65" s="531"/>
    </row>
    <row r="66" spans="1:25">
      <c r="A66" s="736">
        <f t="shared" si="35"/>
        <v>47</v>
      </c>
      <c r="C66" s="722" t="s">
        <v>210</v>
      </c>
      <c r="D66" s="1014">
        <v>2017</v>
      </c>
      <c r="E66" s="746">
        <f>'10-CWIP'!G76</f>
        <v>0</v>
      </c>
      <c r="F66" s="746">
        <f>'10-CWIP'!H76</f>
        <v>0</v>
      </c>
      <c r="G66" s="746">
        <f>'10-CWIP'!I76</f>
        <v>0</v>
      </c>
      <c r="H66" s="783">
        <v>0</v>
      </c>
      <c r="I66" s="739">
        <v>0</v>
      </c>
      <c r="J66" s="784">
        <v>0</v>
      </c>
      <c r="K66" s="681">
        <f t="shared" ref="K66:K68" si="39">K65+E66+G66</f>
        <v>411361500.7015</v>
      </c>
      <c r="L66" s="681">
        <f t="shared" si="36"/>
        <v>873447.21345162101</v>
      </c>
      <c r="M66" s="681">
        <f t="shared" ref="M66:M68" si="40">M65+L66</f>
        <v>10496248.934228774</v>
      </c>
      <c r="N66" s="681">
        <f t="shared" ref="N66:N68" si="41">K66-M66</f>
        <v>400865251.76727122</v>
      </c>
      <c r="O66" s="785">
        <v>0</v>
      </c>
      <c r="P66" s="784">
        <f t="shared" si="34"/>
        <v>0</v>
      </c>
      <c r="S66" s="681"/>
      <c r="T66" s="745"/>
      <c r="U66" s="741"/>
      <c r="V66" s="531"/>
      <c r="W66" s="745"/>
      <c r="X66" s="741"/>
      <c r="Y66" s="531"/>
    </row>
    <row r="67" spans="1:25">
      <c r="A67" s="736">
        <f t="shared" si="35"/>
        <v>48</v>
      </c>
      <c r="C67" s="722" t="s">
        <v>209</v>
      </c>
      <c r="D67" s="1014">
        <v>2017</v>
      </c>
      <c r="E67" s="746">
        <f>'10-CWIP'!G77</f>
        <v>0</v>
      </c>
      <c r="F67" s="746">
        <f>'10-CWIP'!H77</f>
        <v>0</v>
      </c>
      <c r="G67" s="746">
        <f>'10-CWIP'!I77</f>
        <v>0</v>
      </c>
      <c r="H67" s="783">
        <v>0</v>
      </c>
      <c r="I67" s="739">
        <v>0</v>
      </c>
      <c r="J67" s="784">
        <v>0</v>
      </c>
      <c r="K67" s="681">
        <f t="shared" si="39"/>
        <v>411361500.7015</v>
      </c>
      <c r="L67" s="681">
        <f t="shared" si="36"/>
        <v>873447.21345162101</v>
      </c>
      <c r="M67" s="681">
        <f t="shared" si="40"/>
        <v>11369696.147680394</v>
      </c>
      <c r="N67" s="681">
        <f t="shared" si="41"/>
        <v>399991804.5538196</v>
      </c>
      <c r="O67" s="785">
        <v>0</v>
      </c>
      <c r="P67" s="784">
        <f t="shared" si="34"/>
        <v>0</v>
      </c>
      <c r="S67" s="681"/>
      <c r="T67" s="745"/>
      <c r="U67" s="741"/>
      <c r="V67" s="531"/>
      <c r="W67" s="745"/>
      <c r="X67" s="741"/>
      <c r="Y67" s="531"/>
    </row>
    <row r="68" spans="1:25">
      <c r="A68" s="736">
        <f t="shared" si="35"/>
        <v>49</v>
      </c>
      <c r="C68" s="722" t="s">
        <v>199</v>
      </c>
      <c r="D68" s="1014">
        <v>2017</v>
      </c>
      <c r="E68" s="746">
        <f>'10-CWIP'!G78</f>
        <v>0</v>
      </c>
      <c r="F68" s="746">
        <f>'10-CWIP'!H78</f>
        <v>0</v>
      </c>
      <c r="G68" s="746">
        <f>'10-CWIP'!I78</f>
        <v>0</v>
      </c>
      <c r="H68" s="783">
        <v>0</v>
      </c>
      <c r="I68" s="739">
        <v>0</v>
      </c>
      <c r="J68" s="784">
        <v>0</v>
      </c>
      <c r="K68" s="681">
        <f t="shared" si="39"/>
        <v>411361500.7015</v>
      </c>
      <c r="L68" s="681">
        <f t="shared" si="36"/>
        <v>873447.21345162101</v>
      </c>
      <c r="M68" s="681">
        <f t="shared" si="40"/>
        <v>12243143.361132015</v>
      </c>
      <c r="N68" s="681">
        <f t="shared" si="41"/>
        <v>399118357.34036797</v>
      </c>
      <c r="O68" s="785">
        <v>0</v>
      </c>
      <c r="P68" s="784">
        <f t="shared" si="34"/>
        <v>0</v>
      </c>
      <c r="S68" s="681"/>
      <c r="T68" s="745"/>
      <c r="U68" s="741"/>
      <c r="V68" s="531"/>
      <c r="W68" s="745"/>
      <c r="X68" s="741"/>
      <c r="Y68" s="531"/>
    </row>
    <row r="69" spans="1:25">
      <c r="A69" s="735"/>
      <c r="D69" s="744"/>
      <c r="G69" s="681"/>
      <c r="M69" s="678"/>
      <c r="N69" s="739"/>
    </row>
    <row r="70" spans="1:25">
      <c r="A70" s="735"/>
      <c r="B70" s="683" t="s">
        <v>2377</v>
      </c>
      <c r="D70" s="744"/>
      <c r="G70" s="786"/>
      <c r="M70" s="678"/>
      <c r="N70" s="739"/>
    </row>
    <row r="71" spans="1:25">
      <c r="A71" s="735"/>
      <c r="E71" s="730" t="s">
        <v>394</v>
      </c>
      <c r="F71" s="730" t="s">
        <v>378</v>
      </c>
      <c r="G71" s="730" t="s">
        <v>379</v>
      </c>
      <c r="H71" s="730" t="s">
        <v>380</v>
      </c>
      <c r="I71" s="730" t="s">
        <v>381</v>
      </c>
      <c r="J71" s="730" t="s">
        <v>382</v>
      </c>
      <c r="K71" s="730" t="s">
        <v>383</v>
      </c>
      <c r="L71" s="730" t="s">
        <v>596</v>
      </c>
      <c r="M71" s="730" t="s">
        <v>1045</v>
      </c>
      <c r="N71" s="730" t="s">
        <v>1061</v>
      </c>
      <c r="O71" s="730" t="s">
        <v>1064</v>
      </c>
      <c r="P71" s="730" t="s">
        <v>1082</v>
      </c>
    </row>
    <row r="72" spans="1:25" ht="25.5">
      <c r="A72" s="735"/>
      <c r="E72" s="732"/>
      <c r="F72" s="732"/>
      <c r="G72" s="733" t="str">
        <f>"=(C"&amp;RIGHT(E71)&amp;"-C"&amp;RIGHT(F71)&amp;")*L"&amp;$A$103</f>
        <v>=(C1-C2)*L74</v>
      </c>
      <c r="H72" s="732" t="str">
        <f>"=(C"&amp;RIGHT(E71)&amp;"-C"&amp;RIGHT(F71)&amp;"+C"&amp;RIGHT(G71)&amp;")*L"&amp;$A$107</f>
        <v>=(C1-C2+C3)*L75</v>
      </c>
      <c r="I72" s="732" t="str">
        <f>"=C"&amp;RIGHT(E71)&amp;"-C"&amp;RIGHT(F71)&amp;"+C"&amp;RIGHT(G71)&amp;"-C"&amp;RIGHT(H71)</f>
        <v>=C1-C2+C3-C4</v>
      </c>
      <c r="J72" s="733" t="str">
        <f>"=C"&amp;RIGHT(I71)&amp;"*L"&amp;$A$111</f>
        <v>=C5*L76</v>
      </c>
      <c r="K72" s="780" t="s">
        <v>2378</v>
      </c>
      <c r="L72" s="781" t="s">
        <v>2599</v>
      </c>
      <c r="M72" s="782" t="s">
        <v>2376</v>
      </c>
      <c r="N72" s="732" t="str">
        <f>"=C"&amp;RIGHT(K71)&amp;"-C"&amp;RIGHT(M71)</f>
        <v>=C7-C9</v>
      </c>
      <c r="P72" s="782" t="s">
        <v>2600</v>
      </c>
    </row>
    <row r="73" spans="1:25">
      <c r="A73" s="735"/>
      <c r="C73" s="735" t="str">
        <f>C10</f>
        <v>Forecast</v>
      </c>
      <c r="E73" s="735" t="str">
        <f>E10</f>
        <v>Unloaded</v>
      </c>
      <c r="F73" s="735"/>
      <c r="G73" s="735"/>
      <c r="H73" s="736"/>
      <c r="I73" s="736" t="str">
        <f>I10</f>
        <v>AFUDC</v>
      </c>
      <c r="J73" s="736"/>
      <c r="K73" s="736"/>
      <c r="L73" s="736"/>
      <c r="M73" s="736"/>
      <c r="O73" s="735" t="str">
        <f>O10</f>
        <v>Unloaded</v>
      </c>
      <c r="P73" s="735" t="str">
        <f>P10</f>
        <v>Loaded</v>
      </c>
    </row>
    <row r="74" spans="1:25">
      <c r="A74" s="735"/>
      <c r="C74" s="735" t="str">
        <f>C11</f>
        <v>Period</v>
      </c>
      <c r="E74" s="735" t="str">
        <f>E11</f>
        <v>Total</v>
      </c>
      <c r="F74" s="735" t="str">
        <f t="shared" ref="F74:H75" si="42">F11</f>
        <v>Prior Period</v>
      </c>
      <c r="G74" s="736" t="str">
        <f t="shared" si="42"/>
        <v>Over Heads</v>
      </c>
      <c r="H74" s="736" t="str">
        <f t="shared" si="42"/>
        <v xml:space="preserve">Cost of </v>
      </c>
      <c r="I74" s="736" t="str">
        <f>I11</f>
        <v>Eligible Plant</v>
      </c>
      <c r="J74" s="736"/>
      <c r="K74" s="736" t="str">
        <f t="shared" ref="K74:M74" si="43">K11</f>
        <v>Incremental</v>
      </c>
      <c r="L74" s="736" t="str">
        <f t="shared" si="43"/>
        <v>Depreciation</v>
      </c>
      <c r="M74" s="736" t="str">
        <f t="shared" si="43"/>
        <v>Incremental</v>
      </c>
      <c r="O74" s="736" t="str">
        <f>O11</f>
        <v>Low Voltage</v>
      </c>
      <c r="P74" s="736" t="str">
        <f>P11</f>
        <v>Low Voltage</v>
      </c>
      <c r="Q74" s="735"/>
    </row>
    <row r="75" spans="1:25">
      <c r="A75" s="737" t="s">
        <v>360</v>
      </c>
      <c r="C75" s="718" t="str">
        <f>C12</f>
        <v>Month</v>
      </c>
      <c r="D75" s="718" t="str">
        <f>D12</f>
        <v>Year</v>
      </c>
      <c r="E75" s="731" t="str">
        <f>E12</f>
        <v>Plant Adds</v>
      </c>
      <c r="F75" s="731" t="str">
        <f t="shared" si="42"/>
        <v>CWIP Closed</v>
      </c>
      <c r="G75" s="738" t="str">
        <f t="shared" si="42"/>
        <v>Closed to PIS</v>
      </c>
      <c r="H75" s="738" t="str">
        <f t="shared" si="42"/>
        <v>Removal</v>
      </c>
      <c r="I75" s="738" t="str">
        <f>I12</f>
        <v>Additions</v>
      </c>
      <c r="J75" s="738" t="str">
        <f t="shared" ref="J75:P75" si="44">J12</f>
        <v>AFUDC</v>
      </c>
      <c r="K75" s="738" t="str">
        <f t="shared" si="44"/>
        <v>Gross Plant</v>
      </c>
      <c r="L75" s="738" t="str">
        <f t="shared" si="44"/>
        <v>Accrual</v>
      </c>
      <c r="M75" s="738" t="str">
        <f t="shared" si="44"/>
        <v>Reserve</v>
      </c>
      <c r="N75" s="738" t="str">
        <f t="shared" si="44"/>
        <v>Net Plant</v>
      </c>
      <c r="O75" s="738" t="str">
        <f t="shared" si="44"/>
        <v>Additions</v>
      </c>
      <c r="P75" s="738" t="str">
        <f t="shared" si="44"/>
        <v>Additions</v>
      </c>
      <c r="Q75" s="738"/>
      <c r="S75" s="787"/>
      <c r="T75" s="738"/>
      <c r="U75" s="738"/>
      <c r="V75" s="738"/>
      <c r="W75" s="738"/>
      <c r="X75" s="738"/>
      <c r="Y75" s="738"/>
    </row>
    <row r="76" spans="1:25">
      <c r="A76" s="735">
        <f>A68+1</f>
        <v>50</v>
      </c>
      <c r="C76" s="719" t="str">
        <f t="shared" ref="C76:C96" si="45">C45</f>
        <v>January</v>
      </c>
      <c r="D76" s="1014">
        <v>2016</v>
      </c>
      <c r="E76" s="747">
        <v>25407328.079251047</v>
      </c>
      <c r="F76" s="747">
        <v>11078462.278358333</v>
      </c>
      <c r="G76" s="739">
        <f t="shared" ref="G76:G96" si="46">(E76-F76)*$E$103</f>
        <v>1074664.9350669535</v>
      </c>
      <c r="H76" s="681">
        <f t="shared" ref="H76:H96" si="47">(E76-F76+G76)*$E$107</f>
        <v>1232282.4588767735</v>
      </c>
      <c r="I76" s="739">
        <f>E76-F76+G76-H76</f>
        <v>14171248.277082894</v>
      </c>
      <c r="J76" s="739">
        <f t="shared" ref="J76:J96" si="48">I76*$E$111</f>
        <v>425137.44831248681</v>
      </c>
      <c r="K76" s="681">
        <f>F76+I76+J76</f>
        <v>25674848.003753714</v>
      </c>
      <c r="L76" s="681">
        <v>0</v>
      </c>
      <c r="M76" s="681">
        <f>L76</f>
        <v>0</v>
      </c>
      <c r="N76" s="681">
        <f t="shared" ref="N76:N96" si="49">K76-M76</f>
        <v>25674848.003753714</v>
      </c>
      <c r="O76" s="785">
        <v>500131.20050904871</v>
      </c>
      <c r="P76" s="681">
        <f t="shared" ref="P76:P96" si="50">O76*(1-$E$107)*(1+$E$103+$E$111)</f>
        <v>508433.37843749893</v>
      </c>
      <c r="Q76" s="745"/>
      <c r="R76" s="741"/>
      <c r="S76" s="745"/>
      <c r="T76" s="745"/>
      <c r="U76" s="741"/>
      <c r="V76" s="531"/>
      <c r="W76" s="745"/>
      <c r="X76" s="741"/>
      <c r="Y76" s="531"/>
    </row>
    <row r="77" spans="1:25">
      <c r="A77" s="735">
        <f t="shared" si="35"/>
        <v>51</v>
      </c>
      <c r="C77" s="719" t="str">
        <f t="shared" si="45"/>
        <v>February</v>
      </c>
      <c r="D77" s="1014">
        <v>2016</v>
      </c>
      <c r="E77" s="747">
        <v>25407328.079251047</v>
      </c>
      <c r="F77" s="747">
        <v>11078462.278358333</v>
      </c>
      <c r="G77" s="739">
        <f t="shared" si="46"/>
        <v>1074664.9350669535</v>
      </c>
      <c r="H77" s="681">
        <f t="shared" si="47"/>
        <v>1232282.4588767735</v>
      </c>
      <c r="I77" s="739">
        <f t="shared" ref="I77:I96" si="51">E77-F77+G77-H77</f>
        <v>14171248.277082894</v>
      </c>
      <c r="J77" s="739">
        <f t="shared" si="48"/>
        <v>425137.44831248681</v>
      </c>
      <c r="K77" s="681">
        <f>K76+J77+I77+F77</f>
        <v>51349696.007507429</v>
      </c>
      <c r="L77" s="681">
        <f t="shared" ref="L77:L96" si="52">K76*$E$133/12</f>
        <v>54515.613168538839</v>
      </c>
      <c r="M77" s="681">
        <f>M76+L77</f>
        <v>54515.613168538839</v>
      </c>
      <c r="N77" s="681">
        <f t="shared" si="49"/>
        <v>51295180.394338891</v>
      </c>
      <c r="O77" s="785">
        <v>1000262.4010180974</v>
      </c>
      <c r="P77" s="681">
        <f t="shared" si="50"/>
        <v>1016866.7568749979</v>
      </c>
      <c r="Q77" s="745"/>
      <c r="R77" s="741"/>
      <c r="S77" s="745"/>
      <c r="T77" s="745"/>
      <c r="U77" s="741"/>
      <c r="V77" s="531"/>
      <c r="W77" s="745"/>
      <c r="X77" s="741"/>
      <c r="Y77" s="531"/>
    </row>
    <row r="78" spans="1:25">
      <c r="A78" s="735">
        <f t="shared" si="35"/>
        <v>52</v>
      </c>
      <c r="C78" s="719" t="str">
        <f t="shared" si="45"/>
        <v>March</v>
      </c>
      <c r="D78" s="1014">
        <v>2016</v>
      </c>
      <c r="E78" s="747">
        <v>25407328.079251058</v>
      </c>
      <c r="F78" s="747">
        <v>11078462.278358333</v>
      </c>
      <c r="G78" s="739">
        <f t="shared" si="46"/>
        <v>1074664.9350669545</v>
      </c>
      <c r="H78" s="681">
        <f t="shared" si="47"/>
        <v>1232282.4588767744</v>
      </c>
      <c r="I78" s="739">
        <f t="shared" si="51"/>
        <v>14171248.277082907</v>
      </c>
      <c r="J78" s="739">
        <f t="shared" si="48"/>
        <v>425137.44831248722</v>
      </c>
      <c r="K78" s="681">
        <f t="shared" ref="K78:K96" si="53">K77+J78+I78+F78</f>
        <v>77024544.01126115</v>
      </c>
      <c r="L78" s="681">
        <f t="shared" si="52"/>
        <v>109031.22633707768</v>
      </c>
      <c r="M78" s="681">
        <f t="shared" ref="M78:M96" si="54">M77+L78</f>
        <v>163546.83950561652</v>
      </c>
      <c r="N78" s="681">
        <f t="shared" si="49"/>
        <v>76860997.171755537</v>
      </c>
      <c r="O78" s="785">
        <v>1500393.6015271461</v>
      </c>
      <c r="P78" s="681">
        <f t="shared" si="50"/>
        <v>1525300.1353124967</v>
      </c>
      <c r="Q78" s="745"/>
      <c r="R78" s="741"/>
      <c r="S78" s="745"/>
      <c r="T78" s="745"/>
      <c r="U78" s="741"/>
      <c r="V78" s="531"/>
      <c r="W78" s="745"/>
      <c r="X78" s="741"/>
      <c r="Y78" s="531"/>
    </row>
    <row r="79" spans="1:25">
      <c r="A79" s="735">
        <f t="shared" si="35"/>
        <v>53</v>
      </c>
      <c r="C79" s="719" t="str">
        <f t="shared" si="45"/>
        <v>April</v>
      </c>
      <c r="D79" s="1014">
        <v>2016</v>
      </c>
      <c r="E79" s="747">
        <v>25407328.079251036</v>
      </c>
      <c r="F79" s="747">
        <v>11078462.278358333</v>
      </c>
      <c r="G79" s="739">
        <f t="shared" si="46"/>
        <v>1074664.9350669526</v>
      </c>
      <c r="H79" s="681">
        <f t="shared" si="47"/>
        <v>1232282.4588767726</v>
      </c>
      <c r="I79" s="739">
        <f t="shared" si="51"/>
        <v>14171248.277082885</v>
      </c>
      <c r="J79" s="739">
        <f t="shared" si="48"/>
        <v>425137.44831248652</v>
      </c>
      <c r="K79" s="681">
        <f t="shared" si="53"/>
        <v>102699392.01501486</v>
      </c>
      <c r="L79" s="681">
        <f t="shared" si="52"/>
        <v>163546.83950561655</v>
      </c>
      <c r="M79" s="681">
        <f t="shared" si="54"/>
        <v>327093.67901123303</v>
      </c>
      <c r="N79" s="681">
        <f t="shared" si="49"/>
        <v>102372298.33600363</v>
      </c>
      <c r="O79" s="785">
        <v>2000524.8020361948</v>
      </c>
      <c r="P79" s="681">
        <f t="shared" si="50"/>
        <v>2033733.5137499957</v>
      </c>
      <c r="Q79" s="745"/>
      <c r="R79" s="741"/>
      <c r="S79" s="745"/>
      <c r="T79" s="745"/>
      <c r="U79" s="741"/>
      <c r="V79" s="531"/>
      <c r="W79" s="745"/>
      <c r="X79" s="741"/>
      <c r="Y79" s="531"/>
    </row>
    <row r="80" spans="1:25">
      <c r="A80" s="735">
        <f t="shared" si="35"/>
        <v>54</v>
      </c>
      <c r="C80" s="719" t="str">
        <f t="shared" si="45"/>
        <v>May</v>
      </c>
      <c r="D80" s="1014">
        <v>2016</v>
      </c>
      <c r="E80" s="747">
        <v>27395212.724201098</v>
      </c>
      <c r="F80" s="747">
        <v>11626346.928358333</v>
      </c>
      <c r="G80" s="739">
        <f t="shared" si="46"/>
        <v>1182664.9346882072</v>
      </c>
      <c r="H80" s="681">
        <f t="shared" si="47"/>
        <v>1356122.458442478</v>
      </c>
      <c r="I80" s="739">
        <f t="shared" si="51"/>
        <v>15595408.272088496</v>
      </c>
      <c r="J80" s="739">
        <f t="shared" si="48"/>
        <v>467862.24816265487</v>
      </c>
      <c r="K80" s="681">
        <f t="shared" si="53"/>
        <v>130389009.46362434</v>
      </c>
      <c r="L80" s="681">
        <f t="shared" si="52"/>
        <v>218062.45267415536</v>
      </c>
      <c r="M80" s="681">
        <f t="shared" si="54"/>
        <v>545156.13168538839</v>
      </c>
      <c r="N80" s="681">
        <f t="shared" si="49"/>
        <v>129843853.33193895</v>
      </c>
      <c r="O80" s="785">
        <v>2500656.0025452436</v>
      </c>
      <c r="P80" s="681">
        <f t="shared" si="50"/>
        <v>2542166.8921874948</v>
      </c>
      <c r="Q80" s="745"/>
      <c r="R80" s="741"/>
      <c r="S80" s="745"/>
      <c r="T80" s="745"/>
      <c r="U80" s="741"/>
      <c r="V80" s="531"/>
      <c r="W80" s="745"/>
      <c r="X80" s="741"/>
      <c r="Y80" s="531"/>
    </row>
    <row r="81" spans="1:25">
      <c r="A81" s="735">
        <f t="shared" si="35"/>
        <v>55</v>
      </c>
      <c r="C81" s="719" t="str">
        <f t="shared" si="45"/>
        <v xml:space="preserve">June </v>
      </c>
      <c r="D81" s="1014">
        <v>2016</v>
      </c>
      <c r="E81" s="747">
        <v>61895792.161681175</v>
      </c>
      <c r="F81" s="747">
        <v>29061299.418358363</v>
      </c>
      <c r="G81" s="739">
        <f t="shared" si="46"/>
        <v>2462586.9557492109</v>
      </c>
      <c r="H81" s="681">
        <f t="shared" si="47"/>
        <v>2823766.3759257621</v>
      </c>
      <c r="I81" s="739">
        <f t="shared" si="51"/>
        <v>32473313.323146265</v>
      </c>
      <c r="J81" s="739">
        <f t="shared" si="48"/>
        <v>974199.39969438792</v>
      </c>
      <c r="K81" s="681">
        <f t="shared" si="53"/>
        <v>192897821.60482335</v>
      </c>
      <c r="L81" s="681">
        <f t="shared" si="52"/>
        <v>276856.04215879511</v>
      </c>
      <c r="M81" s="681">
        <f t="shared" si="54"/>
        <v>822012.17384418356</v>
      </c>
      <c r="N81" s="681">
        <f t="shared" si="49"/>
        <v>192075809.43097916</v>
      </c>
      <c r="O81" s="785">
        <v>3000787.2030542921</v>
      </c>
      <c r="P81" s="681">
        <f t="shared" si="50"/>
        <v>3050600.2706249934</v>
      </c>
      <c r="Q81" s="745"/>
      <c r="R81" s="741"/>
      <c r="S81" s="745"/>
      <c r="T81" s="745"/>
      <c r="U81" s="741"/>
      <c r="V81" s="531"/>
      <c r="W81" s="745"/>
      <c r="X81" s="741"/>
      <c r="Y81" s="531"/>
    </row>
    <row r="82" spans="1:25">
      <c r="A82" s="735">
        <f t="shared" si="35"/>
        <v>56</v>
      </c>
      <c r="C82" s="719" t="str">
        <f t="shared" si="45"/>
        <v>July</v>
      </c>
      <c r="D82" s="1014">
        <v>2016</v>
      </c>
      <c r="E82" s="747">
        <v>25407328.079251051</v>
      </c>
      <c r="F82" s="747">
        <v>11078462.278358333</v>
      </c>
      <c r="G82" s="739">
        <f t="shared" si="46"/>
        <v>1074664.9350669538</v>
      </c>
      <c r="H82" s="681">
        <f t="shared" si="47"/>
        <v>1232282.4588767737</v>
      </c>
      <c r="I82" s="739">
        <f t="shared" si="51"/>
        <v>14171248.277082898</v>
      </c>
      <c r="J82" s="739">
        <f t="shared" si="48"/>
        <v>425137.44831248693</v>
      </c>
      <c r="K82" s="681">
        <f t="shared" si="53"/>
        <v>218572669.60857707</v>
      </c>
      <c r="L82" s="681">
        <f t="shared" si="52"/>
        <v>409581.51036083692</v>
      </c>
      <c r="M82" s="681">
        <f t="shared" si="54"/>
        <v>1231593.6842050205</v>
      </c>
      <c r="N82" s="681">
        <f t="shared" si="49"/>
        <v>217341075.92437205</v>
      </c>
      <c r="O82" s="785">
        <v>3500918.4035633407</v>
      </c>
      <c r="P82" s="681">
        <f t="shared" si="50"/>
        <v>3559033.649062492</v>
      </c>
      <c r="Q82" s="745"/>
      <c r="R82" s="741"/>
      <c r="S82" s="745"/>
      <c r="T82" s="745"/>
      <c r="U82" s="741"/>
      <c r="V82" s="531"/>
      <c r="W82" s="745"/>
      <c r="X82" s="741"/>
      <c r="Y82" s="531"/>
    </row>
    <row r="83" spans="1:25">
      <c r="A83" s="735">
        <f t="shared" si="35"/>
        <v>57</v>
      </c>
      <c r="C83" s="719" t="str">
        <f t="shared" si="45"/>
        <v>August</v>
      </c>
      <c r="D83" s="1014">
        <v>2016</v>
      </c>
      <c r="E83" s="747">
        <v>25407328.079250991</v>
      </c>
      <c r="F83" s="747">
        <v>11078462.278358333</v>
      </c>
      <c r="G83" s="739">
        <f t="shared" si="46"/>
        <v>1074664.9350669493</v>
      </c>
      <c r="H83" s="681">
        <f t="shared" si="47"/>
        <v>1232282.4588767686</v>
      </c>
      <c r="I83" s="739">
        <f t="shared" si="51"/>
        <v>14171248.27708284</v>
      </c>
      <c r="J83" s="739">
        <f t="shared" si="48"/>
        <v>425137.44831248518</v>
      </c>
      <c r="K83" s="681">
        <f t="shared" si="53"/>
        <v>244247517.61233073</v>
      </c>
      <c r="L83" s="681">
        <f t="shared" si="52"/>
        <v>464097.12352937576</v>
      </c>
      <c r="M83" s="681">
        <f t="shared" si="54"/>
        <v>1695690.8077343963</v>
      </c>
      <c r="N83" s="681">
        <f t="shared" si="49"/>
        <v>242551826.80459633</v>
      </c>
      <c r="O83" s="785">
        <v>4001049.6040723892</v>
      </c>
      <c r="P83" s="681">
        <f t="shared" si="50"/>
        <v>4067467.027499991</v>
      </c>
      <c r="Q83" s="745"/>
      <c r="R83" s="741"/>
      <c r="S83" s="745"/>
      <c r="T83" s="745"/>
      <c r="U83" s="741"/>
      <c r="V83" s="531"/>
      <c r="W83" s="745"/>
      <c r="X83" s="741"/>
      <c r="Y83" s="531"/>
    </row>
    <row r="84" spans="1:25">
      <c r="A84" s="735">
        <f t="shared" si="35"/>
        <v>58</v>
      </c>
      <c r="C84" s="719" t="str">
        <f t="shared" si="45"/>
        <v>September</v>
      </c>
      <c r="D84" s="1014">
        <v>2016</v>
      </c>
      <c r="E84" s="747">
        <v>26956254.238342822</v>
      </c>
      <c r="F84" s="747">
        <v>11727388.438358333</v>
      </c>
      <c r="G84" s="739">
        <f t="shared" si="46"/>
        <v>1142164.9349988366</v>
      </c>
      <c r="H84" s="681">
        <f t="shared" si="47"/>
        <v>1309682.458798666</v>
      </c>
      <c r="I84" s="739">
        <f t="shared" si="51"/>
        <v>15061348.276184659</v>
      </c>
      <c r="J84" s="739">
        <f t="shared" si="48"/>
        <v>451840.44828553975</v>
      </c>
      <c r="K84" s="681">
        <f t="shared" si="53"/>
        <v>271488094.77515924</v>
      </c>
      <c r="L84" s="681">
        <f t="shared" si="52"/>
        <v>518612.73669791449</v>
      </c>
      <c r="M84" s="681">
        <f t="shared" si="54"/>
        <v>2214303.5444323109</v>
      </c>
      <c r="N84" s="681">
        <f t="shared" si="49"/>
        <v>269273791.23072696</v>
      </c>
      <c r="O84" s="785">
        <v>4501180.8045814382</v>
      </c>
      <c r="P84" s="681">
        <f t="shared" si="50"/>
        <v>4575900.4059374901</v>
      </c>
      <c r="Q84" s="745"/>
      <c r="R84" s="741"/>
      <c r="S84" s="745"/>
      <c r="T84" s="745"/>
      <c r="U84" s="741"/>
      <c r="V84" s="531"/>
      <c r="W84" s="745"/>
      <c r="X84" s="741"/>
      <c r="Y84" s="531"/>
    </row>
    <row r="85" spans="1:25">
      <c r="A85" s="735">
        <f t="shared" si="35"/>
        <v>59</v>
      </c>
      <c r="C85" s="719" t="str">
        <f t="shared" si="45"/>
        <v xml:space="preserve">October </v>
      </c>
      <c r="D85" s="1014">
        <v>2016</v>
      </c>
      <c r="E85" s="747">
        <v>28346481.609183431</v>
      </c>
      <c r="F85" s="747">
        <v>12567615.808358332</v>
      </c>
      <c r="G85" s="739">
        <f t="shared" si="46"/>
        <v>1183414.9350618823</v>
      </c>
      <c r="H85" s="681">
        <f t="shared" si="47"/>
        <v>1356982.4588709583</v>
      </c>
      <c r="I85" s="739">
        <f t="shared" si="51"/>
        <v>15605298.277016021</v>
      </c>
      <c r="J85" s="739">
        <f t="shared" si="48"/>
        <v>468158.94831048063</v>
      </c>
      <c r="K85" s="681">
        <f t="shared" si="53"/>
        <v>300129167.80884409</v>
      </c>
      <c r="L85" s="681">
        <f t="shared" si="52"/>
        <v>576452.87529890554</v>
      </c>
      <c r="M85" s="681">
        <f t="shared" si="54"/>
        <v>2790756.4197312165</v>
      </c>
      <c r="N85" s="681">
        <f t="shared" si="49"/>
        <v>297338411.38911289</v>
      </c>
      <c r="O85" s="785">
        <v>5001312.0050904863</v>
      </c>
      <c r="P85" s="681">
        <f t="shared" si="50"/>
        <v>5084333.7843749886</v>
      </c>
      <c r="Q85" s="745"/>
      <c r="R85" s="741"/>
      <c r="S85" s="745"/>
      <c r="T85" s="745"/>
      <c r="U85" s="741"/>
      <c r="V85" s="531"/>
      <c r="W85" s="745"/>
      <c r="X85" s="741"/>
      <c r="Y85" s="531"/>
    </row>
    <row r="86" spans="1:25">
      <c r="A86" s="735">
        <f t="shared" si="35"/>
        <v>60</v>
      </c>
      <c r="C86" s="719" t="str">
        <f t="shared" si="45"/>
        <v>November</v>
      </c>
      <c r="D86" s="1014">
        <v>2016</v>
      </c>
      <c r="E86" s="747">
        <v>26846175.701720119</v>
      </c>
      <c r="F86" s="747">
        <v>11117309.898358332</v>
      </c>
      <c r="G86" s="739">
        <f t="shared" si="46"/>
        <v>1179664.935252134</v>
      </c>
      <c r="H86" s="681">
        <f t="shared" si="47"/>
        <v>1352682.4590891139</v>
      </c>
      <c r="I86" s="739">
        <f t="shared" si="51"/>
        <v>15555848.279524809</v>
      </c>
      <c r="J86" s="739">
        <f t="shared" si="48"/>
        <v>466675.44838574424</v>
      </c>
      <c r="K86" s="681">
        <f t="shared" si="53"/>
        <v>327269001.43511295</v>
      </c>
      <c r="L86" s="681">
        <f t="shared" si="52"/>
        <v>637266.69815027958</v>
      </c>
      <c r="M86" s="681">
        <f t="shared" si="54"/>
        <v>3428023.117881496</v>
      </c>
      <c r="N86" s="681">
        <f t="shared" si="49"/>
        <v>323840978.31723148</v>
      </c>
      <c r="O86" s="785">
        <v>5501443.2055995353</v>
      </c>
      <c r="P86" s="681">
        <f t="shared" si="50"/>
        <v>5592767.1628124872</v>
      </c>
      <c r="Q86" s="745"/>
      <c r="R86" s="741"/>
      <c r="S86" s="745"/>
      <c r="T86" s="745"/>
      <c r="U86" s="741"/>
      <c r="V86" s="531"/>
      <c r="W86" s="745"/>
      <c r="X86" s="741"/>
      <c r="Y86" s="531"/>
    </row>
    <row r="87" spans="1:25">
      <c r="A87" s="735">
        <f t="shared" si="35"/>
        <v>61</v>
      </c>
      <c r="C87" s="719" t="str">
        <f t="shared" si="45"/>
        <v>December</v>
      </c>
      <c r="D87" s="1014">
        <v>2016</v>
      </c>
      <c r="E87" s="747">
        <v>41984300.780531585</v>
      </c>
      <c r="F87" s="747">
        <v>21665084.963458322</v>
      </c>
      <c r="G87" s="739">
        <f t="shared" si="46"/>
        <v>1523941.1862804948</v>
      </c>
      <c r="H87" s="681">
        <f t="shared" si="47"/>
        <v>1747452.5602683008</v>
      </c>
      <c r="I87" s="739">
        <f t="shared" si="51"/>
        <v>20095704.443085458</v>
      </c>
      <c r="J87" s="739">
        <f t="shared" si="48"/>
        <v>602871.13329256373</v>
      </c>
      <c r="K87" s="681">
        <f t="shared" si="53"/>
        <v>369632661.97494924</v>
      </c>
      <c r="L87" s="681">
        <f t="shared" si="52"/>
        <v>694892.92718236044</v>
      </c>
      <c r="M87" s="681">
        <f t="shared" si="54"/>
        <v>4122916.0450638565</v>
      </c>
      <c r="N87" s="681">
        <f t="shared" si="49"/>
        <v>365509745.92988539</v>
      </c>
      <c r="O87" s="785">
        <v>6001574.4061085833</v>
      </c>
      <c r="P87" s="681">
        <f t="shared" si="50"/>
        <v>6101200.5412499858</v>
      </c>
      <c r="Q87" s="745"/>
      <c r="R87" s="741"/>
      <c r="S87" s="745"/>
      <c r="T87" s="745"/>
      <c r="U87" s="741"/>
      <c r="V87" s="531"/>
      <c r="W87" s="745"/>
      <c r="X87" s="741"/>
      <c r="Y87" s="531"/>
    </row>
    <row r="88" spans="1:25">
      <c r="A88" s="735">
        <f t="shared" si="35"/>
        <v>62</v>
      </c>
      <c r="C88" s="719" t="str">
        <f t="shared" si="45"/>
        <v>January</v>
      </c>
      <c r="D88" s="1014">
        <v>2017</v>
      </c>
      <c r="E88" s="747">
        <v>15046033.03185755</v>
      </c>
      <c r="F88" s="747">
        <v>0</v>
      </c>
      <c r="G88" s="739">
        <f t="shared" si="46"/>
        <v>1128452.4773893163</v>
      </c>
      <c r="H88" s="681">
        <f t="shared" si="47"/>
        <v>1293958.8407397494</v>
      </c>
      <c r="I88" s="739">
        <f t="shared" si="51"/>
        <v>14880526.668507118</v>
      </c>
      <c r="J88" s="739">
        <f t="shared" si="48"/>
        <v>446415.80005521351</v>
      </c>
      <c r="K88" s="681">
        <f t="shared" si="53"/>
        <v>384959604.44351155</v>
      </c>
      <c r="L88" s="681">
        <f t="shared" si="52"/>
        <v>784844.03147148248</v>
      </c>
      <c r="M88" s="681">
        <f t="shared" si="54"/>
        <v>4907760.0765353385</v>
      </c>
      <c r="N88" s="681">
        <f t="shared" si="49"/>
        <v>380051844.3669762</v>
      </c>
      <c r="O88" s="785">
        <v>6061825.6153953569</v>
      </c>
      <c r="P88" s="681">
        <f t="shared" si="50"/>
        <v>6162451.9206109205</v>
      </c>
      <c r="Q88" s="745"/>
      <c r="R88" s="741"/>
      <c r="S88" s="745"/>
      <c r="T88" s="745"/>
      <c r="U88" s="741"/>
      <c r="V88" s="531"/>
      <c r="W88" s="745"/>
      <c r="X88" s="741"/>
      <c r="Y88" s="531"/>
    </row>
    <row r="89" spans="1:25">
      <c r="A89" s="735">
        <f t="shared" si="35"/>
        <v>63</v>
      </c>
      <c r="C89" s="719" t="str">
        <f t="shared" si="45"/>
        <v>February</v>
      </c>
      <c r="D89" s="1014">
        <v>2017</v>
      </c>
      <c r="E89" s="747">
        <v>16500807.249505818</v>
      </c>
      <c r="F89" s="747">
        <v>779689.29360000009</v>
      </c>
      <c r="G89" s="739">
        <f t="shared" si="46"/>
        <v>1179083.8466929363</v>
      </c>
      <c r="H89" s="681">
        <f t="shared" si="47"/>
        <v>1352016.1442079002</v>
      </c>
      <c r="I89" s="739">
        <f t="shared" si="51"/>
        <v>15548185.658390852</v>
      </c>
      <c r="J89" s="739">
        <f t="shared" si="48"/>
        <v>466445.56975172553</v>
      </c>
      <c r="K89" s="681">
        <f t="shared" si="53"/>
        <v>401753924.96525419</v>
      </c>
      <c r="L89" s="681">
        <f t="shared" si="52"/>
        <v>817387.85282343102</v>
      </c>
      <c r="M89" s="681">
        <f t="shared" si="54"/>
        <v>5725147.9293587692</v>
      </c>
      <c r="N89" s="681">
        <f t="shared" si="49"/>
        <v>396028777.03589541</v>
      </c>
      <c r="O89" s="785">
        <v>6122076.8246821305</v>
      </c>
      <c r="P89" s="681">
        <f t="shared" si="50"/>
        <v>6223703.2999718543</v>
      </c>
      <c r="Q89" s="745"/>
      <c r="R89" s="741"/>
      <c r="S89" s="745"/>
      <c r="T89" s="745"/>
      <c r="U89" s="741"/>
      <c r="V89" s="531"/>
      <c r="W89" s="745"/>
      <c r="X89" s="741"/>
      <c r="Y89" s="531"/>
    </row>
    <row r="90" spans="1:25">
      <c r="A90" s="735">
        <f t="shared" si="35"/>
        <v>64</v>
      </c>
      <c r="C90" s="719" t="str">
        <f t="shared" si="45"/>
        <v>March</v>
      </c>
      <c r="D90" s="1014">
        <v>2017</v>
      </c>
      <c r="E90" s="747">
        <v>16799284.582416058</v>
      </c>
      <c r="F90" s="747">
        <v>949493.5500000004</v>
      </c>
      <c r="G90" s="739">
        <f t="shared" si="46"/>
        <v>1188734.3274312043</v>
      </c>
      <c r="H90" s="681">
        <f t="shared" si="47"/>
        <v>1363082.028787781</v>
      </c>
      <c r="I90" s="739">
        <f t="shared" si="51"/>
        <v>15675443.331059482</v>
      </c>
      <c r="J90" s="739">
        <f t="shared" si="48"/>
        <v>470263.29993178445</v>
      </c>
      <c r="K90" s="681">
        <f t="shared" si="53"/>
        <v>418849125.14624542</v>
      </c>
      <c r="L90" s="681">
        <f t="shared" si="52"/>
        <v>853047.36990637227</v>
      </c>
      <c r="M90" s="681">
        <f t="shared" si="54"/>
        <v>6578195.2992651416</v>
      </c>
      <c r="N90" s="681">
        <f t="shared" si="49"/>
        <v>412270929.84698027</v>
      </c>
      <c r="O90" s="785">
        <v>6182328.0339689041</v>
      </c>
      <c r="P90" s="681">
        <f t="shared" si="50"/>
        <v>6284954.6793327881</v>
      </c>
      <c r="Q90" s="745"/>
      <c r="R90" s="741"/>
      <c r="S90" s="745"/>
      <c r="T90" s="745"/>
      <c r="U90" s="741"/>
      <c r="V90" s="531"/>
      <c r="W90" s="745"/>
      <c r="X90" s="741"/>
      <c r="Y90" s="531"/>
    </row>
    <row r="91" spans="1:25">
      <c r="A91" s="735">
        <f t="shared" si="35"/>
        <v>65</v>
      </c>
      <c r="C91" s="719" t="str">
        <f t="shared" si="45"/>
        <v>April</v>
      </c>
      <c r="D91" s="1014">
        <v>2017</v>
      </c>
      <c r="E91" s="747">
        <v>15046033.03185755</v>
      </c>
      <c r="F91" s="747">
        <v>0</v>
      </c>
      <c r="G91" s="739">
        <f t="shared" si="46"/>
        <v>1128452.4773893163</v>
      </c>
      <c r="H91" s="681">
        <f t="shared" si="47"/>
        <v>1293958.8407397494</v>
      </c>
      <c r="I91" s="739">
        <f t="shared" si="51"/>
        <v>14880526.668507118</v>
      </c>
      <c r="J91" s="739">
        <f t="shared" si="48"/>
        <v>446415.80005521351</v>
      </c>
      <c r="K91" s="681">
        <f t="shared" si="53"/>
        <v>434176067.61480772</v>
      </c>
      <c r="L91" s="681">
        <f t="shared" si="52"/>
        <v>889345.74721202953</v>
      </c>
      <c r="M91" s="681">
        <f t="shared" si="54"/>
        <v>7467541.0464771707</v>
      </c>
      <c r="N91" s="681">
        <f t="shared" si="49"/>
        <v>426708526.56833053</v>
      </c>
      <c r="O91" s="785">
        <v>6242579.2432556786</v>
      </c>
      <c r="P91" s="681">
        <f t="shared" si="50"/>
        <v>6346206.0586937228</v>
      </c>
      <c r="Q91" s="745"/>
      <c r="R91" s="741"/>
      <c r="S91" s="745"/>
      <c r="T91" s="745"/>
      <c r="U91" s="741"/>
      <c r="V91" s="531"/>
      <c r="W91" s="745"/>
      <c r="X91" s="741"/>
      <c r="Y91" s="531"/>
    </row>
    <row r="92" spans="1:25">
      <c r="A92" s="735">
        <f t="shared" si="35"/>
        <v>66</v>
      </c>
      <c r="C92" s="719" t="str">
        <f t="shared" si="45"/>
        <v>May</v>
      </c>
      <c r="D92" s="1014">
        <v>2017</v>
      </c>
      <c r="E92" s="747">
        <v>15046033.03185755</v>
      </c>
      <c r="F92" s="747">
        <v>0</v>
      </c>
      <c r="G92" s="739">
        <f t="shared" si="46"/>
        <v>1128452.4773893163</v>
      </c>
      <c r="H92" s="681">
        <f t="shared" si="47"/>
        <v>1293958.8407397494</v>
      </c>
      <c r="I92" s="739">
        <f t="shared" si="51"/>
        <v>14880526.668507118</v>
      </c>
      <c r="J92" s="739">
        <f t="shared" si="48"/>
        <v>446415.80005521351</v>
      </c>
      <c r="K92" s="681">
        <f t="shared" si="53"/>
        <v>449503010.08337003</v>
      </c>
      <c r="L92" s="681">
        <f t="shared" si="52"/>
        <v>921889.56856397807</v>
      </c>
      <c r="M92" s="681">
        <f t="shared" si="54"/>
        <v>8389430.6150411479</v>
      </c>
      <c r="N92" s="681">
        <f t="shared" si="49"/>
        <v>441113579.46832889</v>
      </c>
      <c r="O92" s="785">
        <v>6302830.4525424521</v>
      </c>
      <c r="P92" s="681">
        <f t="shared" si="50"/>
        <v>6407457.4380546566</v>
      </c>
      <c r="Q92" s="745"/>
      <c r="R92" s="741"/>
      <c r="S92" s="745"/>
      <c r="T92" s="745"/>
      <c r="U92" s="741"/>
      <c r="V92" s="531"/>
      <c r="W92" s="745"/>
      <c r="X92" s="741"/>
      <c r="Y92" s="531"/>
    </row>
    <row r="93" spans="1:25">
      <c r="A93" s="735">
        <f t="shared" si="35"/>
        <v>67</v>
      </c>
      <c r="C93" s="719" t="str">
        <f t="shared" si="45"/>
        <v xml:space="preserve">June </v>
      </c>
      <c r="D93" s="1014">
        <v>2017</v>
      </c>
      <c r="E93" s="747">
        <v>15046033.031857491</v>
      </c>
      <c r="F93" s="747">
        <v>0</v>
      </c>
      <c r="G93" s="739">
        <f t="shared" si="46"/>
        <v>1128452.4773893117</v>
      </c>
      <c r="H93" s="681">
        <f t="shared" si="47"/>
        <v>1293958.8407397442</v>
      </c>
      <c r="I93" s="739">
        <f t="shared" si="51"/>
        <v>14880526.668507058</v>
      </c>
      <c r="J93" s="739">
        <f t="shared" si="48"/>
        <v>446415.8000552117</v>
      </c>
      <c r="K93" s="681">
        <f t="shared" si="53"/>
        <v>464829952.55193228</v>
      </c>
      <c r="L93" s="681">
        <f t="shared" si="52"/>
        <v>954433.3899159265</v>
      </c>
      <c r="M93" s="681">
        <f t="shared" si="54"/>
        <v>9343864.0049570743</v>
      </c>
      <c r="N93" s="681">
        <f t="shared" si="49"/>
        <v>455486088.5469752</v>
      </c>
      <c r="O93" s="785">
        <v>6363081.6618292257</v>
      </c>
      <c r="P93" s="681">
        <f t="shared" si="50"/>
        <v>6468708.8174155913</v>
      </c>
      <c r="Q93" s="745"/>
      <c r="R93" s="741"/>
      <c r="S93" s="745"/>
      <c r="T93" s="745"/>
      <c r="U93" s="741"/>
      <c r="V93" s="531"/>
      <c r="W93" s="745"/>
      <c r="X93" s="741"/>
      <c r="Y93" s="531"/>
    </row>
    <row r="94" spans="1:25">
      <c r="A94" s="735">
        <f t="shared" si="35"/>
        <v>68</v>
      </c>
      <c r="C94" s="719" t="str">
        <f t="shared" si="45"/>
        <v>July</v>
      </c>
      <c r="D94" s="1014">
        <v>2017</v>
      </c>
      <c r="E94" s="747">
        <v>15046033.03185761</v>
      </c>
      <c r="F94" s="747">
        <v>0</v>
      </c>
      <c r="G94" s="739">
        <f t="shared" si="46"/>
        <v>1128452.4773893207</v>
      </c>
      <c r="H94" s="681">
        <f t="shared" si="47"/>
        <v>1293958.8407397545</v>
      </c>
      <c r="I94" s="739">
        <f t="shared" si="51"/>
        <v>14880526.668507176</v>
      </c>
      <c r="J94" s="739">
        <f t="shared" si="48"/>
        <v>446415.80005521525</v>
      </c>
      <c r="K94" s="681">
        <f t="shared" si="53"/>
        <v>480156895.02049464</v>
      </c>
      <c r="L94" s="681">
        <f t="shared" si="52"/>
        <v>986977.21126787493</v>
      </c>
      <c r="M94" s="681">
        <f t="shared" si="54"/>
        <v>10330841.21622495</v>
      </c>
      <c r="N94" s="681">
        <f t="shared" si="49"/>
        <v>469826053.80426967</v>
      </c>
      <c r="O94" s="785">
        <v>6423332.8711159993</v>
      </c>
      <c r="P94" s="681">
        <f t="shared" si="50"/>
        <v>6529960.1967765251</v>
      </c>
      <c r="Q94" s="745"/>
      <c r="R94" s="741"/>
      <c r="S94" s="745"/>
      <c r="T94" s="745"/>
      <c r="U94" s="741"/>
      <c r="V94" s="531"/>
      <c r="W94" s="745"/>
      <c r="X94" s="741"/>
      <c r="Y94" s="531"/>
    </row>
    <row r="95" spans="1:25">
      <c r="A95" s="735">
        <f t="shared" si="35"/>
        <v>69</v>
      </c>
      <c r="C95" s="719" t="str">
        <f t="shared" si="45"/>
        <v>August</v>
      </c>
      <c r="D95" s="1014">
        <v>2017</v>
      </c>
      <c r="E95" s="747">
        <v>15046033.03185755</v>
      </c>
      <c r="F95" s="747">
        <v>0</v>
      </c>
      <c r="G95" s="739">
        <f t="shared" si="46"/>
        <v>1128452.4773893163</v>
      </c>
      <c r="H95" s="681">
        <f t="shared" si="47"/>
        <v>1293958.8407397494</v>
      </c>
      <c r="I95" s="739">
        <f t="shared" si="51"/>
        <v>14880526.668507118</v>
      </c>
      <c r="J95" s="739">
        <f t="shared" si="48"/>
        <v>446415.80005521351</v>
      </c>
      <c r="K95" s="681">
        <f t="shared" si="53"/>
        <v>495483837.48905694</v>
      </c>
      <c r="L95" s="681">
        <f t="shared" si="52"/>
        <v>1019521.0326198234</v>
      </c>
      <c r="M95" s="681">
        <f t="shared" si="54"/>
        <v>11350362.248844773</v>
      </c>
      <c r="N95" s="681">
        <f t="shared" si="49"/>
        <v>484133475.2402122</v>
      </c>
      <c r="O95" s="785">
        <v>6483584.0804027729</v>
      </c>
      <c r="P95" s="681">
        <f t="shared" si="50"/>
        <v>6591211.5761374589</v>
      </c>
      <c r="Q95" s="745"/>
      <c r="R95" s="741"/>
      <c r="S95" s="745"/>
      <c r="T95" s="745"/>
      <c r="U95" s="741"/>
      <c r="V95" s="531"/>
      <c r="W95" s="745"/>
      <c r="X95" s="741"/>
      <c r="Y95" s="531"/>
    </row>
    <row r="96" spans="1:25">
      <c r="A96" s="735">
        <f t="shared" si="35"/>
        <v>70</v>
      </c>
      <c r="C96" s="719" t="str">
        <f t="shared" si="45"/>
        <v>September</v>
      </c>
      <c r="D96" s="1014">
        <v>2017</v>
      </c>
      <c r="E96" s="747">
        <v>15046033.03185755</v>
      </c>
      <c r="F96" s="747">
        <v>0</v>
      </c>
      <c r="G96" s="739">
        <f t="shared" si="46"/>
        <v>1128452.4773893163</v>
      </c>
      <c r="H96" s="681">
        <f t="shared" si="47"/>
        <v>1293958.8407397494</v>
      </c>
      <c r="I96" s="739">
        <f t="shared" si="51"/>
        <v>14880526.668507118</v>
      </c>
      <c r="J96" s="739">
        <f t="shared" si="48"/>
        <v>446415.80005521351</v>
      </c>
      <c r="K96" s="681">
        <f t="shared" si="53"/>
        <v>510810779.95761925</v>
      </c>
      <c r="L96" s="681">
        <f t="shared" si="52"/>
        <v>1052064.8539717719</v>
      </c>
      <c r="M96" s="681">
        <f t="shared" si="54"/>
        <v>12402427.102816544</v>
      </c>
      <c r="N96" s="681">
        <f t="shared" si="49"/>
        <v>498408352.85480273</v>
      </c>
      <c r="O96" s="785">
        <v>6543835.2896895465</v>
      </c>
      <c r="P96" s="681">
        <f t="shared" si="50"/>
        <v>6652462.9554983936</v>
      </c>
      <c r="Q96" s="745"/>
      <c r="R96" s="741"/>
      <c r="S96" s="745"/>
      <c r="T96" s="745"/>
      <c r="U96" s="741"/>
      <c r="V96" s="531"/>
      <c r="W96" s="745"/>
      <c r="X96" s="741"/>
      <c r="Y96" s="531"/>
    </row>
    <row r="97" spans="1:25">
      <c r="A97" s="736">
        <f t="shared" si="35"/>
        <v>71</v>
      </c>
      <c r="C97" s="719" t="str">
        <f t="shared" ref="C97:C99" si="55">C66</f>
        <v>October</v>
      </c>
      <c r="D97" s="1014">
        <v>2017</v>
      </c>
      <c r="E97" s="747">
        <v>15046033.03185755</v>
      </c>
      <c r="F97" s="747">
        <v>0</v>
      </c>
      <c r="G97" s="739">
        <f t="shared" ref="G97:G99" si="56">(E97-F97)*$E$103</f>
        <v>1128452.4773893163</v>
      </c>
      <c r="H97" s="681">
        <f t="shared" ref="H97:H99" si="57">(E97-F97+G97)*$E$107</f>
        <v>1293958.8407397494</v>
      </c>
      <c r="I97" s="739">
        <f t="shared" ref="I97:I99" si="58">E97-F97+G97-H97</f>
        <v>14880526.668507118</v>
      </c>
      <c r="J97" s="739">
        <f t="shared" ref="J97:J99" si="59">I97*$E$111</f>
        <v>446415.80005521351</v>
      </c>
      <c r="K97" s="681">
        <f t="shared" ref="K97:K99" si="60">K96+J97+I97+F97</f>
        <v>526137722.42618155</v>
      </c>
      <c r="L97" s="681">
        <f t="shared" ref="L97:L99" si="61">K96*$E$133/12</f>
        <v>1084608.6753237203</v>
      </c>
      <c r="M97" s="681">
        <f t="shared" ref="M97:M99" si="62">M96+L97</f>
        <v>13487035.778140265</v>
      </c>
      <c r="N97" s="681">
        <f t="shared" ref="N97:N99" si="63">K97-M97</f>
        <v>512650686.64804131</v>
      </c>
      <c r="O97" s="785">
        <v>6604086.49897632</v>
      </c>
      <c r="P97" s="681">
        <f t="shared" ref="P97:P99" si="64">O97*(1-$E$107)*(1+$E$103+$E$111)</f>
        <v>6713714.3348593274</v>
      </c>
      <c r="Q97" s="745"/>
      <c r="R97" s="741"/>
      <c r="S97" s="745"/>
      <c r="T97" s="745"/>
      <c r="U97" s="741"/>
      <c r="V97" s="531"/>
      <c r="W97" s="745"/>
      <c r="X97" s="741"/>
      <c r="Y97" s="531"/>
    </row>
    <row r="98" spans="1:25">
      <c r="A98" s="736">
        <f t="shared" si="35"/>
        <v>72</v>
      </c>
      <c r="C98" s="719" t="str">
        <f t="shared" si="55"/>
        <v>November</v>
      </c>
      <c r="D98" s="1014">
        <v>2017</v>
      </c>
      <c r="E98" s="747">
        <v>50409136.811857462</v>
      </c>
      <c r="F98" s="747">
        <v>6200603.7800000003</v>
      </c>
      <c r="G98" s="739">
        <f t="shared" si="56"/>
        <v>3315639.9773893096</v>
      </c>
      <c r="H98" s="681">
        <f t="shared" si="57"/>
        <v>3801933.8407397415</v>
      </c>
      <c r="I98" s="739">
        <f t="shared" si="58"/>
        <v>43722239.168507025</v>
      </c>
      <c r="J98" s="739">
        <f t="shared" si="59"/>
        <v>1311667.1750552107</v>
      </c>
      <c r="K98" s="681">
        <f t="shared" si="60"/>
        <v>577372232.54974377</v>
      </c>
      <c r="L98" s="681">
        <f t="shared" si="61"/>
        <v>1117152.496675669</v>
      </c>
      <c r="M98" s="681">
        <f t="shared" si="62"/>
        <v>14604188.274815934</v>
      </c>
      <c r="N98" s="681">
        <f t="shared" si="63"/>
        <v>562768044.27492785</v>
      </c>
      <c r="O98" s="785">
        <v>6664337.7082630945</v>
      </c>
      <c r="P98" s="681">
        <f t="shared" si="64"/>
        <v>6774965.7142202621</v>
      </c>
      <c r="Q98" s="745"/>
      <c r="R98" s="741"/>
      <c r="S98" s="745"/>
      <c r="T98" s="745"/>
      <c r="U98" s="741"/>
      <c r="V98" s="531"/>
      <c r="W98" s="745"/>
      <c r="X98" s="741"/>
      <c r="Y98" s="531"/>
    </row>
    <row r="99" spans="1:25">
      <c r="A99" s="736">
        <f t="shared" si="35"/>
        <v>73</v>
      </c>
      <c r="C99" s="719" t="str">
        <f t="shared" si="55"/>
        <v>December</v>
      </c>
      <c r="D99" s="1014">
        <v>2017</v>
      </c>
      <c r="E99" s="747">
        <v>77015043.185064077</v>
      </c>
      <c r="F99" s="747">
        <v>34471393.05779998</v>
      </c>
      <c r="G99" s="739">
        <f t="shared" si="56"/>
        <v>3190773.759544807</v>
      </c>
      <c r="H99" s="681">
        <f t="shared" si="57"/>
        <v>3658753.9109447123</v>
      </c>
      <c r="I99" s="739">
        <f t="shared" si="58"/>
        <v>42075669.975864187</v>
      </c>
      <c r="J99" s="739">
        <f t="shared" si="59"/>
        <v>1262270.0992759257</v>
      </c>
      <c r="K99" s="681">
        <f t="shared" si="60"/>
        <v>655181565.68268383</v>
      </c>
      <c r="L99" s="681">
        <f t="shared" si="61"/>
        <v>1225939.1478904046</v>
      </c>
      <c r="M99" s="681">
        <f t="shared" si="62"/>
        <v>15830127.422706338</v>
      </c>
      <c r="N99" s="681">
        <f t="shared" si="63"/>
        <v>639351438.25997746</v>
      </c>
      <c r="O99" s="785">
        <v>6724588.9175498681</v>
      </c>
      <c r="P99" s="681">
        <f t="shared" si="64"/>
        <v>6836217.0935811959</v>
      </c>
      <c r="Q99" s="745"/>
      <c r="R99" s="741"/>
      <c r="S99" s="745"/>
      <c r="T99" s="745"/>
      <c r="U99" s="741"/>
      <c r="V99" s="531"/>
      <c r="W99" s="745"/>
      <c r="X99" s="741"/>
      <c r="Y99" s="531"/>
    </row>
    <row r="100" spans="1:25">
      <c r="A100" s="735"/>
      <c r="O100" s="741"/>
    </row>
    <row r="101" spans="1:25">
      <c r="A101" s="735"/>
      <c r="B101" s="683" t="s">
        <v>2328</v>
      </c>
      <c r="G101" s="684"/>
    </row>
    <row r="102" spans="1:25">
      <c r="A102" s="737" t="s">
        <v>360</v>
      </c>
      <c r="B102" s="684"/>
      <c r="F102" s="788"/>
    </row>
    <row r="103" spans="1:25">
      <c r="A103" s="735">
        <f>A99+1</f>
        <v>74</v>
      </c>
      <c r="C103" s="748" t="s">
        <v>2320</v>
      </c>
      <c r="E103" s="749">
        <v>7.4999999999999997E-2</v>
      </c>
    </row>
    <row r="105" spans="1:25">
      <c r="A105" s="735"/>
      <c r="B105" s="683" t="s">
        <v>2330</v>
      </c>
    </row>
    <row r="106" spans="1:25">
      <c r="A106" s="737" t="s">
        <v>360</v>
      </c>
      <c r="F106" s="788"/>
    </row>
    <row r="107" spans="1:25">
      <c r="A107" s="735">
        <f>A103+1</f>
        <v>75</v>
      </c>
      <c r="B107" s="683"/>
      <c r="C107" s="680" t="s">
        <v>2321</v>
      </c>
      <c r="E107" s="749">
        <v>0.08</v>
      </c>
    </row>
    <row r="108" spans="1:25">
      <c r="A108" s="735"/>
      <c r="B108" s="684"/>
      <c r="C108" s="680"/>
    </row>
    <row r="109" spans="1:25">
      <c r="B109" s="683" t="s">
        <v>2331</v>
      </c>
    </row>
    <row r="110" spans="1:25">
      <c r="A110" s="737" t="s">
        <v>360</v>
      </c>
      <c r="B110" s="684"/>
      <c r="F110" s="788"/>
    </row>
    <row r="111" spans="1:25">
      <c r="A111" s="735">
        <f>A107+1</f>
        <v>76</v>
      </c>
      <c r="C111" s="680" t="s">
        <v>2322</v>
      </c>
      <c r="E111" s="749">
        <v>0.03</v>
      </c>
    </row>
    <row r="113" spans="1:9">
      <c r="B113" s="683" t="s">
        <v>2329</v>
      </c>
    </row>
    <row r="114" spans="1:9" s="731" customFormat="1">
      <c r="C114" s="743" t="s">
        <v>2379</v>
      </c>
      <c r="F114" s="750"/>
    </row>
    <row r="115" spans="1:9" s="735" customFormat="1">
      <c r="B115" s="731" t="s">
        <v>394</v>
      </c>
      <c r="C115" s="731" t="s">
        <v>378</v>
      </c>
      <c r="D115" s="731" t="s">
        <v>379</v>
      </c>
      <c r="E115" s="731" t="s">
        <v>380</v>
      </c>
      <c r="F115" s="731"/>
    </row>
    <row r="116" spans="1:9" s="731" customFormat="1">
      <c r="C116" s="735" t="s">
        <v>199</v>
      </c>
      <c r="D116" s="738"/>
      <c r="E116" s="1059" t="s">
        <v>2323</v>
      </c>
      <c r="F116" s="738"/>
    </row>
    <row r="117" spans="1:9">
      <c r="A117" s="735"/>
      <c r="B117" s="735"/>
      <c r="C117" s="735" t="str">
        <f>"Prior Year"</f>
        <v>Prior Year</v>
      </c>
      <c r="D117" s="736" t="s">
        <v>2324</v>
      </c>
      <c r="E117" s="736" t="s">
        <v>1526</v>
      </c>
      <c r="F117" s="736" t="s">
        <v>2547</v>
      </c>
    </row>
    <row r="118" spans="1:9">
      <c r="A118" s="731" t="s">
        <v>360</v>
      </c>
      <c r="B118" s="731" t="s">
        <v>2221</v>
      </c>
      <c r="C118" s="731" t="s">
        <v>2325</v>
      </c>
      <c r="D118" s="738" t="s">
        <v>13</v>
      </c>
      <c r="E118" s="738" t="s">
        <v>2324</v>
      </c>
      <c r="F118" s="131" t="s">
        <v>224</v>
      </c>
    </row>
    <row r="119" spans="1:9">
      <c r="A119" s="735">
        <f>A111+1</f>
        <v>77</v>
      </c>
      <c r="B119" s="735">
        <v>350.1</v>
      </c>
      <c r="C119" s="789">
        <f>'17-Depreciation'!C24</f>
        <v>77976654.562520087</v>
      </c>
      <c r="D119" s="1060">
        <f>'18-DepRates'!G6</f>
        <v>0</v>
      </c>
      <c r="E119" s="1061">
        <f>C119*D119</f>
        <v>0</v>
      </c>
      <c r="F119" s="1062" t="s">
        <v>2548</v>
      </c>
      <c r="H119" s="789"/>
      <c r="I119" s="787"/>
    </row>
    <row r="120" spans="1:9">
      <c r="A120" s="735">
        <f>A119+1</f>
        <v>78</v>
      </c>
      <c r="B120" s="735">
        <v>350.2</v>
      </c>
      <c r="C120" s="789">
        <f>'17-Depreciation'!D24</f>
        <v>163072480.04595727</v>
      </c>
      <c r="D120" s="1060">
        <f>'18-DepRates'!G7</f>
        <v>1.66E-2</v>
      </c>
      <c r="E120" s="1061">
        <f t="shared" ref="E120:E128" si="65">C120*D120</f>
        <v>2707003.1687628906</v>
      </c>
      <c r="F120" s="1062" t="s">
        <v>2549</v>
      </c>
      <c r="H120" s="789"/>
      <c r="I120" s="787"/>
    </row>
    <row r="121" spans="1:9">
      <c r="A121" s="735">
        <f t="shared" ref="A121:A133" si="66">A120+1</f>
        <v>79</v>
      </c>
      <c r="B121" s="735">
        <v>352</v>
      </c>
      <c r="C121" s="789">
        <f>'17-Depreciation'!E24</f>
        <v>470458375.7060675</v>
      </c>
      <c r="D121" s="1060">
        <f>'18-DepRates'!G8</f>
        <v>2.5700000000000001E-2</v>
      </c>
      <c r="E121" s="1061">
        <f t="shared" si="65"/>
        <v>12090780.255645934</v>
      </c>
      <c r="F121" s="1062" t="s">
        <v>2550</v>
      </c>
      <c r="H121" s="789"/>
      <c r="I121" s="787"/>
    </row>
    <row r="122" spans="1:9">
      <c r="A122" s="735">
        <f t="shared" si="66"/>
        <v>80</v>
      </c>
      <c r="B122" s="735">
        <v>353</v>
      </c>
      <c r="C122" s="789">
        <f>'17-Depreciation'!F24</f>
        <v>3030177246.8090091</v>
      </c>
      <c r="D122" s="1060">
        <f>'18-DepRates'!G9</f>
        <v>2.47E-2</v>
      </c>
      <c r="E122" s="1061">
        <f t="shared" si="65"/>
        <v>74845377.996182516</v>
      </c>
      <c r="F122" s="1062" t="s">
        <v>2551</v>
      </c>
      <c r="H122" s="789"/>
      <c r="I122" s="787"/>
    </row>
    <row r="123" spans="1:9">
      <c r="A123" s="735">
        <f t="shared" si="66"/>
        <v>81</v>
      </c>
      <c r="B123" s="735">
        <v>354</v>
      </c>
      <c r="C123" s="789">
        <f>'17-Depreciation'!G24</f>
        <v>2164622762.8245416</v>
      </c>
      <c r="D123" s="1060">
        <f>'18-DepRates'!G10</f>
        <v>2.4400000000000002E-2</v>
      </c>
      <c r="E123" s="1061">
        <f t="shared" si="65"/>
        <v>52816795.412918821</v>
      </c>
      <c r="F123" s="1062" t="s">
        <v>2552</v>
      </c>
      <c r="H123" s="789"/>
      <c r="I123" s="787"/>
    </row>
    <row r="124" spans="1:9">
      <c r="A124" s="735">
        <f t="shared" si="66"/>
        <v>82</v>
      </c>
      <c r="B124" s="735">
        <v>355</v>
      </c>
      <c r="C124" s="789">
        <f>'17-Depreciation'!H24</f>
        <v>310678566.28323245</v>
      </c>
      <c r="D124" s="1060">
        <f>'18-DepRates'!G11</f>
        <v>3.6700000000000003E-2</v>
      </c>
      <c r="E124" s="1061">
        <f t="shared" si="65"/>
        <v>11401903.382594632</v>
      </c>
      <c r="F124" s="1062" t="s">
        <v>2553</v>
      </c>
      <c r="H124" s="789"/>
      <c r="I124" s="787"/>
    </row>
    <row r="125" spans="1:9">
      <c r="A125" s="735">
        <f t="shared" si="66"/>
        <v>83</v>
      </c>
      <c r="B125" s="735">
        <v>356</v>
      </c>
      <c r="C125" s="789">
        <f>'17-Depreciation'!I24</f>
        <v>1239646180.7050807</v>
      </c>
      <c r="D125" s="1060">
        <f>'18-DepRates'!G12</f>
        <v>3.0499999999999999E-2</v>
      </c>
      <c r="E125" s="1061">
        <f t="shared" si="65"/>
        <v>37809208.511504963</v>
      </c>
      <c r="F125" s="1062" t="s">
        <v>2554</v>
      </c>
      <c r="H125" s="789"/>
      <c r="I125" s="787"/>
    </row>
    <row r="126" spans="1:9">
      <c r="A126" s="735">
        <f t="shared" si="66"/>
        <v>84</v>
      </c>
      <c r="B126" s="735">
        <v>357</v>
      </c>
      <c r="C126" s="789">
        <f>'17-Depreciation'!J24</f>
        <v>221416.38459709552</v>
      </c>
      <c r="D126" s="1060">
        <f>'18-DepRates'!G13</f>
        <v>1.6500000000000001E-2</v>
      </c>
      <c r="E126" s="1061">
        <f t="shared" si="65"/>
        <v>3653.3703458520763</v>
      </c>
      <c r="F126" s="1062" t="s">
        <v>2555</v>
      </c>
      <c r="H126" s="789"/>
      <c r="I126" s="787"/>
    </row>
    <row r="127" spans="1:9">
      <c r="A127" s="735">
        <f t="shared" si="66"/>
        <v>85</v>
      </c>
      <c r="B127" s="735">
        <v>358</v>
      </c>
      <c r="C127" s="789">
        <f>'17-Depreciation'!K24</f>
        <v>13011928.174370928</v>
      </c>
      <c r="D127" s="1060">
        <f>'18-DepRates'!G14</f>
        <v>3.8699999999999998E-2</v>
      </c>
      <c r="E127" s="1061">
        <f t="shared" si="65"/>
        <v>503561.62034815486</v>
      </c>
      <c r="F127" s="1062" t="s">
        <v>2556</v>
      </c>
      <c r="H127" s="789"/>
      <c r="I127" s="787"/>
    </row>
    <row r="128" spans="1:9">
      <c r="A128" s="735">
        <f t="shared" si="66"/>
        <v>86</v>
      </c>
      <c r="B128" s="735">
        <v>359</v>
      </c>
      <c r="C128" s="789">
        <f>'17-Depreciation'!L24</f>
        <v>187087540.77399367</v>
      </c>
      <c r="D128" s="1060">
        <f>'18-DepRates'!G15</f>
        <v>1.5599999999999999E-2</v>
      </c>
      <c r="E128" s="1061">
        <f t="shared" si="65"/>
        <v>2918565.6360743013</v>
      </c>
      <c r="F128" s="1062" t="s">
        <v>2557</v>
      </c>
      <c r="H128" s="789"/>
      <c r="I128" s="787"/>
    </row>
    <row r="129" spans="1:9">
      <c r="A129" s="735">
        <f t="shared" si="66"/>
        <v>87</v>
      </c>
    </row>
    <row r="130" spans="1:9">
      <c r="A130" s="735">
        <f t="shared" si="66"/>
        <v>88</v>
      </c>
      <c r="C130" s="751" t="s">
        <v>2326</v>
      </c>
      <c r="E130" s="790">
        <f>SUM(E119:E128)</f>
        <v>195096849.35437807</v>
      </c>
      <c r="F130" s="728" t="str">
        <f>"Sum of C"&amp;RIGHT(E115)&amp;" Lines "&amp;A119&amp;" to "&amp;A128</f>
        <v>Sum of C4 Lines 77 to 86</v>
      </c>
    </row>
    <row r="131" spans="1:9">
      <c r="A131" s="735">
        <f t="shared" si="66"/>
        <v>89</v>
      </c>
      <c r="C131" s="728" t="str">
        <f>"Sum of Dec Prior Year Plant"</f>
        <v>Sum of Dec Prior Year Plant</v>
      </c>
      <c r="E131" s="791">
        <f>SUM(C119:C128)</f>
        <v>7656953152.2693701</v>
      </c>
      <c r="F131" s="728" t="str">
        <f>"Sum of C"&amp;RIGHT(C115)&amp;" Lines "&amp;A119&amp;" to "&amp;A128</f>
        <v>Sum of C2 Lines 77 to 86</v>
      </c>
    </row>
    <row r="132" spans="1:9">
      <c r="A132" s="735">
        <f t="shared" si="66"/>
        <v>90</v>
      </c>
    </row>
    <row r="133" spans="1:9">
      <c r="A133" s="735">
        <f t="shared" si="66"/>
        <v>91</v>
      </c>
      <c r="C133" s="728" t="s">
        <v>2327</v>
      </c>
      <c r="E133" s="752">
        <f>E130/E131</f>
        <v>2.5479697403732345E-2</v>
      </c>
      <c r="F133" s="728" t="str">
        <f>"Line "&amp;A130&amp;" / Line "&amp;A131</f>
        <v>Line 88 / Line 89</v>
      </c>
    </row>
    <row r="134" spans="1:9">
      <c r="A134" s="735"/>
    </row>
    <row r="135" spans="1:9">
      <c r="A135" s="735"/>
      <c r="B135" s="727" t="s">
        <v>256</v>
      </c>
      <c r="C135"/>
      <c r="D135"/>
      <c r="E135"/>
      <c r="F135"/>
      <c r="G135"/>
      <c r="H135"/>
      <c r="I135"/>
    </row>
    <row r="136" spans="1:9">
      <c r="A136" s="735"/>
      <c r="B136" s="722" t="s">
        <v>2591</v>
      </c>
      <c r="C136" s="759"/>
      <c r="D136" s="759"/>
      <c r="E136" s="759"/>
      <c r="F136" s="759"/>
      <c r="G136" s="759"/>
      <c r="H136" s="759"/>
      <c r="I136" s="759"/>
    </row>
    <row r="137" spans="1:9">
      <c r="A137" s="735"/>
      <c r="B137" s="722" t="s">
        <v>2601</v>
      </c>
      <c r="C137"/>
      <c r="D137"/>
      <c r="E137"/>
      <c r="F137"/>
      <c r="G137"/>
      <c r="H137"/>
      <c r="I137"/>
    </row>
    <row r="138" spans="1:9">
      <c r="A138" s="735"/>
    </row>
    <row r="139" spans="1:9">
      <c r="A139" s="735"/>
    </row>
    <row r="140" spans="1:9">
      <c r="A140" s="735"/>
    </row>
    <row r="141" spans="1:9">
      <c r="A141" s="735"/>
    </row>
    <row r="142" spans="1:9">
      <c r="A142" s="735"/>
    </row>
    <row r="143" spans="1:9">
      <c r="A143" s="735"/>
    </row>
    <row r="144" spans="1:9">
      <c r="A144" s="735"/>
    </row>
    <row r="145" spans="1:1">
      <c r="A145" s="735"/>
    </row>
    <row r="146" spans="1:1">
      <c r="A146" s="735"/>
    </row>
    <row r="147" spans="1:1">
      <c r="A147" s="735"/>
    </row>
    <row r="148" spans="1:1">
      <c r="A148" s="735"/>
    </row>
    <row r="149" spans="1:1">
      <c r="A149" s="735"/>
    </row>
    <row r="150" spans="1:1">
      <c r="A150" s="735"/>
    </row>
    <row r="151" spans="1:1">
      <c r="A151" s="735"/>
    </row>
    <row r="152" spans="1:1">
      <c r="A152" s="735"/>
    </row>
    <row r="153" spans="1:1">
      <c r="A153" s="735"/>
    </row>
    <row r="154" spans="1:1">
      <c r="A154" s="735"/>
    </row>
    <row r="155" spans="1:1">
      <c r="A155" s="735"/>
    </row>
    <row r="156" spans="1:1">
      <c r="A156" s="735"/>
    </row>
    <row r="157" spans="1:1">
      <c r="A157" s="735"/>
    </row>
    <row r="158" spans="1:1">
      <c r="A158" s="735"/>
    </row>
    <row r="159" spans="1:1">
      <c r="A159" s="735"/>
    </row>
    <row r="160" spans="1:1">
      <c r="A160" s="735"/>
    </row>
    <row r="161" spans="1:1">
      <c r="A161" s="735"/>
    </row>
    <row r="162" spans="1:1">
      <c r="A162" s="735"/>
    </row>
    <row r="163" spans="1:1">
      <c r="A163" s="735"/>
    </row>
    <row r="164" spans="1:1">
      <c r="A164" s="735"/>
    </row>
    <row r="165" spans="1:1">
      <c r="A165" s="735"/>
    </row>
    <row r="166" spans="1:1">
      <c r="A166" s="735"/>
    </row>
    <row r="167" spans="1:1">
      <c r="A167" s="735"/>
    </row>
    <row r="168" spans="1:1">
      <c r="A168" s="735"/>
    </row>
    <row r="169" spans="1:1">
      <c r="A169" s="735"/>
    </row>
    <row r="170" spans="1:1">
      <c r="A170" s="735"/>
    </row>
    <row r="171" spans="1:1">
      <c r="A171" s="735"/>
    </row>
    <row r="172" spans="1:1">
      <c r="A172" s="735"/>
    </row>
    <row r="173" spans="1:1">
      <c r="A173" s="735"/>
    </row>
    <row r="174" spans="1:1">
      <c r="A174" s="735"/>
    </row>
    <row r="175" spans="1:1">
      <c r="A175" s="735"/>
    </row>
    <row r="176" spans="1:1">
      <c r="A176" s="735"/>
    </row>
    <row r="177" spans="1:1">
      <c r="A177" s="735"/>
    </row>
    <row r="178" spans="1:1">
      <c r="A178" s="735"/>
    </row>
    <row r="179" spans="1:1">
      <c r="A179" s="735"/>
    </row>
    <row r="180" spans="1:1">
      <c r="A180" s="735"/>
    </row>
    <row r="181" spans="1:1">
      <c r="A181" s="735"/>
    </row>
    <row r="182" spans="1:1">
      <c r="A182" s="735"/>
    </row>
    <row r="183" spans="1:1">
      <c r="A183" s="735"/>
    </row>
    <row r="184" spans="1:1">
      <c r="A184" s="735"/>
    </row>
    <row r="185" spans="1:1">
      <c r="A185" s="735"/>
    </row>
    <row r="186" spans="1:1">
      <c r="A186" s="735"/>
    </row>
    <row r="187" spans="1:1">
      <c r="A187" s="735"/>
    </row>
    <row r="188" spans="1:1">
      <c r="A188" s="735"/>
    </row>
    <row r="189" spans="1:1">
      <c r="A189" s="735"/>
    </row>
    <row r="190" spans="1:1">
      <c r="A190" s="735"/>
    </row>
    <row r="191" spans="1:1">
      <c r="A191" s="735"/>
    </row>
    <row r="192" spans="1:1">
      <c r="A192" s="735"/>
    </row>
    <row r="193" spans="1:1">
      <c r="A193" s="735"/>
    </row>
    <row r="194" spans="1:1">
      <c r="A194" s="735"/>
    </row>
    <row r="195" spans="1:1">
      <c r="A195" s="735"/>
    </row>
    <row r="196" spans="1:1">
      <c r="A196" s="735"/>
    </row>
    <row r="197" spans="1:1">
      <c r="A197" s="735"/>
    </row>
    <row r="198" spans="1:1">
      <c r="A198" s="735"/>
    </row>
    <row r="199" spans="1:1">
      <c r="A199" s="735"/>
    </row>
    <row r="200" spans="1:1">
      <c r="A200" s="735"/>
    </row>
    <row r="201" spans="1:1">
      <c r="A201" s="735"/>
    </row>
    <row r="202" spans="1:1">
      <c r="A202" s="735"/>
    </row>
    <row r="203" spans="1:1">
      <c r="A203" s="735"/>
    </row>
    <row r="204" spans="1:1">
      <c r="A204" s="735"/>
    </row>
  </sheetData>
  <pageMargins left="0.7" right="0.7" top="0.75" bottom="0.75" header="0.3" footer="0.3"/>
  <pageSetup scale="55" orientation="landscape" cellComments="asDisplayed" r:id="rId1"/>
  <headerFooter>
    <oddHeader>&amp;CSchedule 16
Plant Additions
&amp;RTO11 Draft Annual Update
Attachment 1</oddHeader>
    <oddFooter>&amp;R16-PlantAdditions</oddFooter>
  </headerFooter>
  <rowBreaks count="1" manualBreakCount="1">
    <brk id="69"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Normal="100" workbookViewId="0"/>
  </sheetViews>
  <sheetFormatPr defaultRowHeight="12.75"/>
  <cols>
    <col min="1" max="1" width="4.7109375" customWidth="1"/>
    <col min="3" max="5" width="14.7109375" customWidth="1"/>
    <col min="6" max="6" width="15.5703125" customWidth="1"/>
    <col min="7" max="13" width="14.7109375" customWidth="1"/>
  </cols>
  <sheetData>
    <row r="1" spans="1:13">
      <c r="A1" s="1" t="s">
        <v>276</v>
      </c>
      <c r="B1" s="241"/>
      <c r="C1" s="241"/>
      <c r="D1" s="241"/>
      <c r="E1" s="241"/>
      <c r="F1" s="241"/>
      <c r="G1" s="241"/>
      <c r="H1" s="241"/>
      <c r="I1" s="574" t="s">
        <v>497</v>
      </c>
      <c r="J1" s="195"/>
      <c r="K1" s="241"/>
      <c r="L1" s="241"/>
      <c r="M1" s="241"/>
    </row>
    <row r="2" spans="1:13">
      <c r="A2" s="241"/>
      <c r="B2" s="241"/>
      <c r="C2" s="241"/>
      <c r="D2" s="241"/>
      <c r="E2" s="241"/>
      <c r="F2" s="241"/>
      <c r="G2" s="241"/>
      <c r="H2" s="241"/>
      <c r="K2" s="241"/>
      <c r="L2" s="241"/>
      <c r="M2" s="241"/>
    </row>
    <row r="3" spans="1:13">
      <c r="A3" s="241"/>
      <c r="B3" s="1" t="s">
        <v>1063</v>
      </c>
      <c r="C3" s="241"/>
      <c r="D3" s="241"/>
      <c r="E3" s="241"/>
      <c r="F3" s="241"/>
      <c r="G3" s="241"/>
      <c r="H3" s="251"/>
      <c r="I3" s="1039" t="s">
        <v>1986</v>
      </c>
      <c r="J3" s="429">
        <v>2015</v>
      </c>
      <c r="K3" s="241"/>
      <c r="L3" s="241"/>
      <c r="M3" s="241"/>
    </row>
    <row r="4" spans="1:13">
      <c r="A4" s="241"/>
      <c r="B4" s="241"/>
      <c r="C4" s="241"/>
      <c r="D4" s="241"/>
      <c r="E4" s="241"/>
      <c r="F4" s="241"/>
      <c r="G4" s="241"/>
      <c r="H4" s="251"/>
      <c r="I4" s="251"/>
      <c r="J4" s="241"/>
      <c r="K4" s="241"/>
      <c r="L4" s="241"/>
      <c r="M4" s="241"/>
    </row>
    <row r="5" spans="1:13">
      <c r="A5" s="241"/>
      <c r="B5" s="522" t="s">
        <v>1066</v>
      </c>
      <c r="C5" s="241"/>
      <c r="D5" s="241"/>
      <c r="E5" s="241"/>
      <c r="F5" s="241"/>
      <c r="G5" s="241"/>
      <c r="H5" s="524" t="s">
        <v>2065</v>
      </c>
      <c r="I5" s="251"/>
      <c r="J5" s="241"/>
      <c r="K5" s="241"/>
      <c r="L5" s="241"/>
      <c r="M5" s="241"/>
    </row>
    <row r="6" spans="1:13">
      <c r="A6" s="241"/>
      <c r="B6" s="241"/>
      <c r="C6" s="241"/>
      <c r="D6" s="241"/>
      <c r="E6" s="241"/>
      <c r="F6" s="241"/>
      <c r="G6" s="241"/>
      <c r="H6" s="241"/>
      <c r="I6" s="241"/>
      <c r="J6" s="241"/>
      <c r="K6" s="241"/>
      <c r="L6" s="241"/>
      <c r="M6" s="241"/>
    </row>
    <row r="7" spans="1:13">
      <c r="A7" s="241"/>
      <c r="B7" s="91" t="s">
        <v>394</v>
      </c>
      <c r="C7" s="91" t="s">
        <v>378</v>
      </c>
      <c r="D7" s="91" t="s">
        <v>379</v>
      </c>
      <c r="E7" s="91" t="s">
        <v>380</v>
      </c>
      <c r="F7" s="91" t="s">
        <v>381</v>
      </c>
      <c r="G7" s="91" t="s">
        <v>382</v>
      </c>
      <c r="H7" s="91" t="s">
        <v>383</v>
      </c>
      <c r="I7" s="91" t="s">
        <v>596</v>
      </c>
      <c r="J7" s="91" t="s">
        <v>1045</v>
      </c>
      <c r="K7" s="91" t="s">
        <v>1061</v>
      </c>
      <c r="L7" s="91" t="s">
        <v>1064</v>
      </c>
      <c r="M7" s="91" t="s">
        <v>1082</v>
      </c>
    </row>
    <row r="8" spans="1:13">
      <c r="A8" s="241"/>
      <c r="B8" s="262"/>
      <c r="C8" s="241"/>
      <c r="D8" s="241"/>
      <c r="E8" s="241"/>
      <c r="F8" s="241"/>
      <c r="G8" s="241"/>
      <c r="H8" s="241"/>
      <c r="I8" s="241"/>
      <c r="J8" s="241"/>
      <c r="K8" s="241"/>
      <c r="L8" s="241"/>
      <c r="M8" s="241"/>
    </row>
    <row r="9" spans="1:13">
      <c r="A9" s="241"/>
      <c r="B9" s="117"/>
      <c r="C9" s="575" t="s">
        <v>12</v>
      </c>
      <c r="D9" s="241"/>
      <c r="E9" s="241"/>
      <c r="F9" s="241"/>
      <c r="G9" s="241"/>
      <c r="H9" s="241"/>
      <c r="I9" s="241"/>
      <c r="J9" s="241"/>
      <c r="K9" s="241"/>
      <c r="L9" s="241"/>
      <c r="M9" s="241"/>
    </row>
    <row r="10" spans="1:13">
      <c r="A10" s="241"/>
      <c r="B10" s="117"/>
      <c r="C10" s="575" t="s">
        <v>1062</v>
      </c>
      <c r="D10" s="241"/>
      <c r="E10" s="241"/>
      <c r="F10" s="241"/>
      <c r="G10" s="241"/>
      <c r="H10" s="241"/>
      <c r="I10" s="241"/>
      <c r="J10" s="241"/>
      <c r="K10" s="241"/>
      <c r="L10" s="241"/>
      <c r="M10" s="241"/>
    </row>
    <row r="11" spans="1:13">
      <c r="A11" s="52" t="s">
        <v>360</v>
      </c>
      <c r="B11" s="131" t="s">
        <v>2034</v>
      </c>
      <c r="C11" s="91">
        <v>350.1</v>
      </c>
      <c r="D11" s="91">
        <v>350.2</v>
      </c>
      <c r="E11" s="91">
        <v>352</v>
      </c>
      <c r="F11" s="91">
        <v>353</v>
      </c>
      <c r="G11" s="91">
        <v>354</v>
      </c>
      <c r="H11" s="91">
        <v>355</v>
      </c>
      <c r="I11" s="91">
        <v>356</v>
      </c>
      <c r="J11" s="91">
        <v>357</v>
      </c>
      <c r="K11" s="91">
        <v>358</v>
      </c>
      <c r="L11" s="91">
        <v>359</v>
      </c>
      <c r="M11" s="3" t="s">
        <v>215</v>
      </c>
    </row>
    <row r="12" spans="1:13">
      <c r="A12" s="645">
        <v>1</v>
      </c>
      <c r="B12" s="1138" t="s">
        <v>2822</v>
      </c>
      <c r="C12" s="243">
        <f>'6-PlantInService'!C11</f>
        <v>75785254.841655239</v>
      </c>
      <c r="D12" s="243">
        <f>'6-PlantInService'!D11</f>
        <v>158395946.88183823</v>
      </c>
      <c r="E12" s="243">
        <f>'6-PlantInService'!E11</f>
        <v>428326101.32161003</v>
      </c>
      <c r="F12" s="243">
        <f>'6-PlantInService'!F11</f>
        <v>2920111450.3465052</v>
      </c>
      <c r="G12" s="243">
        <f>'6-PlantInService'!G11</f>
        <v>1785929479.0087991</v>
      </c>
      <c r="H12" s="243">
        <f>'6-PlantInService'!H11</f>
        <v>230528300.50074962</v>
      </c>
      <c r="I12" s="243">
        <f>'6-PlantInService'!I11</f>
        <v>1044386520.5319836</v>
      </c>
      <c r="J12" s="243">
        <f>'6-PlantInService'!J11</f>
        <v>217200.87850578071</v>
      </c>
      <c r="K12" s="243">
        <f>'6-PlantInService'!K11</f>
        <v>12994313.505309969</v>
      </c>
      <c r="L12" s="243">
        <f>'6-PlantInService'!L11</f>
        <v>79700253.931008279</v>
      </c>
      <c r="M12" s="243">
        <f>'6-PlantInService'!M11</f>
        <v>6736374821.7479649</v>
      </c>
    </row>
    <row r="13" spans="1:13">
      <c r="A13" s="645">
        <f>A12+1</f>
        <v>2</v>
      </c>
      <c r="B13" s="1138" t="s">
        <v>2916</v>
      </c>
      <c r="C13" s="243">
        <f>'6-PlantInService'!C12</f>
        <v>75785254.841655239</v>
      </c>
      <c r="D13" s="243">
        <f>'6-PlantInService'!D12</f>
        <v>158393913.60788622</v>
      </c>
      <c r="E13" s="243">
        <f>'6-PlantInService'!E12</f>
        <v>430854178.52382964</v>
      </c>
      <c r="F13" s="243">
        <f>'6-PlantInService'!F12</f>
        <v>2923748335.3822737</v>
      </c>
      <c r="G13" s="243">
        <f>'6-PlantInService'!G12</f>
        <v>1810686562.5425971</v>
      </c>
      <c r="H13" s="243">
        <f>'6-PlantInService'!H12</f>
        <v>233291260.67757279</v>
      </c>
      <c r="I13" s="243">
        <f>'6-PlantInService'!I12</f>
        <v>1071288003.6418992</v>
      </c>
      <c r="J13" s="243">
        <f>'6-PlantInService'!J12</f>
        <v>222641.74806988557</v>
      </c>
      <c r="K13" s="243">
        <f>'6-PlantInService'!K12</f>
        <v>12994563.570267964</v>
      </c>
      <c r="L13" s="243">
        <f>'6-PlantInService'!L12</f>
        <v>80907972.023239583</v>
      </c>
      <c r="M13" s="243">
        <f>'6-PlantInService'!M12</f>
        <v>6798172686.5592909</v>
      </c>
    </row>
    <row r="14" spans="1:13">
      <c r="A14" s="645">
        <f t="shared" ref="A14:A77" si="0">A13+1</f>
        <v>3</v>
      </c>
      <c r="B14" s="1138" t="s">
        <v>2917</v>
      </c>
      <c r="C14" s="243">
        <f>'6-PlantInService'!C13</f>
        <v>75783589.986705318</v>
      </c>
      <c r="D14" s="243">
        <f>'6-PlantInService'!D13</f>
        <v>158530514.04414147</v>
      </c>
      <c r="E14" s="243">
        <f>'6-PlantInService'!E13</f>
        <v>432978022.59871209</v>
      </c>
      <c r="F14" s="243">
        <f>'6-PlantInService'!F13</f>
        <v>2928852611.5090098</v>
      </c>
      <c r="G14" s="243">
        <f>'6-PlantInService'!G13</f>
        <v>1805267699.0667598</v>
      </c>
      <c r="H14" s="243">
        <f>'6-PlantInService'!H13</f>
        <v>233549930.77781689</v>
      </c>
      <c r="I14" s="243">
        <f>'6-PlantInService'!I13</f>
        <v>1071676063.5525274</v>
      </c>
      <c r="J14" s="243">
        <f>'6-PlantInService'!J13</f>
        <v>223065.21123206863</v>
      </c>
      <c r="K14" s="243">
        <f>'6-PlantInService'!K13</f>
        <v>12994592.202802476</v>
      </c>
      <c r="L14" s="243">
        <f>'6-PlantInService'!L13</f>
        <v>81692835.410011917</v>
      </c>
      <c r="M14" s="243">
        <f>'6-PlantInService'!M13</f>
        <v>6801548924.3597202</v>
      </c>
    </row>
    <row r="15" spans="1:13">
      <c r="A15" s="645">
        <f t="shared" si="0"/>
        <v>4</v>
      </c>
      <c r="B15" s="1138" t="s">
        <v>2918</v>
      </c>
      <c r="C15" s="243">
        <f>'6-PlantInService'!C14</f>
        <v>75783589.986705318</v>
      </c>
      <c r="D15" s="243">
        <f>'6-PlantInService'!D14</f>
        <v>158542220.65136147</v>
      </c>
      <c r="E15" s="243">
        <f>'6-PlantInService'!E14</f>
        <v>435911133.72726548</v>
      </c>
      <c r="F15" s="243">
        <f>'6-PlantInService'!F14</f>
        <v>2934678810.63378</v>
      </c>
      <c r="G15" s="243">
        <f>'6-PlantInService'!G14</f>
        <v>2024063364.6380355</v>
      </c>
      <c r="H15" s="243">
        <f>'6-PlantInService'!H14</f>
        <v>294018465.6880011</v>
      </c>
      <c r="I15" s="243">
        <f>'6-PlantInService'!I14</f>
        <v>1176607716.5039763</v>
      </c>
      <c r="J15" s="243">
        <f>'6-PlantInService'!J14</f>
        <v>223066.59221167566</v>
      </c>
      <c r="K15" s="243">
        <f>'6-PlantInService'!K14</f>
        <v>12994568.957423186</v>
      </c>
      <c r="L15" s="243">
        <f>'6-PlantInService'!L14</f>
        <v>105456407.92515475</v>
      </c>
      <c r="M15" s="243">
        <f>'6-PlantInService'!M14</f>
        <v>7218279345.3039141</v>
      </c>
    </row>
    <row r="16" spans="1:13">
      <c r="A16" s="645">
        <f t="shared" si="0"/>
        <v>5</v>
      </c>
      <c r="B16" s="1138" t="s">
        <v>2919</v>
      </c>
      <c r="C16" s="243">
        <f>'6-PlantInService'!C15</f>
        <v>75783589.986705318</v>
      </c>
      <c r="D16" s="243">
        <f>'6-PlantInService'!D15</f>
        <v>158545021.38209924</v>
      </c>
      <c r="E16" s="243">
        <f>'6-PlantInService'!E15</f>
        <v>433536681.85036969</v>
      </c>
      <c r="F16" s="243">
        <f>'6-PlantInService'!F15</f>
        <v>2936934027.8307748</v>
      </c>
      <c r="G16" s="243">
        <f>'6-PlantInService'!G15</f>
        <v>2136429969.8974938</v>
      </c>
      <c r="H16" s="243">
        <f>'6-PlantInService'!H15</f>
        <v>300721390.34716249</v>
      </c>
      <c r="I16" s="243">
        <f>'6-PlantInService'!I15</f>
        <v>1213791283.8935664</v>
      </c>
      <c r="J16" s="243">
        <f>'6-PlantInService'!J15</f>
        <v>223066.56988421237</v>
      </c>
      <c r="K16" s="243">
        <f>'6-PlantInService'!K15</f>
        <v>12994564.413448175</v>
      </c>
      <c r="L16" s="243">
        <f>'6-PlantInService'!L15</f>
        <v>180454172.55307227</v>
      </c>
      <c r="M16" s="243">
        <f>'6-PlantInService'!M15</f>
        <v>7449413768.724576</v>
      </c>
    </row>
    <row r="17" spans="1:14">
      <c r="A17" s="645">
        <f t="shared" si="0"/>
        <v>6</v>
      </c>
      <c r="B17" s="1138" t="s">
        <v>2920</v>
      </c>
      <c r="C17" s="243">
        <f>'6-PlantInService'!C16</f>
        <v>75783589.986705318</v>
      </c>
      <c r="D17" s="243">
        <f>'6-PlantInService'!D16</f>
        <v>158559038.05464047</v>
      </c>
      <c r="E17" s="243">
        <f>'6-PlantInService'!E16</f>
        <v>433951439.50348222</v>
      </c>
      <c r="F17" s="243">
        <f>'6-PlantInService'!F16</f>
        <v>2943551475.1579118</v>
      </c>
      <c r="G17" s="243">
        <f>'6-PlantInService'!G16</f>
        <v>2141924102.8784771</v>
      </c>
      <c r="H17" s="243">
        <f>'6-PlantInService'!H16</f>
        <v>301811258.50151992</v>
      </c>
      <c r="I17" s="243">
        <f>'6-PlantInService'!I16</f>
        <v>1215149175.7756546</v>
      </c>
      <c r="J17" s="243">
        <f>'6-PlantInService'!J16</f>
        <v>223067.51660215104</v>
      </c>
      <c r="K17" s="243">
        <f>'6-PlantInService'!K16</f>
        <v>12994463.817589644</v>
      </c>
      <c r="L17" s="243">
        <f>'6-PlantInService'!L16</f>
        <v>181538743.81998155</v>
      </c>
      <c r="M17" s="243">
        <f>'6-PlantInService'!M16</f>
        <v>7465486355.0125656</v>
      </c>
    </row>
    <row r="18" spans="1:14">
      <c r="A18" s="645">
        <f t="shared" si="0"/>
        <v>7</v>
      </c>
      <c r="B18" s="1138" t="s">
        <v>2921</v>
      </c>
      <c r="C18" s="243">
        <f>'6-PlantInService'!C17</f>
        <v>76940165.006705299</v>
      </c>
      <c r="D18" s="243">
        <f>'6-PlantInService'!D17</f>
        <v>157454244.38424909</v>
      </c>
      <c r="E18" s="243">
        <f>'6-PlantInService'!E17</f>
        <v>431926231.40199</v>
      </c>
      <c r="F18" s="243">
        <f>'6-PlantInService'!F17</f>
        <v>2960227011.3396783</v>
      </c>
      <c r="G18" s="243">
        <f>'6-PlantInService'!G17</f>
        <v>2142167377.819659</v>
      </c>
      <c r="H18" s="243">
        <f>'6-PlantInService'!H17</f>
        <v>302322469.2649579</v>
      </c>
      <c r="I18" s="243">
        <f>'6-PlantInService'!I17</f>
        <v>1214758918.7972777</v>
      </c>
      <c r="J18" s="243">
        <f>'6-PlantInService'!J17</f>
        <v>223054.77282125127</v>
      </c>
      <c r="K18" s="243">
        <f>'6-PlantInService'!K17</f>
        <v>12994453.116703399</v>
      </c>
      <c r="L18" s="243">
        <f>'6-PlantInService'!L17</f>
        <v>181871279.738271</v>
      </c>
      <c r="M18" s="243">
        <f>'6-PlantInService'!M17</f>
        <v>7480885205.642312</v>
      </c>
    </row>
    <row r="19" spans="1:14">
      <c r="A19" s="645">
        <f t="shared" si="0"/>
        <v>8</v>
      </c>
      <c r="B19" s="1138" t="s">
        <v>2922</v>
      </c>
      <c r="C19" s="243">
        <f>'6-PlantInService'!C18</f>
        <v>77239552.742564961</v>
      </c>
      <c r="D19" s="243">
        <f>'6-PlantInService'!D18</f>
        <v>163291285.83213547</v>
      </c>
      <c r="E19" s="243">
        <f>'6-PlantInService'!E18</f>
        <v>433928451.39680159</v>
      </c>
      <c r="F19" s="243">
        <f>'6-PlantInService'!F18</f>
        <v>2967188639.5644875</v>
      </c>
      <c r="G19" s="243">
        <f>'6-PlantInService'!G18</f>
        <v>2143502829.0113854</v>
      </c>
      <c r="H19" s="243">
        <f>'6-PlantInService'!H18</f>
        <v>303445317.4293406</v>
      </c>
      <c r="I19" s="243">
        <f>'6-PlantInService'!I18</f>
        <v>1215763312.6703141</v>
      </c>
      <c r="J19" s="243">
        <f>'6-PlantInService'!J18</f>
        <v>224236.97400203452</v>
      </c>
      <c r="K19" s="243">
        <f>'6-PlantInService'!K18</f>
        <v>12995491.085082794</v>
      </c>
      <c r="L19" s="243">
        <f>'6-PlantInService'!L18</f>
        <v>182253971.46544811</v>
      </c>
      <c r="M19" s="243">
        <f>'6-PlantInService'!M18</f>
        <v>7499833088.1715622</v>
      </c>
    </row>
    <row r="20" spans="1:14">
      <c r="A20" s="645">
        <f t="shared" si="0"/>
        <v>9</v>
      </c>
      <c r="B20" s="1138" t="s">
        <v>2923</v>
      </c>
      <c r="C20" s="243">
        <f>'6-PlantInService'!C19</f>
        <v>77239552.742564961</v>
      </c>
      <c r="D20" s="243">
        <f>'6-PlantInService'!D19</f>
        <v>163336309.8632524</v>
      </c>
      <c r="E20" s="243">
        <f>'6-PlantInService'!E19</f>
        <v>435073003.50390124</v>
      </c>
      <c r="F20" s="243">
        <f>'6-PlantInService'!F19</f>
        <v>2969788939.3177238</v>
      </c>
      <c r="G20" s="243">
        <f>'6-PlantInService'!G19</f>
        <v>2153448155.4097128</v>
      </c>
      <c r="H20" s="243">
        <f>'6-PlantInService'!H19</f>
        <v>304706546.78093851</v>
      </c>
      <c r="I20" s="243">
        <f>'6-PlantInService'!I19</f>
        <v>1230860738.2522912</v>
      </c>
      <c r="J20" s="243">
        <f>'6-PlantInService'!J19</f>
        <v>224237.9253564697</v>
      </c>
      <c r="K20" s="243">
        <f>'6-PlantInService'!K19</f>
        <v>12995288.634380324</v>
      </c>
      <c r="L20" s="243">
        <f>'6-PlantInService'!L19</f>
        <v>185177270.47178671</v>
      </c>
      <c r="M20" s="243">
        <f>'6-PlantInService'!M19</f>
        <v>7532850042.9019079</v>
      </c>
    </row>
    <row r="21" spans="1:14">
      <c r="A21" s="645">
        <f t="shared" si="0"/>
        <v>10</v>
      </c>
      <c r="B21" s="1138" t="s">
        <v>2924</v>
      </c>
      <c r="C21" s="243">
        <f>'6-PlantInService'!C20</f>
        <v>77240122.456316486</v>
      </c>
      <c r="D21" s="243">
        <f>'6-PlantInService'!D20</f>
        <v>163362164.67443866</v>
      </c>
      <c r="E21" s="243">
        <f>'6-PlantInService'!E20</f>
        <v>435905860.94337583</v>
      </c>
      <c r="F21" s="243">
        <f>'6-PlantInService'!F20</f>
        <v>2965706099.1937604</v>
      </c>
      <c r="G21" s="243">
        <f>'6-PlantInService'!G20</f>
        <v>2155063856.8020291</v>
      </c>
      <c r="H21" s="243">
        <f>'6-PlantInService'!H20</f>
        <v>305336716.67301041</v>
      </c>
      <c r="I21" s="243">
        <f>'6-PlantInService'!I20</f>
        <v>1231821172.681124</v>
      </c>
      <c r="J21" s="243">
        <f>'6-PlantInService'!J20</f>
        <v>224520.79200639005</v>
      </c>
      <c r="K21" s="243">
        <f>'6-PlantInService'!K20</f>
        <v>12995627.630158862</v>
      </c>
      <c r="L21" s="243">
        <f>'6-PlantInService'!L20</f>
        <v>185618907.07518786</v>
      </c>
      <c r="M21" s="243">
        <f>'6-PlantInService'!M20</f>
        <v>7533275048.9214077</v>
      </c>
    </row>
    <row r="22" spans="1:14">
      <c r="A22" s="645">
        <f t="shared" si="0"/>
        <v>11</v>
      </c>
      <c r="B22" s="1138" t="s">
        <v>2925</v>
      </c>
      <c r="C22" s="243">
        <f>'6-PlantInService'!C21</f>
        <v>79088202.881294325</v>
      </c>
      <c r="D22" s="243">
        <f>'6-PlantInService'!D21</f>
        <v>163057904.7225121</v>
      </c>
      <c r="E22" s="243">
        <f>'6-PlantInService'!E21</f>
        <v>454131466.06797838</v>
      </c>
      <c r="F22" s="243">
        <f>'6-PlantInService'!F21</f>
        <v>3008870879.9730649</v>
      </c>
      <c r="G22" s="243">
        <f>'6-PlantInService'!G21</f>
        <v>2155746979.7468605</v>
      </c>
      <c r="H22" s="243">
        <f>'6-PlantInService'!H21</f>
        <v>306166976.81122875</v>
      </c>
      <c r="I22" s="243">
        <f>'6-PlantInService'!I21</f>
        <v>1232286649.9401543</v>
      </c>
      <c r="J22" s="243">
        <f>'6-PlantInService'!J21</f>
        <v>221513.03455308356</v>
      </c>
      <c r="K22" s="243">
        <f>'6-PlantInService'!K21</f>
        <v>12992012.695824396</v>
      </c>
      <c r="L22" s="243">
        <f>'6-PlantInService'!L21</f>
        <v>185718061.58035472</v>
      </c>
      <c r="M22" s="243">
        <f>'6-PlantInService'!M21</f>
        <v>7598280647.453826</v>
      </c>
    </row>
    <row r="23" spans="1:14">
      <c r="A23" s="645">
        <f t="shared" si="0"/>
        <v>12</v>
      </c>
      <c r="B23" s="1138" t="s">
        <v>2926</v>
      </c>
      <c r="C23" s="243">
        <f>'6-PlantInService'!C22</f>
        <v>77240122.456316486</v>
      </c>
      <c r="D23" s="243">
        <f>'6-PlantInService'!D22</f>
        <v>163176954.84262165</v>
      </c>
      <c r="E23" s="243">
        <f>'6-PlantInService'!E22</f>
        <v>455929657.24803406</v>
      </c>
      <c r="F23" s="243">
        <f>'6-PlantInService'!F22</f>
        <v>3010610363.5731421</v>
      </c>
      <c r="G23" s="243">
        <f>'6-PlantInService'!G22</f>
        <v>2156817869.5306172</v>
      </c>
      <c r="H23" s="243">
        <f>'6-PlantInService'!H22</f>
        <v>306985659.84465986</v>
      </c>
      <c r="I23" s="243">
        <f>'6-PlantInService'!I22</f>
        <v>1232077542.365628</v>
      </c>
      <c r="J23" s="243">
        <f>'6-PlantInService'!J22</f>
        <v>221357.38372446425</v>
      </c>
      <c r="K23" s="243">
        <f>'6-PlantInService'!K22</f>
        <v>13010565.592296176</v>
      </c>
      <c r="L23" s="243">
        <f>'6-PlantInService'!L22</f>
        <v>185945908.2582753</v>
      </c>
      <c r="M23" s="243">
        <f>'6-PlantInService'!M22</f>
        <v>7602016001.0953159</v>
      </c>
    </row>
    <row r="24" spans="1:14">
      <c r="A24" s="645">
        <f t="shared" si="0"/>
        <v>13</v>
      </c>
      <c r="B24" s="1138" t="s">
        <v>2927</v>
      </c>
      <c r="C24" s="243">
        <f>'6-PlantInService'!C23</f>
        <v>77976654.562520087</v>
      </c>
      <c r="D24" s="243">
        <f>'6-PlantInService'!D23</f>
        <v>163072480.04595727</v>
      </c>
      <c r="E24" s="243">
        <f>'6-PlantInService'!E23</f>
        <v>470458375.7060675</v>
      </c>
      <c r="F24" s="243">
        <f>'6-PlantInService'!F23</f>
        <v>3030177246.8090091</v>
      </c>
      <c r="G24" s="243">
        <f>'6-PlantInService'!G23</f>
        <v>2164622762.8245416</v>
      </c>
      <c r="H24" s="243">
        <f>'6-PlantInService'!H23</f>
        <v>310678566.28323245</v>
      </c>
      <c r="I24" s="243">
        <f>'6-PlantInService'!I23</f>
        <v>1239646180.7050807</v>
      </c>
      <c r="J24" s="243">
        <f>'6-PlantInService'!J23</f>
        <v>221416.38459709552</v>
      </c>
      <c r="K24" s="243">
        <f>'6-PlantInService'!K23</f>
        <v>13011928.174370928</v>
      </c>
      <c r="L24" s="243">
        <f>'6-PlantInService'!L23</f>
        <v>187087540.77399367</v>
      </c>
      <c r="M24" s="243">
        <f>'6-PlantInService'!M23</f>
        <v>7656953152.2693701</v>
      </c>
    </row>
    <row r="25" spans="1:14">
      <c r="A25" s="645">
        <f t="shared" si="0"/>
        <v>14</v>
      </c>
      <c r="B25" s="241"/>
      <c r="C25" s="241"/>
      <c r="D25" s="241"/>
      <c r="E25" s="241"/>
      <c r="F25" s="241"/>
      <c r="G25" s="241"/>
      <c r="H25" s="241"/>
      <c r="I25" s="241"/>
      <c r="J25" s="241"/>
      <c r="K25" s="241"/>
      <c r="L25" s="241"/>
      <c r="M25" s="241"/>
    </row>
    <row r="26" spans="1:14">
      <c r="A26" s="645">
        <f t="shared" si="0"/>
        <v>15</v>
      </c>
      <c r="B26" s="722" t="s">
        <v>2506</v>
      </c>
      <c r="C26" s="251"/>
      <c r="D26" s="251"/>
      <c r="E26" s="251"/>
      <c r="F26" s="251"/>
      <c r="G26" s="251"/>
      <c r="H26" s="251"/>
      <c r="I26" s="241"/>
      <c r="J26" s="241"/>
      <c r="K26" s="241"/>
      <c r="L26" s="241"/>
      <c r="M26" s="241"/>
    </row>
    <row r="27" spans="1:14">
      <c r="A27" s="645"/>
      <c r="B27" s="117"/>
      <c r="C27" s="251"/>
      <c r="D27" s="251"/>
      <c r="E27" s="251"/>
      <c r="F27" s="251"/>
      <c r="G27" s="241"/>
      <c r="H27" s="241"/>
      <c r="I27" s="241"/>
      <c r="J27" s="241"/>
      <c r="K27" s="241"/>
      <c r="L27" s="241"/>
      <c r="M27" s="241"/>
    </row>
    <row r="28" spans="1:14">
      <c r="A28" s="645"/>
      <c r="B28" s="117"/>
      <c r="C28" s="251"/>
      <c r="D28" s="251"/>
      <c r="E28" s="251"/>
      <c r="F28" s="251"/>
      <c r="G28" s="241"/>
      <c r="H28" s="241"/>
      <c r="I28" s="241"/>
      <c r="J28" s="241"/>
      <c r="K28" s="241"/>
      <c r="L28" s="241"/>
      <c r="M28" s="241"/>
    </row>
    <row r="29" spans="1:14">
      <c r="A29" s="645">
        <f>A26+1</f>
        <v>16</v>
      </c>
      <c r="B29" s="131" t="s">
        <v>2034</v>
      </c>
      <c r="C29" s="369">
        <v>350.1</v>
      </c>
      <c r="D29" s="369">
        <v>350.2</v>
      </c>
      <c r="E29" s="369">
        <v>352</v>
      </c>
      <c r="F29" s="369">
        <v>353</v>
      </c>
      <c r="G29" s="91">
        <v>354</v>
      </c>
      <c r="H29" s="91">
        <v>355</v>
      </c>
      <c r="I29" s="91">
        <v>356</v>
      </c>
      <c r="J29" s="91">
        <v>357</v>
      </c>
      <c r="K29" s="91">
        <v>358</v>
      </c>
      <c r="L29" s="91">
        <v>359</v>
      </c>
      <c r="M29" s="3"/>
    </row>
    <row r="30" spans="1:14">
      <c r="A30" s="645" t="s">
        <v>2507</v>
      </c>
      <c r="B30" s="1138" t="s">
        <v>2822</v>
      </c>
      <c r="C30" s="823">
        <v>0</v>
      </c>
      <c r="D30" s="823">
        <v>1.66E-2</v>
      </c>
      <c r="E30" s="823">
        <v>2.5700000000000001E-2</v>
      </c>
      <c r="F30" s="823">
        <v>2.47E-2</v>
      </c>
      <c r="G30" s="823">
        <v>2.4400000000000002E-2</v>
      </c>
      <c r="H30" s="823">
        <v>3.6700000000000003E-2</v>
      </c>
      <c r="I30" s="823">
        <v>3.0499999999999999E-2</v>
      </c>
      <c r="J30" s="823">
        <v>1.6500000000000001E-2</v>
      </c>
      <c r="K30" s="823">
        <v>3.8699999999999998E-2</v>
      </c>
      <c r="L30" s="823">
        <v>1.5599999999999999E-2</v>
      </c>
      <c r="M30" s="241"/>
      <c r="N30" s="573"/>
    </row>
    <row r="31" spans="1:14">
      <c r="A31" s="645" t="s">
        <v>2508</v>
      </c>
      <c r="B31" s="1138" t="s">
        <v>2916</v>
      </c>
      <c r="C31" s="823">
        <v>0</v>
      </c>
      <c r="D31" s="823">
        <v>1.66E-2</v>
      </c>
      <c r="E31" s="823">
        <v>2.5700000000000001E-2</v>
      </c>
      <c r="F31" s="823">
        <v>2.47E-2</v>
      </c>
      <c r="G31" s="823">
        <v>2.4400000000000002E-2</v>
      </c>
      <c r="H31" s="823">
        <v>3.6700000000000003E-2</v>
      </c>
      <c r="I31" s="823">
        <v>3.0499999999999999E-2</v>
      </c>
      <c r="J31" s="823">
        <v>1.6500000000000001E-2</v>
      </c>
      <c r="K31" s="823">
        <v>3.8699999999999998E-2</v>
      </c>
      <c r="L31" s="823">
        <v>1.5599999999999999E-2</v>
      </c>
      <c r="M31" s="241"/>
      <c r="N31" s="573"/>
    </row>
    <row r="32" spans="1:14">
      <c r="A32" s="645" t="s">
        <v>2509</v>
      </c>
      <c r="B32" s="1138" t="s">
        <v>2917</v>
      </c>
      <c r="C32" s="823">
        <v>0</v>
      </c>
      <c r="D32" s="823">
        <v>1.66E-2</v>
      </c>
      <c r="E32" s="823">
        <v>2.5700000000000001E-2</v>
      </c>
      <c r="F32" s="823">
        <v>2.47E-2</v>
      </c>
      <c r="G32" s="823">
        <v>2.4400000000000002E-2</v>
      </c>
      <c r="H32" s="823">
        <v>3.6700000000000003E-2</v>
      </c>
      <c r="I32" s="823">
        <v>3.0499999999999999E-2</v>
      </c>
      <c r="J32" s="823">
        <v>1.6500000000000001E-2</v>
      </c>
      <c r="K32" s="823">
        <v>3.8699999999999998E-2</v>
      </c>
      <c r="L32" s="823">
        <v>1.5599999999999999E-2</v>
      </c>
      <c r="M32" s="241"/>
      <c r="N32" s="573"/>
    </row>
    <row r="33" spans="1:14">
      <c r="A33" s="645" t="s">
        <v>2510</v>
      </c>
      <c r="B33" s="1138" t="s">
        <v>2918</v>
      </c>
      <c r="C33" s="823">
        <v>0</v>
      </c>
      <c r="D33" s="823">
        <v>1.66E-2</v>
      </c>
      <c r="E33" s="823">
        <v>2.5700000000000001E-2</v>
      </c>
      <c r="F33" s="823">
        <v>2.47E-2</v>
      </c>
      <c r="G33" s="823">
        <v>2.4400000000000002E-2</v>
      </c>
      <c r="H33" s="823">
        <v>3.6700000000000003E-2</v>
      </c>
      <c r="I33" s="823">
        <v>3.0499999999999999E-2</v>
      </c>
      <c r="J33" s="823">
        <v>1.6500000000000001E-2</v>
      </c>
      <c r="K33" s="823">
        <v>3.8699999999999998E-2</v>
      </c>
      <c r="L33" s="823">
        <v>1.5599999999999999E-2</v>
      </c>
      <c r="M33" s="241"/>
      <c r="N33" s="573"/>
    </row>
    <row r="34" spans="1:14">
      <c r="A34" s="645" t="s">
        <v>2511</v>
      </c>
      <c r="B34" s="1138" t="s">
        <v>2919</v>
      </c>
      <c r="C34" s="823">
        <v>0</v>
      </c>
      <c r="D34" s="823">
        <v>1.66E-2</v>
      </c>
      <c r="E34" s="823">
        <v>2.5700000000000001E-2</v>
      </c>
      <c r="F34" s="823">
        <v>2.47E-2</v>
      </c>
      <c r="G34" s="823">
        <v>2.4400000000000002E-2</v>
      </c>
      <c r="H34" s="823">
        <v>3.6700000000000003E-2</v>
      </c>
      <c r="I34" s="823">
        <v>3.0499999999999999E-2</v>
      </c>
      <c r="J34" s="823">
        <v>1.6500000000000001E-2</v>
      </c>
      <c r="K34" s="823">
        <v>3.8699999999999998E-2</v>
      </c>
      <c r="L34" s="823">
        <v>1.5599999999999999E-2</v>
      </c>
      <c r="M34" s="241"/>
      <c r="N34" s="573"/>
    </row>
    <row r="35" spans="1:14">
      <c r="A35" s="645" t="s">
        <v>2512</v>
      </c>
      <c r="B35" s="1138" t="s">
        <v>2920</v>
      </c>
      <c r="C35" s="823">
        <v>0</v>
      </c>
      <c r="D35" s="823">
        <v>1.66E-2</v>
      </c>
      <c r="E35" s="823">
        <v>2.5700000000000001E-2</v>
      </c>
      <c r="F35" s="823">
        <v>2.47E-2</v>
      </c>
      <c r="G35" s="823">
        <v>2.4400000000000002E-2</v>
      </c>
      <c r="H35" s="823">
        <v>3.6700000000000003E-2</v>
      </c>
      <c r="I35" s="823">
        <v>3.0499999999999999E-2</v>
      </c>
      <c r="J35" s="823">
        <v>1.6500000000000001E-2</v>
      </c>
      <c r="K35" s="823">
        <v>3.8699999999999998E-2</v>
      </c>
      <c r="L35" s="823">
        <v>1.5599999999999999E-2</v>
      </c>
      <c r="M35" s="241"/>
      <c r="N35" s="573"/>
    </row>
    <row r="36" spans="1:14">
      <c r="A36" s="645" t="s">
        <v>2513</v>
      </c>
      <c r="B36" s="1138" t="s">
        <v>2921</v>
      </c>
      <c r="C36" s="823">
        <v>0</v>
      </c>
      <c r="D36" s="823">
        <v>1.66E-2</v>
      </c>
      <c r="E36" s="823">
        <v>2.5700000000000001E-2</v>
      </c>
      <c r="F36" s="823">
        <v>2.47E-2</v>
      </c>
      <c r="G36" s="823">
        <v>2.4400000000000002E-2</v>
      </c>
      <c r="H36" s="823">
        <v>3.6700000000000003E-2</v>
      </c>
      <c r="I36" s="823">
        <v>3.0499999999999999E-2</v>
      </c>
      <c r="J36" s="823">
        <v>1.6500000000000001E-2</v>
      </c>
      <c r="K36" s="823">
        <v>3.8699999999999998E-2</v>
      </c>
      <c r="L36" s="823">
        <v>1.5599999999999999E-2</v>
      </c>
      <c r="M36" s="241"/>
      <c r="N36" s="573"/>
    </row>
    <row r="37" spans="1:14">
      <c r="A37" s="645" t="s">
        <v>2514</v>
      </c>
      <c r="B37" s="1138" t="s">
        <v>2922</v>
      </c>
      <c r="C37" s="823">
        <v>0</v>
      </c>
      <c r="D37" s="823">
        <v>1.66E-2</v>
      </c>
      <c r="E37" s="823">
        <v>2.5700000000000001E-2</v>
      </c>
      <c r="F37" s="823">
        <v>2.47E-2</v>
      </c>
      <c r="G37" s="823">
        <v>2.4400000000000002E-2</v>
      </c>
      <c r="H37" s="823">
        <v>3.6700000000000003E-2</v>
      </c>
      <c r="I37" s="823">
        <v>3.0499999999999999E-2</v>
      </c>
      <c r="J37" s="823">
        <v>1.6500000000000001E-2</v>
      </c>
      <c r="K37" s="823">
        <v>3.8699999999999998E-2</v>
      </c>
      <c r="L37" s="823">
        <v>1.5599999999999999E-2</v>
      </c>
      <c r="M37" s="241"/>
      <c r="N37" s="573"/>
    </row>
    <row r="38" spans="1:14">
      <c r="A38" s="645" t="s">
        <v>2515</v>
      </c>
      <c r="B38" s="1138" t="s">
        <v>2923</v>
      </c>
      <c r="C38" s="823">
        <v>0</v>
      </c>
      <c r="D38" s="823">
        <v>1.66E-2</v>
      </c>
      <c r="E38" s="823">
        <v>2.5700000000000001E-2</v>
      </c>
      <c r="F38" s="823">
        <v>2.47E-2</v>
      </c>
      <c r="G38" s="823">
        <v>2.4400000000000002E-2</v>
      </c>
      <c r="H38" s="823">
        <v>3.6700000000000003E-2</v>
      </c>
      <c r="I38" s="823">
        <v>3.0499999999999999E-2</v>
      </c>
      <c r="J38" s="823">
        <v>1.6500000000000001E-2</v>
      </c>
      <c r="K38" s="823">
        <v>3.8699999999999998E-2</v>
      </c>
      <c r="L38" s="823">
        <v>1.5599999999999999E-2</v>
      </c>
      <c r="M38" s="241"/>
      <c r="N38" s="573"/>
    </row>
    <row r="39" spans="1:14">
      <c r="A39" s="645" t="s">
        <v>2516</v>
      </c>
      <c r="B39" s="1138" t="s">
        <v>2924</v>
      </c>
      <c r="C39" s="823">
        <v>0</v>
      </c>
      <c r="D39" s="823">
        <v>1.66E-2</v>
      </c>
      <c r="E39" s="823">
        <v>2.5700000000000001E-2</v>
      </c>
      <c r="F39" s="823">
        <v>2.47E-2</v>
      </c>
      <c r="G39" s="823">
        <v>2.4400000000000002E-2</v>
      </c>
      <c r="H39" s="823">
        <v>3.6700000000000003E-2</v>
      </c>
      <c r="I39" s="823">
        <v>3.0499999999999999E-2</v>
      </c>
      <c r="J39" s="823">
        <v>1.6500000000000001E-2</v>
      </c>
      <c r="K39" s="823">
        <v>3.8699999999999998E-2</v>
      </c>
      <c r="L39" s="823">
        <v>1.5599999999999999E-2</v>
      </c>
      <c r="M39" s="241"/>
      <c r="N39" s="573"/>
    </row>
    <row r="40" spans="1:14">
      <c r="A40" s="645" t="s">
        <v>2517</v>
      </c>
      <c r="B40" s="1138" t="s">
        <v>2925</v>
      </c>
      <c r="C40" s="823">
        <v>0</v>
      </c>
      <c r="D40" s="823">
        <v>1.66E-2</v>
      </c>
      <c r="E40" s="823">
        <v>2.5700000000000001E-2</v>
      </c>
      <c r="F40" s="823">
        <v>2.47E-2</v>
      </c>
      <c r="G40" s="823">
        <v>2.4400000000000002E-2</v>
      </c>
      <c r="H40" s="823">
        <v>3.6700000000000003E-2</v>
      </c>
      <c r="I40" s="823">
        <v>3.0499999999999999E-2</v>
      </c>
      <c r="J40" s="823">
        <v>1.6500000000000001E-2</v>
      </c>
      <c r="K40" s="823">
        <v>3.8699999999999998E-2</v>
      </c>
      <c r="L40" s="823">
        <v>1.5599999999999999E-2</v>
      </c>
      <c r="M40" s="241"/>
    </row>
    <row r="41" spans="1:14">
      <c r="A41" s="645" t="s">
        <v>2518</v>
      </c>
      <c r="B41" s="1138" t="s">
        <v>2926</v>
      </c>
      <c r="C41" s="823">
        <v>0</v>
      </c>
      <c r="D41" s="823">
        <v>1.66E-2</v>
      </c>
      <c r="E41" s="823">
        <v>2.5700000000000001E-2</v>
      </c>
      <c r="F41" s="823">
        <v>2.47E-2</v>
      </c>
      <c r="G41" s="823">
        <v>2.4400000000000002E-2</v>
      </c>
      <c r="H41" s="823">
        <v>3.6700000000000003E-2</v>
      </c>
      <c r="I41" s="823">
        <v>3.0499999999999999E-2</v>
      </c>
      <c r="J41" s="823">
        <v>1.6500000000000001E-2</v>
      </c>
      <c r="K41" s="823">
        <v>3.8699999999999998E-2</v>
      </c>
      <c r="L41" s="823">
        <v>1.5599999999999999E-2</v>
      </c>
      <c r="M41" s="241"/>
    </row>
    <row r="42" spans="1:14">
      <c r="A42" s="645" t="s">
        <v>2519</v>
      </c>
      <c r="B42" s="1138" t="s">
        <v>2927</v>
      </c>
      <c r="C42" s="823">
        <v>0</v>
      </c>
      <c r="D42" s="823">
        <v>1.66E-2</v>
      </c>
      <c r="E42" s="823">
        <v>2.5700000000000001E-2</v>
      </c>
      <c r="F42" s="823">
        <v>2.47E-2</v>
      </c>
      <c r="G42" s="823">
        <v>2.4400000000000002E-2</v>
      </c>
      <c r="H42" s="823">
        <v>3.6700000000000003E-2</v>
      </c>
      <c r="I42" s="823">
        <v>3.0499999999999999E-2</v>
      </c>
      <c r="J42" s="823">
        <v>1.6500000000000001E-2</v>
      </c>
      <c r="K42" s="823">
        <v>3.8699999999999998E-2</v>
      </c>
      <c r="L42" s="823">
        <v>1.5599999999999999E-2</v>
      </c>
      <c r="M42" s="241"/>
    </row>
    <row r="43" spans="1:14">
      <c r="A43" s="645">
        <v>18</v>
      </c>
      <c r="C43" s="377"/>
      <c r="D43" s="377"/>
      <c r="E43" s="377"/>
      <c r="F43" s="377"/>
      <c r="G43" s="377"/>
      <c r="H43" s="377"/>
      <c r="I43" s="377"/>
      <c r="J43" s="377"/>
      <c r="K43" s="377"/>
      <c r="L43" s="377"/>
      <c r="M43" s="241"/>
    </row>
    <row r="44" spans="1:14">
      <c r="A44" s="645">
        <f t="shared" si="0"/>
        <v>19</v>
      </c>
      <c r="B44" s="524" t="s">
        <v>1065</v>
      </c>
      <c r="C44" s="252"/>
      <c r="D44" s="252"/>
      <c r="E44" s="252"/>
      <c r="F44" s="252"/>
      <c r="G44" s="573" t="s">
        <v>1950</v>
      </c>
      <c r="H44" s="252"/>
      <c r="I44" s="377"/>
      <c r="J44" s="377"/>
      <c r="K44" s="377"/>
      <c r="L44" s="377"/>
      <c r="M44" s="241"/>
    </row>
    <row r="45" spans="1:14">
      <c r="A45" s="645">
        <f t="shared" si="0"/>
        <v>20</v>
      </c>
      <c r="B45" s="251"/>
      <c r="C45" s="251"/>
      <c r="D45" s="251"/>
      <c r="E45" s="251"/>
      <c r="F45" s="251"/>
      <c r="G45" s="251"/>
      <c r="H45" s="251"/>
      <c r="I45" s="241"/>
      <c r="J45" s="241"/>
      <c r="K45" s="241"/>
      <c r="L45" s="241"/>
      <c r="M45" s="241"/>
    </row>
    <row r="46" spans="1:14">
      <c r="A46" s="645">
        <f t="shared" si="0"/>
        <v>21</v>
      </c>
      <c r="B46" s="117"/>
      <c r="C46" s="991" t="s">
        <v>12</v>
      </c>
      <c r="D46" s="251"/>
      <c r="E46" s="251"/>
      <c r="F46" s="251"/>
      <c r="G46" s="251"/>
      <c r="H46" s="251"/>
      <c r="I46" s="241"/>
      <c r="J46" s="241"/>
      <c r="K46" s="241"/>
      <c r="L46" s="241"/>
      <c r="M46" s="241"/>
    </row>
    <row r="47" spans="1:14">
      <c r="A47" s="645">
        <f t="shared" si="0"/>
        <v>22</v>
      </c>
      <c r="B47" s="117"/>
      <c r="C47" s="991" t="s">
        <v>1062</v>
      </c>
      <c r="D47" s="251"/>
      <c r="E47" s="251"/>
      <c r="F47" s="251"/>
      <c r="G47" s="251"/>
      <c r="H47" s="251"/>
      <c r="I47" s="241"/>
      <c r="J47" s="241"/>
      <c r="K47" s="241"/>
      <c r="L47" s="241"/>
      <c r="M47" s="645" t="s">
        <v>211</v>
      </c>
    </row>
    <row r="48" spans="1:14">
      <c r="A48" s="645">
        <f t="shared" si="0"/>
        <v>23</v>
      </c>
      <c r="B48" s="131" t="s">
        <v>2034</v>
      </c>
      <c r="C48" s="369">
        <v>350.1</v>
      </c>
      <c r="D48" s="369">
        <v>350.2</v>
      </c>
      <c r="E48" s="369">
        <v>352</v>
      </c>
      <c r="F48" s="369">
        <v>353</v>
      </c>
      <c r="G48" s="369">
        <v>354</v>
      </c>
      <c r="H48" s="369">
        <v>355</v>
      </c>
      <c r="I48" s="91">
        <v>356</v>
      </c>
      <c r="J48" s="91">
        <v>357</v>
      </c>
      <c r="K48" s="91">
        <v>358</v>
      </c>
      <c r="L48" s="91">
        <v>359</v>
      </c>
      <c r="M48" s="3" t="s">
        <v>215</v>
      </c>
    </row>
    <row r="49" spans="1:13">
      <c r="A49" s="645">
        <f t="shared" si="0"/>
        <v>24</v>
      </c>
      <c r="B49" s="1138" t="s">
        <v>2916</v>
      </c>
      <c r="C49" s="245">
        <f>C12*$C$30/12</f>
        <v>0</v>
      </c>
      <c r="D49" s="245">
        <f t="shared" ref="D49:D60" si="1">D12*$D30/12</f>
        <v>219114.3931865429</v>
      </c>
      <c r="E49" s="245">
        <f t="shared" ref="E49:E60" si="2">E12*$E30/12</f>
        <v>917331.73366378155</v>
      </c>
      <c r="F49" s="245">
        <f t="shared" ref="F49:F60" si="3">F12*$F30/12</f>
        <v>6010562.7352965558</v>
      </c>
      <c r="G49" s="245">
        <f t="shared" ref="G49:G60" si="4">G12*$G30/12</f>
        <v>3631389.9406512249</v>
      </c>
      <c r="H49" s="245">
        <f t="shared" ref="H49:H60" si="5">H12*$H30/12</f>
        <v>705032.38569812605</v>
      </c>
      <c r="I49" s="245">
        <f t="shared" ref="I49:I60" si="6">I12*$I30/12</f>
        <v>2654482.4063521251</v>
      </c>
      <c r="J49" s="245">
        <f t="shared" ref="J49:J60" si="7">J12*$J30/12</f>
        <v>298.6512079454485</v>
      </c>
      <c r="K49" s="245">
        <f t="shared" ref="K49:K60" si="8">K12*$K30/12</f>
        <v>41906.661054624645</v>
      </c>
      <c r="L49" s="245">
        <f t="shared" ref="L49:L60" si="9">L12*$L30/12</f>
        <v>103610.33011031075</v>
      </c>
      <c r="M49" s="243">
        <f>SUM(C49:L49)</f>
        <v>14283729.237221239</v>
      </c>
    </row>
    <row r="50" spans="1:13">
      <c r="A50" s="645">
        <f t="shared" si="0"/>
        <v>25</v>
      </c>
      <c r="B50" s="1138" t="s">
        <v>2917</v>
      </c>
      <c r="C50" s="245">
        <f t="shared" ref="C50:C60" si="10">C13*$C$30/12</f>
        <v>0</v>
      </c>
      <c r="D50" s="245">
        <f t="shared" si="1"/>
        <v>219111.58049090928</v>
      </c>
      <c r="E50" s="245">
        <f t="shared" si="2"/>
        <v>922746.03233853506</v>
      </c>
      <c r="F50" s="245">
        <f t="shared" si="3"/>
        <v>6018048.6569951801</v>
      </c>
      <c r="G50" s="245">
        <f t="shared" si="4"/>
        <v>3681729.3438366144</v>
      </c>
      <c r="H50" s="245">
        <f t="shared" si="5"/>
        <v>713482.43890557683</v>
      </c>
      <c r="I50" s="245">
        <f t="shared" si="6"/>
        <v>2722857.0092564938</v>
      </c>
      <c r="J50" s="245">
        <f t="shared" si="7"/>
        <v>306.13240359609267</v>
      </c>
      <c r="K50" s="245">
        <f t="shared" si="8"/>
        <v>41907.467514114185</v>
      </c>
      <c r="L50" s="245">
        <f t="shared" si="9"/>
        <v>105180.36363021145</v>
      </c>
      <c r="M50" s="243">
        <f t="shared" ref="M50:M60" si="11">SUM(C50:L50)</f>
        <v>14425369.025371229</v>
      </c>
    </row>
    <row r="51" spans="1:13">
      <c r="A51" s="645">
        <f t="shared" si="0"/>
        <v>26</v>
      </c>
      <c r="B51" s="1138" t="s">
        <v>2918</v>
      </c>
      <c r="C51" s="245">
        <f t="shared" si="10"/>
        <v>0</v>
      </c>
      <c r="D51" s="245">
        <f t="shared" si="1"/>
        <v>219300.54442772907</v>
      </c>
      <c r="E51" s="245">
        <f t="shared" si="2"/>
        <v>927294.59839890839</v>
      </c>
      <c r="F51" s="245">
        <f t="shared" si="3"/>
        <v>6028554.9586893776</v>
      </c>
      <c r="G51" s="245">
        <f t="shared" si="4"/>
        <v>3670710.9881024119</v>
      </c>
      <c r="H51" s="245">
        <f t="shared" si="5"/>
        <v>714273.53829549009</v>
      </c>
      <c r="I51" s="245">
        <f t="shared" si="6"/>
        <v>2723843.3281960073</v>
      </c>
      <c r="J51" s="245">
        <f t="shared" si="7"/>
        <v>306.71466544409435</v>
      </c>
      <c r="K51" s="245">
        <f t="shared" si="8"/>
        <v>41907.55985403798</v>
      </c>
      <c r="L51" s="245">
        <f t="shared" si="9"/>
        <v>106200.68603301549</v>
      </c>
      <c r="M51" s="243">
        <f t="shared" si="11"/>
        <v>14432392.916662423</v>
      </c>
    </row>
    <row r="52" spans="1:13">
      <c r="A52" s="645">
        <f t="shared" si="0"/>
        <v>27</v>
      </c>
      <c r="B52" s="1138" t="s">
        <v>2919</v>
      </c>
      <c r="C52" s="245">
        <f t="shared" si="10"/>
        <v>0</v>
      </c>
      <c r="D52" s="245">
        <f t="shared" si="1"/>
        <v>219316.7385677167</v>
      </c>
      <c r="E52" s="245">
        <f t="shared" si="2"/>
        <v>933576.34473256022</v>
      </c>
      <c r="F52" s="245">
        <f t="shared" si="3"/>
        <v>6040547.2185545303</v>
      </c>
      <c r="G52" s="245">
        <f t="shared" si="4"/>
        <v>4115595.5080973394</v>
      </c>
      <c r="H52" s="245">
        <f t="shared" si="5"/>
        <v>899206.47422913683</v>
      </c>
      <c r="I52" s="245">
        <f t="shared" si="6"/>
        <v>2990544.6127809398</v>
      </c>
      <c r="J52" s="245">
        <f t="shared" si="7"/>
        <v>306.71656429105406</v>
      </c>
      <c r="K52" s="245">
        <f t="shared" si="8"/>
        <v>41907.484887689774</v>
      </c>
      <c r="L52" s="245">
        <f t="shared" si="9"/>
        <v>137093.33030270116</v>
      </c>
      <c r="M52" s="243">
        <f t="shared" si="11"/>
        <v>15378094.428716904</v>
      </c>
    </row>
    <row r="53" spans="1:13">
      <c r="A53" s="645">
        <f t="shared" si="0"/>
        <v>28</v>
      </c>
      <c r="B53" s="1138" t="s">
        <v>2920</v>
      </c>
      <c r="C53" s="245">
        <f t="shared" si="10"/>
        <v>0</v>
      </c>
      <c r="D53" s="245">
        <f t="shared" si="1"/>
        <v>219320.61291190397</v>
      </c>
      <c r="E53" s="245">
        <f t="shared" si="2"/>
        <v>928491.06029620848</v>
      </c>
      <c r="F53" s="245">
        <f t="shared" si="3"/>
        <v>6045189.2072850121</v>
      </c>
      <c r="G53" s="245">
        <f t="shared" si="4"/>
        <v>4344074.2721249042</v>
      </c>
      <c r="H53" s="245">
        <f t="shared" si="5"/>
        <v>919706.25214507198</v>
      </c>
      <c r="I53" s="245">
        <f t="shared" si="6"/>
        <v>3085052.8465628144</v>
      </c>
      <c r="J53" s="245">
        <f t="shared" si="7"/>
        <v>306.71653359079204</v>
      </c>
      <c r="K53" s="245">
        <f t="shared" si="8"/>
        <v>41907.470233370368</v>
      </c>
      <c r="L53" s="245">
        <f t="shared" si="9"/>
        <v>234590.42431899393</v>
      </c>
      <c r="M53" s="243">
        <f t="shared" si="11"/>
        <v>15818638.862411868</v>
      </c>
    </row>
    <row r="54" spans="1:13">
      <c r="A54" s="645">
        <f t="shared" si="0"/>
        <v>29</v>
      </c>
      <c r="B54" s="1138" t="s">
        <v>2921</v>
      </c>
      <c r="C54" s="245">
        <f t="shared" si="10"/>
        <v>0</v>
      </c>
      <c r="D54" s="245">
        <f t="shared" si="1"/>
        <v>219340.00264225263</v>
      </c>
      <c r="E54" s="245">
        <f t="shared" si="2"/>
        <v>929379.33293662441</v>
      </c>
      <c r="F54" s="245">
        <f t="shared" si="3"/>
        <v>6058810.1197000341</v>
      </c>
      <c r="G54" s="245">
        <f t="shared" si="4"/>
        <v>4355245.6758529032</v>
      </c>
      <c r="H54" s="245">
        <f t="shared" si="5"/>
        <v>923039.43225048191</v>
      </c>
      <c r="I54" s="245">
        <f t="shared" si="6"/>
        <v>3088504.155096455</v>
      </c>
      <c r="J54" s="245">
        <f t="shared" si="7"/>
        <v>306.71783532795769</v>
      </c>
      <c r="K54" s="245">
        <f t="shared" si="8"/>
        <v>41907.145811726601</v>
      </c>
      <c r="L54" s="245">
        <f t="shared" si="9"/>
        <v>236000.36696597599</v>
      </c>
      <c r="M54" s="243">
        <f t="shared" si="11"/>
        <v>15852532.949091779</v>
      </c>
    </row>
    <row r="55" spans="1:13">
      <c r="A55" s="645">
        <f t="shared" si="0"/>
        <v>30</v>
      </c>
      <c r="B55" s="1138" t="s">
        <v>2922</v>
      </c>
      <c r="C55" s="245">
        <f t="shared" si="10"/>
        <v>0</v>
      </c>
      <c r="D55" s="245">
        <f t="shared" si="1"/>
        <v>217811.7047315446</v>
      </c>
      <c r="E55" s="245">
        <f t="shared" si="2"/>
        <v>925042.01225259528</v>
      </c>
      <c r="F55" s="245">
        <f t="shared" si="3"/>
        <v>6093133.9316741712</v>
      </c>
      <c r="G55" s="245">
        <f t="shared" si="4"/>
        <v>4355740.3348999741</v>
      </c>
      <c r="H55" s="245">
        <f t="shared" si="5"/>
        <v>924602.88516866311</v>
      </c>
      <c r="I55" s="245">
        <f t="shared" si="6"/>
        <v>3087512.2519430812</v>
      </c>
      <c r="J55" s="245">
        <f t="shared" si="7"/>
        <v>306.70031262922049</v>
      </c>
      <c r="K55" s="245">
        <f t="shared" si="8"/>
        <v>41907.111301368459</v>
      </c>
      <c r="L55" s="245">
        <f t="shared" si="9"/>
        <v>236432.66365975226</v>
      </c>
      <c r="M55" s="243">
        <f t="shared" si="11"/>
        <v>15882489.595943779</v>
      </c>
    </row>
    <row r="56" spans="1:13">
      <c r="A56" s="645">
        <f t="shared" si="0"/>
        <v>31</v>
      </c>
      <c r="B56" s="1138" t="s">
        <v>2923</v>
      </c>
      <c r="C56" s="245">
        <f t="shared" si="10"/>
        <v>0</v>
      </c>
      <c r="D56" s="245">
        <f t="shared" si="1"/>
        <v>225886.27873445407</v>
      </c>
      <c r="E56" s="245">
        <f t="shared" si="2"/>
        <v>929330.10007481684</v>
      </c>
      <c r="F56" s="245">
        <f t="shared" si="3"/>
        <v>6107463.2831035703</v>
      </c>
      <c r="G56" s="245">
        <f t="shared" si="4"/>
        <v>4358455.7523231506</v>
      </c>
      <c r="H56" s="245">
        <f t="shared" si="5"/>
        <v>928036.92913806671</v>
      </c>
      <c r="I56" s="245">
        <f t="shared" si="6"/>
        <v>3090065.086370382</v>
      </c>
      <c r="J56" s="245">
        <f t="shared" si="7"/>
        <v>308.32583925279749</v>
      </c>
      <c r="K56" s="245">
        <f t="shared" si="8"/>
        <v>41910.458749392004</v>
      </c>
      <c r="L56" s="245">
        <f t="shared" si="9"/>
        <v>236930.16290508254</v>
      </c>
      <c r="M56" s="243">
        <f t="shared" si="11"/>
        <v>15918386.377238167</v>
      </c>
    </row>
    <row r="57" spans="1:13">
      <c r="A57" s="645">
        <f t="shared" si="0"/>
        <v>32</v>
      </c>
      <c r="B57" s="1138" t="s">
        <v>2924</v>
      </c>
      <c r="C57" s="245">
        <f t="shared" si="10"/>
        <v>0</v>
      </c>
      <c r="D57" s="245">
        <f t="shared" si="1"/>
        <v>225948.56197749916</v>
      </c>
      <c r="E57" s="245">
        <f t="shared" si="2"/>
        <v>931781.34917085525</v>
      </c>
      <c r="F57" s="245">
        <f t="shared" si="3"/>
        <v>6112815.5667623142</v>
      </c>
      <c r="G57" s="245">
        <f t="shared" si="4"/>
        <v>4378677.9159997497</v>
      </c>
      <c r="H57" s="245">
        <f t="shared" si="5"/>
        <v>931894.18890503701</v>
      </c>
      <c r="I57" s="245">
        <f t="shared" si="6"/>
        <v>3128437.7097245734</v>
      </c>
      <c r="J57" s="245">
        <f t="shared" si="7"/>
        <v>308.32714736514583</v>
      </c>
      <c r="K57" s="245">
        <f t="shared" si="8"/>
        <v>41909.805845876544</v>
      </c>
      <c r="L57" s="245">
        <f t="shared" si="9"/>
        <v>240730.45161332272</v>
      </c>
      <c r="M57" s="243">
        <f t="shared" si="11"/>
        <v>15992503.877146594</v>
      </c>
    </row>
    <row r="58" spans="1:13">
      <c r="A58" s="645">
        <f t="shared" si="0"/>
        <v>33</v>
      </c>
      <c r="B58" s="1138" t="s">
        <v>2925</v>
      </c>
      <c r="C58" s="245">
        <f t="shared" si="10"/>
        <v>0</v>
      </c>
      <c r="D58" s="245">
        <f t="shared" si="1"/>
        <v>225984.32779964013</v>
      </c>
      <c r="E58" s="245">
        <f t="shared" si="2"/>
        <v>933565.05218706327</v>
      </c>
      <c r="F58" s="245">
        <f t="shared" si="3"/>
        <v>6104411.7208404904</v>
      </c>
      <c r="G58" s="245">
        <f t="shared" si="4"/>
        <v>4381963.1754974592</v>
      </c>
      <c r="H58" s="245">
        <f t="shared" si="5"/>
        <v>933821.45849162352</v>
      </c>
      <c r="I58" s="245">
        <f t="shared" si="6"/>
        <v>3130878.813897857</v>
      </c>
      <c r="J58" s="245">
        <f t="shared" si="7"/>
        <v>308.71608900878635</v>
      </c>
      <c r="K58" s="245">
        <f t="shared" si="8"/>
        <v>41910.899107262325</v>
      </c>
      <c r="L58" s="245">
        <f t="shared" si="9"/>
        <v>241304.57919774423</v>
      </c>
      <c r="M58" s="243">
        <f t="shared" si="11"/>
        <v>15994148.743108148</v>
      </c>
    </row>
    <row r="59" spans="1:13">
      <c r="A59" s="645">
        <f t="shared" si="0"/>
        <v>34</v>
      </c>
      <c r="B59" s="1138" t="s">
        <v>2926</v>
      </c>
      <c r="C59" s="245">
        <f t="shared" si="10"/>
        <v>0</v>
      </c>
      <c r="D59" s="245">
        <f t="shared" si="1"/>
        <v>225563.43486614173</v>
      </c>
      <c r="E59" s="245">
        <f t="shared" si="2"/>
        <v>972598.22316225374</v>
      </c>
      <c r="F59" s="245">
        <f t="shared" si="3"/>
        <v>6193259.2279445594</v>
      </c>
      <c r="G59" s="245">
        <f t="shared" si="4"/>
        <v>4383352.1921519497</v>
      </c>
      <c r="H59" s="245">
        <f t="shared" si="5"/>
        <v>936360.67074767465</v>
      </c>
      <c r="I59" s="245">
        <f t="shared" si="6"/>
        <v>3132061.9019312258</v>
      </c>
      <c r="J59" s="245">
        <f t="shared" si="7"/>
        <v>304.58042251048988</v>
      </c>
      <c r="K59" s="245">
        <f t="shared" si="8"/>
        <v>41899.240944033671</v>
      </c>
      <c r="L59" s="245">
        <f t="shared" si="9"/>
        <v>241433.48005446114</v>
      </c>
      <c r="M59" s="243">
        <f t="shared" si="11"/>
        <v>16126832.95222481</v>
      </c>
    </row>
    <row r="60" spans="1:13">
      <c r="A60" s="645">
        <f t="shared" si="0"/>
        <v>35</v>
      </c>
      <c r="B60" s="1138" t="s">
        <v>2927</v>
      </c>
      <c r="C60" s="245">
        <f t="shared" si="10"/>
        <v>0</v>
      </c>
      <c r="D60" s="245">
        <f t="shared" si="1"/>
        <v>225728.12086562661</v>
      </c>
      <c r="E60" s="245">
        <f t="shared" si="2"/>
        <v>976449.3492728729</v>
      </c>
      <c r="F60" s="245">
        <f t="shared" si="3"/>
        <v>6196839.6650213832</v>
      </c>
      <c r="G60" s="245">
        <f t="shared" si="4"/>
        <v>4385529.6680455888</v>
      </c>
      <c r="H60" s="245">
        <f t="shared" si="5"/>
        <v>938864.47635825153</v>
      </c>
      <c r="I60" s="245">
        <f t="shared" si="6"/>
        <v>3131530.4201793042</v>
      </c>
      <c r="J60" s="245">
        <f t="shared" si="7"/>
        <v>304.36640262113832</v>
      </c>
      <c r="K60" s="245">
        <f t="shared" si="8"/>
        <v>41959.074035155165</v>
      </c>
      <c r="L60" s="245">
        <f t="shared" si="9"/>
        <v>241729.68073575789</v>
      </c>
      <c r="M60" s="98">
        <f t="shared" si="11"/>
        <v>16138934.82091656</v>
      </c>
    </row>
    <row r="61" spans="1:13">
      <c r="A61" s="645">
        <f t="shared" si="0"/>
        <v>36</v>
      </c>
      <c r="B61" s="242" t="s">
        <v>216</v>
      </c>
      <c r="C61" s="243">
        <f>SUM(C49:C60)</f>
        <v>0</v>
      </c>
      <c r="D61" s="243">
        <f t="shared" ref="D61:L61" si="12">SUM(D49:D60)</f>
        <v>2662426.3012019605</v>
      </c>
      <c r="E61" s="243">
        <f t="shared" si="12"/>
        <v>11227585.188487075</v>
      </c>
      <c r="F61" s="243">
        <f t="shared" si="12"/>
        <v>73009636.291867182</v>
      </c>
      <c r="G61" s="243">
        <f t="shared" si="12"/>
        <v>50042464.767583266</v>
      </c>
      <c r="H61" s="243">
        <f t="shared" si="12"/>
        <v>10468321.130333202</v>
      </c>
      <c r="I61" s="243">
        <f t="shared" si="12"/>
        <v>35965770.542291261</v>
      </c>
      <c r="J61" s="243">
        <f t="shared" si="12"/>
        <v>3672.6654235830174</v>
      </c>
      <c r="K61" s="243">
        <f t="shared" si="12"/>
        <v>502940.37933865172</v>
      </c>
      <c r="L61" s="243">
        <f t="shared" si="12"/>
        <v>2361236.5195273296</v>
      </c>
      <c r="M61" s="7"/>
    </row>
    <row r="62" spans="1:13">
      <c r="A62" s="645">
        <f t="shared" si="0"/>
        <v>37</v>
      </c>
      <c r="B62" s="241"/>
      <c r="C62" s="241"/>
      <c r="D62" s="241"/>
      <c r="E62" s="241"/>
      <c r="F62" s="241"/>
      <c r="G62" s="241"/>
      <c r="H62" s="241"/>
      <c r="I62" s="241"/>
      <c r="J62" s="241"/>
      <c r="K62" s="241"/>
      <c r="L62" s="520" t="s">
        <v>1067</v>
      </c>
      <c r="M62" s="243">
        <f>SUM(M49:M60)</f>
        <v>186244053.78605351</v>
      </c>
    </row>
    <row r="63" spans="1:13">
      <c r="A63" s="645">
        <f t="shared" si="0"/>
        <v>38</v>
      </c>
      <c r="B63" s="241"/>
      <c r="C63" s="241"/>
      <c r="D63" s="241"/>
      <c r="E63" s="241"/>
      <c r="F63" s="241"/>
      <c r="G63" s="241"/>
      <c r="H63" s="241"/>
      <c r="I63" s="241"/>
      <c r="J63" s="241"/>
      <c r="K63" s="241"/>
      <c r="L63" s="824" t="s">
        <v>1068</v>
      </c>
      <c r="M63" s="241"/>
    </row>
    <row r="64" spans="1:13">
      <c r="A64" s="645">
        <f t="shared" si="0"/>
        <v>39</v>
      </c>
      <c r="B64" s="1" t="s">
        <v>1107</v>
      </c>
      <c r="C64" s="241"/>
      <c r="D64" s="241"/>
      <c r="E64" s="241"/>
      <c r="F64" s="241"/>
      <c r="G64" s="241"/>
      <c r="H64" s="241"/>
      <c r="I64" s="241"/>
      <c r="J64" s="241"/>
      <c r="K64" s="241"/>
      <c r="L64" s="241"/>
      <c r="M64" s="241"/>
    </row>
    <row r="65" spans="1:13">
      <c r="A65" s="645">
        <f t="shared" si="0"/>
        <v>40</v>
      </c>
      <c r="B65" s="241"/>
      <c r="C65" s="241"/>
      <c r="D65" s="241"/>
      <c r="E65" s="241"/>
      <c r="F65" s="241"/>
      <c r="G65" s="241"/>
      <c r="H65" s="241"/>
      <c r="I65" s="241"/>
      <c r="J65" s="241"/>
      <c r="K65" s="241"/>
      <c r="L65" s="241"/>
      <c r="M65" s="241"/>
    </row>
    <row r="66" spans="1:13">
      <c r="A66" s="645">
        <f t="shared" si="0"/>
        <v>41</v>
      </c>
      <c r="B66" s="241"/>
      <c r="C66" s="241"/>
      <c r="D66" s="91">
        <v>360</v>
      </c>
      <c r="E66" s="91">
        <v>361</v>
      </c>
      <c r="F66" s="91">
        <v>362</v>
      </c>
      <c r="G66" s="241"/>
      <c r="H66" s="52" t="s">
        <v>198</v>
      </c>
      <c r="I66" s="3"/>
      <c r="J66" s="241"/>
      <c r="K66" s="241"/>
      <c r="L66" s="241"/>
      <c r="M66" s="241"/>
    </row>
    <row r="67" spans="1:13">
      <c r="A67" s="645">
        <f t="shared" si="0"/>
        <v>42</v>
      </c>
      <c r="B67" s="522" t="s">
        <v>1108</v>
      </c>
      <c r="C67" s="241"/>
      <c r="D67" s="245">
        <f>'6-PlantInService'!C34</f>
        <v>0</v>
      </c>
      <c r="E67" s="245">
        <f>'6-PlantInService'!D34</f>
        <v>0</v>
      </c>
      <c r="F67" s="245">
        <f>'6-PlantInService'!E34</f>
        <v>0</v>
      </c>
      <c r="G67" s="251"/>
      <c r="H67" s="524" t="s">
        <v>2766</v>
      </c>
      <c r="I67" s="526"/>
      <c r="J67" s="241"/>
      <c r="K67" s="241"/>
      <c r="L67" s="241"/>
      <c r="M67" s="241"/>
    </row>
    <row r="68" spans="1:13">
      <c r="A68" s="645">
        <f t="shared" si="0"/>
        <v>43</v>
      </c>
      <c r="B68" s="522" t="s">
        <v>1109</v>
      </c>
      <c r="C68" s="241"/>
      <c r="D68" s="498">
        <f>'6-PlantInService'!C35</f>
        <v>0</v>
      </c>
      <c r="E68" s="498">
        <f>'6-PlantInService'!D35</f>
        <v>0</v>
      </c>
      <c r="F68" s="498">
        <f>'6-PlantInService'!E35</f>
        <v>0</v>
      </c>
      <c r="G68" s="251"/>
      <c r="H68" s="524" t="s">
        <v>2767</v>
      </c>
      <c r="I68" s="241"/>
      <c r="J68" s="241"/>
      <c r="K68" s="241"/>
      <c r="M68" s="241"/>
    </row>
    <row r="69" spans="1:13">
      <c r="A69" s="645">
        <f t="shared" si="0"/>
        <v>44</v>
      </c>
      <c r="B69" s="522" t="s">
        <v>1110</v>
      </c>
      <c r="C69" s="241"/>
      <c r="D69" s="245">
        <f>AVERAGE(D67:D68)</f>
        <v>0</v>
      </c>
      <c r="E69" s="245">
        <f>AVERAGE(E67:E68)</f>
        <v>0</v>
      </c>
      <c r="F69" s="245">
        <f>AVERAGE(F67:F68)</f>
        <v>0</v>
      </c>
      <c r="G69" s="251"/>
      <c r="H69" s="1063"/>
      <c r="I69" s="526"/>
      <c r="J69" s="241"/>
      <c r="K69" s="241"/>
      <c r="M69" s="241"/>
    </row>
    <row r="70" spans="1:13">
      <c r="A70" s="645">
        <f t="shared" si="0"/>
        <v>45</v>
      </c>
      <c r="D70" s="14"/>
      <c r="E70" s="14"/>
      <c r="F70" s="14"/>
      <c r="G70" s="14"/>
      <c r="H70" s="14"/>
      <c r="J70" s="241"/>
      <c r="K70" s="241"/>
      <c r="M70" s="241"/>
    </row>
    <row r="71" spans="1:13">
      <c r="A71" s="645">
        <f t="shared" si="0"/>
        <v>46</v>
      </c>
      <c r="B71" s="722" t="s">
        <v>2066</v>
      </c>
      <c r="C71" s="241"/>
      <c r="D71" s="251"/>
      <c r="E71" s="251"/>
      <c r="F71" s="14"/>
      <c r="G71" s="14"/>
      <c r="H71" s="14"/>
      <c r="J71" s="251"/>
      <c r="K71" s="251"/>
      <c r="L71" s="245"/>
      <c r="M71" s="241"/>
    </row>
    <row r="72" spans="1:13">
      <c r="A72" s="645">
        <f t="shared" si="0"/>
        <v>47</v>
      </c>
      <c r="B72" s="241"/>
      <c r="D72" s="369">
        <v>360</v>
      </c>
      <c r="E72" s="369">
        <v>361</v>
      </c>
      <c r="F72" s="369">
        <v>362</v>
      </c>
      <c r="G72" s="14"/>
      <c r="H72" s="14"/>
      <c r="J72" s="251"/>
      <c r="K72" s="251"/>
      <c r="L72" s="245"/>
      <c r="M72" s="241"/>
    </row>
    <row r="73" spans="1:13">
      <c r="A73" s="645">
        <f t="shared" si="0"/>
        <v>48</v>
      </c>
      <c r="D73" s="252">
        <f>'18-DepRates'!$G20</f>
        <v>1.67E-2</v>
      </c>
      <c r="E73" s="252">
        <f>'18-DepRates'!$G21</f>
        <v>3.04E-2</v>
      </c>
      <c r="F73" s="252">
        <f>'18-DepRates'!$G22</f>
        <v>3.1300000000000001E-2</v>
      </c>
      <c r="G73" s="14"/>
      <c r="H73" s="14"/>
      <c r="J73" s="251"/>
      <c r="K73" s="251"/>
      <c r="L73" s="245"/>
      <c r="M73" s="241"/>
    </row>
    <row r="74" spans="1:13">
      <c r="A74" s="645">
        <f t="shared" si="0"/>
        <v>49</v>
      </c>
      <c r="D74" s="14"/>
      <c r="E74" s="14"/>
      <c r="F74" s="14"/>
      <c r="G74" s="14"/>
      <c r="H74" s="14"/>
      <c r="J74" s="251"/>
      <c r="K74" s="251"/>
      <c r="L74" s="118"/>
      <c r="M74" s="241"/>
    </row>
    <row r="75" spans="1:13">
      <c r="A75" s="645">
        <f t="shared" si="0"/>
        <v>50</v>
      </c>
      <c r="B75" t="s">
        <v>397</v>
      </c>
      <c r="D75" s="14"/>
      <c r="E75" s="14"/>
      <c r="F75" s="524" t="s">
        <v>1951</v>
      </c>
      <c r="G75" s="14"/>
      <c r="H75" s="14"/>
      <c r="J75" s="251"/>
      <c r="K75" s="251"/>
      <c r="L75" s="252"/>
      <c r="M75" s="241"/>
    </row>
    <row r="76" spans="1:13">
      <c r="A76" s="645">
        <f t="shared" si="0"/>
        <v>51</v>
      </c>
      <c r="J76" s="251"/>
      <c r="K76" s="251"/>
      <c r="L76" s="252"/>
      <c r="M76" s="241"/>
    </row>
    <row r="77" spans="1:13">
      <c r="A77" s="645">
        <f t="shared" si="0"/>
        <v>52</v>
      </c>
      <c r="D77" s="91">
        <v>360</v>
      </c>
      <c r="E77" s="91">
        <v>361</v>
      </c>
      <c r="F77" s="91">
        <v>362</v>
      </c>
      <c r="G77" s="379" t="s">
        <v>215</v>
      </c>
      <c r="J77" s="251"/>
      <c r="K77" s="251"/>
      <c r="L77" s="252"/>
      <c r="M77" s="241"/>
    </row>
    <row r="78" spans="1:13">
      <c r="A78" s="645">
        <f t="shared" ref="A78:A91" si="13">A77+1</f>
        <v>53</v>
      </c>
      <c r="D78" s="7">
        <f xml:space="preserve"> D69*D73</f>
        <v>0</v>
      </c>
      <c r="E78" s="7">
        <f xml:space="preserve"> E69*E73</f>
        <v>0</v>
      </c>
      <c r="F78" s="7">
        <f xml:space="preserve"> F69*F73</f>
        <v>0</v>
      </c>
      <c r="G78" s="7">
        <f>SUM(D78:F78)</f>
        <v>0</v>
      </c>
      <c r="H78" s="16" t="s">
        <v>1111</v>
      </c>
      <c r="J78" s="251"/>
      <c r="K78" s="251"/>
      <c r="L78" s="245"/>
      <c r="M78" s="241"/>
    </row>
    <row r="79" spans="1:13">
      <c r="A79" s="645">
        <f t="shared" si="13"/>
        <v>54</v>
      </c>
      <c r="H79" s="16" t="s">
        <v>1112</v>
      </c>
      <c r="J79" s="251"/>
      <c r="K79" s="251"/>
      <c r="L79" s="251"/>
      <c r="M79" s="241"/>
    </row>
    <row r="80" spans="1:13">
      <c r="A80" s="645">
        <f t="shared" si="13"/>
        <v>55</v>
      </c>
      <c r="J80" s="251"/>
      <c r="K80" s="251"/>
      <c r="L80" s="251"/>
      <c r="M80" s="241"/>
    </row>
    <row r="81" spans="1:13">
      <c r="A81" s="645">
        <f t="shared" si="13"/>
        <v>56</v>
      </c>
      <c r="B81" s="1" t="s">
        <v>1113</v>
      </c>
      <c r="J81" s="251"/>
      <c r="K81" s="251"/>
      <c r="L81" s="251"/>
      <c r="M81" s="241"/>
    </row>
    <row r="82" spans="1:13">
      <c r="A82" s="645">
        <f t="shared" si="13"/>
        <v>57</v>
      </c>
      <c r="B82" s="241"/>
      <c r="C82" s="241"/>
      <c r="D82" s="241"/>
      <c r="E82" s="241"/>
      <c r="F82" s="241"/>
      <c r="G82" s="241"/>
      <c r="H82" s="241"/>
      <c r="I82" s="241"/>
      <c r="J82" s="241"/>
      <c r="K82" s="241"/>
      <c r="L82" s="241"/>
      <c r="M82" s="241"/>
    </row>
    <row r="83" spans="1:13">
      <c r="A83" s="645">
        <f t="shared" si="13"/>
        <v>58</v>
      </c>
      <c r="B83" s="608" t="s">
        <v>1069</v>
      </c>
      <c r="C83" s="241"/>
      <c r="D83" s="241"/>
      <c r="E83" s="241"/>
      <c r="F83" s="241"/>
      <c r="G83" s="241"/>
      <c r="H83" s="380">
        <v>233881155</v>
      </c>
      <c r="I83" s="526" t="s">
        <v>1071</v>
      </c>
      <c r="J83" s="241"/>
      <c r="K83" s="241"/>
      <c r="L83" s="241"/>
      <c r="M83" s="241"/>
    </row>
    <row r="84" spans="1:13">
      <c r="A84" s="645">
        <f t="shared" si="13"/>
        <v>59</v>
      </c>
      <c r="B84" s="522" t="s">
        <v>1070</v>
      </c>
      <c r="C84" s="241"/>
      <c r="D84" s="241"/>
      <c r="E84" s="241"/>
      <c r="F84" s="241"/>
      <c r="G84" s="241"/>
      <c r="H84" s="107">
        <v>274263273</v>
      </c>
      <c r="I84" s="526" t="s">
        <v>1072</v>
      </c>
      <c r="J84" s="241"/>
      <c r="K84" s="241"/>
      <c r="L84" s="241"/>
      <c r="M84" s="241"/>
    </row>
    <row r="85" spans="1:13">
      <c r="A85" s="645">
        <f t="shared" si="13"/>
        <v>60</v>
      </c>
      <c r="B85" s="608" t="s">
        <v>1073</v>
      </c>
      <c r="C85" s="241"/>
      <c r="D85" s="241"/>
      <c r="E85" s="241"/>
      <c r="F85" s="241"/>
      <c r="G85" s="241"/>
      <c r="H85" s="243">
        <f>SUM(H83:H84)</f>
        <v>508144428</v>
      </c>
      <c r="I85" s="526" t="str">
        <f>"Line "&amp;A83&amp;" + Line "&amp;A84&amp;""</f>
        <v>Line 58 + Line 59</v>
      </c>
      <c r="J85" s="241"/>
      <c r="K85" s="241"/>
      <c r="L85" s="241"/>
      <c r="M85" s="241"/>
    </row>
    <row r="86" spans="1:13">
      <c r="A86" s="645">
        <f t="shared" si="13"/>
        <v>61</v>
      </c>
      <c r="B86" s="608" t="s">
        <v>104</v>
      </c>
      <c r="C86" s="241"/>
      <c r="D86" s="241"/>
      <c r="E86" s="241"/>
      <c r="F86" s="241"/>
      <c r="G86" s="241"/>
      <c r="H86" s="593">
        <f>'27-Allocators'!G15</f>
        <v>6.0220089469584258E-2</v>
      </c>
      <c r="I86" s="120" t="str">
        <f>"27-Allocators, Line "&amp;'27-Allocators'!A15&amp;""</f>
        <v>27-Allocators, Line 9</v>
      </c>
      <c r="J86" s="241"/>
      <c r="K86" s="241"/>
      <c r="L86" s="241"/>
      <c r="M86" s="241"/>
    </row>
    <row r="87" spans="1:13">
      <c r="A87" s="645">
        <f t="shared" si="13"/>
        <v>62</v>
      </c>
      <c r="B87" s="608" t="s">
        <v>1074</v>
      </c>
      <c r="C87" s="241"/>
      <c r="D87" s="241"/>
      <c r="E87" s="241"/>
      <c r="F87" s="241"/>
      <c r="G87" s="241"/>
      <c r="H87" s="245">
        <f>H85*H86</f>
        <v>30600502.917630717</v>
      </c>
      <c r="I87" s="526" t="str">
        <f>"Line "&amp;A85&amp;" * Line "&amp;A86&amp;""</f>
        <v>Line 60 * Line 61</v>
      </c>
      <c r="J87" s="241"/>
      <c r="K87" s="241"/>
      <c r="L87" s="241"/>
      <c r="M87" s="241"/>
    </row>
    <row r="88" spans="1:13">
      <c r="A88" s="645">
        <f t="shared" si="13"/>
        <v>63</v>
      </c>
      <c r="B88" s="608"/>
      <c r="C88" s="522"/>
      <c r="D88" s="241"/>
      <c r="E88" s="241"/>
      <c r="F88" s="241"/>
      <c r="G88" s="241"/>
      <c r="H88" s="251"/>
      <c r="I88" s="241"/>
      <c r="J88" s="241"/>
      <c r="K88" s="241"/>
      <c r="L88" s="241"/>
      <c r="M88" s="241"/>
    </row>
    <row r="89" spans="1:13">
      <c r="A89" s="645">
        <f t="shared" si="13"/>
        <v>64</v>
      </c>
      <c r="B89" s="90" t="s">
        <v>1903</v>
      </c>
      <c r="C89" s="241"/>
      <c r="D89" s="241"/>
      <c r="E89" s="241"/>
      <c r="F89" s="241"/>
      <c r="G89" s="241"/>
      <c r="H89" s="241"/>
      <c r="I89" s="241"/>
      <c r="J89" s="241"/>
      <c r="K89" s="241"/>
      <c r="L89" s="241"/>
      <c r="M89" s="241"/>
    </row>
    <row r="90" spans="1:13">
      <c r="A90" s="645">
        <f t="shared" si="13"/>
        <v>65</v>
      </c>
      <c r="B90" s="608"/>
      <c r="C90" s="522"/>
      <c r="D90" s="241"/>
      <c r="E90" s="241"/>
      <c r="F90" s="241"/>
      <c r="G90" s="241"/>
      <c r="H90" s="241"/>
      <c r="I90" s="241"/>
      <c r="J90" s="241"/>
      <c r="K90" s="241"/>
      <c r="L90" s="241"/>
      <c r="M90" s="241"/>
    </row>
    <row r="91" spans="1:13">
      <c r="A91" s="645">
        <f t="shared" si="13"/>
        <v>66</v>
      </c>
      <c r="B91" s="608" t="s">
        <v>1902</v>
      </c>
      <c r="C91" s="241"/>
      <c r="D91" s="241"/>
      <c r="E91" s="241"/>
      <c r="F91" s="3" t="s">
        <v>194</v>
      </c>
      <c r="G91" s="3" t="s">
        <v>198</v>
      </c>
      <c r="H91" s="241"/>
      <c r="I91" s="241"/>
    </row>
    <row r="92" spans="1:13">
      <c r="A92" s="645">
        <f>A91+1</f>
        <v>67</v>
      </c>
      <c r="B92" s="526" t="s">
        <v>1060</v>
      </c>
      <c r="C92" s="241"/>
      <c r="D92" s="241"/>
      <c r="E92" s="241"/>
      <c r="F92" s="243">
        <f>M62</f>
        <v>186244053.78605351</v>
      </c>
      <c r="G92" s="526" t="str">
        <f>"Line "&amp;A62&amp;", Col 12"</f>
        <v>Line 37, Col 12</v>
      </c>
      <c r="H92" s="241"/>
      <c r="I92" s="241"/>
    </row>
    <row r="93" spans="1:13">
      <c r="A93" s="645">
        <f>A92+1</f>
        <v>68</v>
      </c>
      <c r="B93" s="526" t="s">
        <v>1076</v>
      </c>
      <c r="C93" s="241"/>
      <c r="D93" s="241"/>
      <c r="E93" s="241"/>
      <c r="F93" s="243">
        <f>G78</f>
        <v>0</v>
      </c>
      <c r="G93" s="526" t="str">
        <f>"Line "&amp;A78&amp;""</f>
        <v>Line 53</v>
      </c>
      <c r="H93" s="241"/>
      <c r="I93" s="241"/>
    </row>
    <row r="94" spans="1:13">
      <c r="A94" s="645">
        <f>A93+1</f>
        <v>69</v>
      </c>
      <c r="B94" s="526" t="s">
        <v>1075</v>
      </c>
      <c r="C94" s="241"/>
      <c r="D94" s="241"/>
      <c r="E94" s="241"/>
      <c r="F94" s="118">
        <f>H87</f>
        <v>30600502.917630717</v>
      </c>
      <c r="G94" s="526" t="str">
        <f>"Line "&amp;A87&amp;""</f>
        <v>Line 62</v>
      </c>
      <c r="H94" s="241"/>
      <c r="I94" s="241"/>
    </row>
    <row r="95" spans="1:13">
      <c r="A95" s="645">
        <f>A94+1</f>
        <v>70</v>
      </c>
      <c r="B95" s="241"/>
      <c r="C95" s="241"/>
      <c r="D95" s="241"/>
      <c r="E95" s="242" t="s">
        <v>1114</v>
      </c>
      <c r="F95" s="245">
        <f>SUM(F92:F94)</f>
        <v>216844556.70368421</v>
      </c>
      <c r="G95" s="526" t="str">
        <f>"Line "&amp;A92&amp;" + Line "&amp;A93&amp;" + Line "&amp;A94&amp;""</f>
        <v>Line 67 + Line 68 + Line 69</v>
      </c>
      <c r="H95" s="241"/>
      <c r="I95" s="241"/>
    </row>
    <row r="96" spans="1:13">
      <c r="A96" s="241"/>
      <c r="B96" s="1" t="s">
        <v>256</v>
      </c>
      <c r="C96" s="241"/>
      <c r="D96" s="241"/>
      <c r="E96" s="241"/>
      <c r="F96" s="241"/>
      <c r="G96" s="241"/>
      <c r="H96" s="241"/>
      <c r="I96" s="241"/>
    </row>
    <row r="97" spans="1:10">
      <c r="A97" s="241"/>
      <c r="B97" s="522" t="s">
        <v>1614</v>
      </c>
      <c r="C97" s="241"/>
      <c r="D97" s="241"/>
      <c r="E97" s="241"/>
      <c r="F97" s="241"/>
      <c r="G97" s="241"/>
      <c r="H97" s="241"/>
      <c r="I97" s="241"/>
    </row>
    <row r="98" spans="1:10">
      <c r="A98" s="241"/>
      <c r="B98" s="524" t="str">
        <f>"same account, times the Monthly Depreciation Rate for that account.  Monthly rate = annual rates on Line "&amp;A30&amp;" etc. divided by 12."</f>
        <v>same account, times the Monthly Depreciation Rate for that account.  Monthly rate = annual rates on Line 17a etc. divided by 12.</v>
      </c>
      <c r="C98" s="251"/>
      <c r="D98" s="251"/>
      <c r="E98" s="251"/>
      <c r="F98" s="251"/>
      <c r="G98" s="251"/>
      <c r="H98" s="251"/>
      <c r="I98" s="251"/>
      <c r="J98" s="14"/>
    </row>
    <row r="99" spans="1:10">
      <c r="A99" s="241"/>
      <c r="B99" s="524" t="str">
        <f>"2) Depreciation Expense for each account is equal to the Average BOY/EOY value on Line "&amp;A69&amp;" times the"</f>
        <v>2) Depreciation Expense for each account is equal to the Average BOY/EOY value on Line 44 times the</v>
      </c>
      <c r="C99" s="251"/>
      <c r="D99" s="251"/>
      <c r="E99" s="251"/>
      <c r="F99" s="251"/>
      <c r="G99" s="251"/>
      <c r="H99" s="251"/>
      <c r="I99" s="251"/>
      <c r="J99" s="14"/>
    </row>
    <row r="100" spans="1:10">
      <c r="B100" s="524" t="str">
        <f>"Depreciation Rate on Line "&amp;A73&amp;"."</f>
        <v>Depreciation Rate on Line 48.</v>
      </c>
      <c r="C100" s="14"/>
      <c r="D100" s="14"/>
      <c r="E100" s="14"/>
      <c r="F100" s="14"/>
      <c r="G100" s="14"/>
      <c r="H100" s="14"/>
      <c r="I100" s="14"/>
      <c r="J100" s="14"/>
    </row>
    <row r="101" spans="1:10">
      <c r="B101" s="44" t="s">
        <v>420</v>
      </c>
      <c r="C101" s="14"/>
      <c r="D101" s="14"/>
      <c r="E101" s="14"/>
      <c r="F101" s="14"/>
      <c r="G101" s="14"/>
      <c r="H101" s="14"/>
      <c r="I101" s="14"/>
      <c r="J101" s="14"/>
    </row>
    <row r="102" spans="1:10">
      <c r="B102" s="524" t="s">
        <v>2520</v>
      </c>
      <c r="C102" s="14"/>
      <c r="D102" s="14"/>
      <c r="E102" s="14"/>
      <c r="F102" s="14"/>
      <c r="G102" s="14"/>
      <c r="H102" s="14"/>
      <c r="I102" s="14"/>
      <c r="J102" s="14"/>
    </row>
    <row r="103" spans="1:10">
      <c r="B103" s="524" t="s">
        <v>2521</v>
      </c>
      <c r="C103" s="14"/>
      <c r="D103" s="14"/>
      <c r="E103" s="14"/>
      <c r="F103" s="14"/>
      <c r="G103" s="14"/>
      <c r="H103" s="14"/>
      <c r="I103" s="14"/>
      <c r="J103" s="14"/>
    </row>
    <row r="104" spans="1:10">
      <c r="B104" s="14" t="s">
        <v>2522</v>
      </c>
      <c r="C104" s="14"/>
      <c r="D104" s="14"/>
      <c r="E104" s="14"/>
      <c r="F104" s="14"/>
      <c r="G104" s="14"/>
      <c r="H104" s="14"/>
      <c r="I104" s="14"/>
      <c r="J104" s="14"/>
    </row>
    <row r="105" spans="1:10">
      <c r="B105" s="14" t="s">
        <v>2523</v>
      </c>
      <c r="C105" s="14"/>
      <c r="D105" s="14"/>
      <c r="E105" s="14"/>
      <c r="F105" s="14"/>
      <c r="G105" s="14"/>
      <c r="H105" s="14"/>
      <c r="I105" s="14"/>
      <c r="J105" s="14"/>
    </row>
    <row r="106" spans="1:10">
      <c r="B106" s="524" t="s">
        <v>2041</v>
      </c>
      <c r="C106" s="14"/>
      <c r="D106" s="14"/>
      <c r="E106" s="14"/>
      <c r="F106" s="14"/>
      <c r="G106" s="14"/>
      <c r="H106" s="14"/>
      <c r="I106" s="14"/>
      <c r="J106" s="14"/>
    </row>
    <row r="107" spans="1:10">
      <c r="B107" s="524" t="str">
        <f>"for Distribution Plant - ISO on Line "&amp;A78&amp;" utilizing the weighted-average (by time) of the annual depreciation rates in effect in the Prior Year."</f>
        <v>for Distribution Plant - ISO on Line 53 utilizing the weighted-average (by time) of the annual depreciation rates in effect in the Prior Year.</v>
      </c>
      <c r="C107" s="14"/>
      <c r="D107" s="14"/>
      <c r="E107" s="14"/>
      <c r="F107" s="14"/>
      <c r="G107" s="14"/>
      <c r="H107" s="14"/>
      <c r="I107" s="14"/>
      <c r="J107" s="14"/>
    </row>
  </sheetData>
  <pageMargins left="0.7" right="0.7" top="0.75" bottom="0.75" header="0.3" footer="0.3"/>
  <pageSetup scale="63" orientation="landscape" cellComments="asDisplayed" r:id="rId1"/>
  <headerFooter>
    <oddHeader>&amp;CSchedule 17
Depreciation Expense
&amp;RTO11 Draft Annual Update
Attachment 1</oddHeader>
    <oddFooter>&amp;R17-Depreciation</oddFooter>
  </headerFooter>
  <rowBreaks count="1" manualBreakCount="1">
    <brk id="63" max="12"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heetViews>
  <sheetFormatPr defaultRowHeight="12.75"/>
  <cols>
    <col min="1" max="1" width="4.7109375" customWidth="1"/>
    <col min="4" max="4" width="38.7109375" customWidth="1"/>
    <col min="5" max="7" width="9.140625" style="522"/>
  </cols>
  <sheetData>
    <row r="1" spans="1:7" ht="15">
      <c r="A1" s="381" t="s">
        <v>1115</v>
      </c>
    </row>
    <row r="3" spans="1:7" ht="15">
      <c r="B3" s="381" t="s">
        <v>351</v>
      </c>
      <c r="E3" s="403" t="s">
        <v>414</v>
      </c>
      <c r="F3" s="403"/>
      <c r="G3" s="403"/>
    </row>
    <row r="4" spans="1:7" ht="15">
      <c r="C4" s="254" t="s">
        <v>12</v>
      </c>
      <c r="E4" s="403" t="s">
        <v>1116</v>
      </c>
      <c r="F4" s="4" t="s">
        <v>1117</v>
      </c>
      <c r="G4" s="4"/>
    </row>
    <row r="5" spans="1:7" ht="15">
      <c r="A5" s="52" t="s">
        <v>360</v>
      </c>
      <c r="C5" s="256" t="s">
        <v>110</v>
      </c>
      <c r="D5" s="256" t="s">
        <v>111</v>
      </c>
      <c r="E5" s="1009" t="s">
        <v>1118</v>
      </c>
      <c r="F5" s="1009" t="s">
        <v>1119</v>
      </c>
      <c r="G5" s="1009" t="s">
        <v>215</v>
      </c>
    </row>
    <row r="6" spans="1:7" ht="15" customHeight="1">
      <c r="A6" s="2">
        <v>1</v>
      </c>
      <c r="C6" s="263">
        <v>350.1</v>
      </c>
      <c r="D6" s="382" t="s">
        <v>1120</v>
      </c>
      <c r="E6" s="573">
        <v>0</v>
      </c>
      <c r="F6" s="573">
        <v>0</v>
      </c>
      <c r="G6" s="573">
        <v>0</v>
      </c>
    </row>
    <row r="7" spans="1:7" ht="15" customHeight="1">
      <c r="A7" s="2">
        <f>A6+1</f>
        <v>2</v>
      </c>
      <c r="C7" s="263">
        <v>350.2</v>
      </c>
      <c r="D7" s="382" t="s">
        <v>1121</v>
      </c>
      <c r="E7" s="573">
        <v>1.66E-2</v>
      </c>
      <c r="F7" s="573">
        <v>0</v>
      </c>
      <c r="G7" s="573">
        <v>1.66E-2</v>
      </c>
    </row>
    <row r="8" spans="1:7">
      <c r="A8" s="2">
        <f t="shared" ref="A8:A16" si="0">A7+1</f>
        <v>3</v>
      </c>
      <c r="C8" s="263">
        <v>352</v>
      </c>
      <c r="D8" s="16" t="s">
        <v>1122</v>
      </c>
      <c r="E8" s="573">
        <v>1.7999999999999999E-2</v>
      </c>
      <c r="F8" s="573">
        <v>7.7000000000000002E-3</v>
      </c>
      <c r="G8" s="573">
        <v>2.5700000000000001E-2</v>
      </c>
    </row>
    <row r="9" spans="1:7">
      <c r="A9" s="2">
        <f t="shared" si="0"/>
        <v>4</v>
      </c>
      <c r="C9" s="263">
        <v>353</v>
      </c>
      <c r="D9" s="16" t="s">
        <v>1123</v>
      </c>
      <c r="E9" s="573">
        <v>2.1999999999999999E-2</v>
      </c>
      <c r="F9" s="573">
        <v>2.7000000000000001E-3</v>
      </c>
      <c r="G9" s="573">
        <v>2.47E-2</v>
      </c>
    </row>
    <row r="10" spans="1:7">
      <c r="A10" s="2">
        <f t="shared" si="0"/>
        <v>5</v>
      </c>
      <c r="C10" s="263">
        <v>354</v>
      </c>
      <c r="D10" s="16" t="s">
        <v>1333</v>
      </c>
      <c r="E10" s="573">
        <v>1.35E-2</v>
      </c>
      <c r="F10" s="573">
        <v>1.09E-2</v>
      </c>
      <c r="G10" s="573">
        <v>2.4400000000000002E-2</v>
      </c>
    </row>
    <row r="11" spans="1:7">
      <c r="A11" s="2">
        <f t="shared" si="0"/>
        <v>6</v>
      </c>
      <c r="C11" s="263">
        <v>355</v>
      </c>
      <c r="D11" s="16" t="s">
        <v>1124</v>
      </c>
      <c r="E11" s="573">
        <v>0.02</v>
      </c>
      <c r="F11" s="573">
        <v>1.67E-2</v>
      </c>
      <c r="G11" s="573">
        <v>3.6700000000000003E-2</v>
      </c>
    </row>
    <row r="12" spans="1:7">
      <c r="A12" s="2">
        <f t="shared" si="0"/>
        <v>7</v>
      </c>
      <c r="C12" s="263">
        <v>356</v>
      </c>
      <c r="D12" s="16" t="s">
        <v>1125</v>
      </c>
      <c r="E12" s="573">
        <v>0.02</v>
      </c>
      <c r="F12" s="573">
        <v>1.0500000000000001E-2</v>
      </c>
      <c r="G12" s="573">
        <v>3.0499999999999999E-2</v>
      </c>
    </row>
    <row r="13" spans="1:7">
      <c r="A13" s="2">
        <f t="shared" si="0"/>
        <v>8</v>
      </c>
      <c r="C13" s="263">
        <v>357</v>
      </c>
      <c r="D13" s="16" t="s">
        <v>1126</v>
      </c>
      <c r="E13" s="573">
        <v>1.6500000000000001E-2</v>
      </c>
      <c r="F13" s="573">
        <v>0</v>
      </c>
      <c r="G13" s="573">
        <v>1.6500000000000001E-2</v>
      </c>
    </row>
    <row r="14" spans="1:7">
      <c r="A14" s="2">
        <f t="shared" si="0"/>
        <v>9</v>
      </c>
      <c r="C14" s="263">
        <v>358</v>
      </c>
      <c r="D14" s="16" t="s">
        <v>1127</v>
      </c>
      <c r="E14" s="573">
        <v>3.2599999999999997E-2</v>
      </c>
      <c r="F14" s="573">
        <v>6.1000000000000004E-3</v>
      </c>
      <c r="G14" s="573">
        <v>3.8699999999999998E-2</v>
      </c>
    </row>
    <row r="15" spans="1:7">
      <c r="A15" s="2">
        <f t="shared" si="0"/>
        <v>10</v>
      </c>
      <c r="C15" s="263">
        <v>359</v>
      </c>
      <c r="D15" s="16" t="s">
        <v>1128</v>
      </c>
      <c r="E15" s="573">
        <v>1.5599999999999999E-2</v>
      </c>
      <c r="F15" s="573">
        <v>0</v>
      </c>
      <c r="G15" s="573">
        <v>1.5599999999999999E-2</v>
      </c>
    </row>
    <row r="16" spans="1:7">
      <c r="A16" s="2">
        <f t="shared" si="0"/>
        <v>11</v>
      </c>
    </row>
    <row r="17" spans="1:7" ht="15">
      <c r="B17" s="381" t="s">
        <v>352</v>
      </c>
      <c r="E17" s="403" t="s">
        <v>414</v>
      </c>
      <c r="F17" s="403"/>
      <c r="G17" s="403"/>
    </row>
    <row r="18" spans="1:7" ht="15">
      <c r="C18" s="254" t="s">
        <v>12</v>
      </c>
      <c r="E18" s="403" t="s">
        <v>1116</v>
      </c>
      <c r="F18" s="4" t="s">
        <v>1117</v>
      </c>
      <c r="G18" s="4"/>
    </row>
    <row r="19" spans="1:7" ht="15">
      <c r="C19" s="256" t="s">
        <v>110</v>
      </c>
      <c r="D19" s="256" t="s">
        <v>111</v>
      </c>
      <c r="E19" s="1009" t="s">
        <v>1118</v>
      </c>
      <c r="F19" s="1009" t="s">
        <v>1119</v>
      </c>
      <c r="G19" s="1009" t="s">
        <v>215</v>
      </c>
    </row>
    <row r="20" spans="1:7">
      <c r="A20" s="2">
        <f>A16+1</f>
        <v>12</v>
      </c>
      <c r="C20">
        <v>360</v>
      </c>
      <c r="D20" s="16" t="s">
        <v>1129</v>
      </c>
      <c r="E20" s="1010">
        <v>1.67E-2</v>
      </c>
      <c r="F20" s="1010">
        <v>0</v>
      </c>
      <c r="G20" s="1010">
        <v>1.67E-2</v>
      </c>
    </row>
    <row r="21" spans="1:7">
      <c r="A21" s="2">
        <f>A20+1</f>
        <v>13</v>
      </c>
      <c r="C21">
        <v>361</v>
      </c>
      <c r="D21" s="16" t="s">
        <v>1122</v>
      </c>
      <c r="E21" s="1010">
        <v>2.3300000000000001E-2</v>
      </c>
      <c r="F21" s="1010">
        <v>7.1000000000000004E-3</v>
      </c>
      <c r="G21" s="1010">
        <v>3.04E-2</v>
      </c>
    </row>
    <row r="22" spans="1:7">
      <c r="A22" s="2">
        <f>A21+1</f>
        <v>14</v>
      </c>
      <c r="C22">
        <v>362</v>
      </c>
      <c r="D22" s="16" t="s">
        <v>1123</v>
      </c>
      <c r="E22" s="1010">
        <v>2.1700000000000001E-2</v>
      </c>
      <c r="F22" s="1010">
        <v>9.5999999999999992E-3</v>
      </c>
      <c r="G22" s="1010">
        <v>3.1300000000000001E-2</v>
      </c>
    </row>
    <row r="24" spans="1:7" ht="15">
      <c r="B24" s="381" t="s">
        <v>1130</v>
      </c>
      <c r="E24" s="403" t="s">
        <v>414</v>
      </c>
    </row>
    <row r="25" spans="1:7" ht="15">
      <c r="C25" s="254" t="s">
        <v>12</v>
      </c>
      <c r="E25" s="403" t="s">
        <v>1116</v>
      </c>
      <c r="F25" s="4" t="s">
        <v>1117</v>
      </c>
      <c r="G25" s="4"/>
    </row>
    <row r="26" spans="1:7" ht="15">
      <c r="C26" s="256" t="s">
        <v>110</v>
      </c>
      <c r="D26" s="256" t="s">
        <v>111</v>
      </c>
      <c r="E26" s="1009" t="s">
        <v>1118</v>
      </c>
      <c r="F26" s="1009" t="s">
        <v>1119</v>
      </c>
      <c r="G26" s="1009" t="s">
        <v>215</v>
      </c>
    </row>
    <row r="27" spans="1:7">
      <c r="A27" s="2">
        <f>A22+1</f>
        <v>15</v>
      </c>
      <c r="C27" s="522">
        <v>389</v>
      </c>
      <c r="D27" s="526" t="s">
        <v>1129</v>
      </c>
      <c r="E27" s="1010">
        <v>1.67E-2</v>
      </c>
      <c r="F27" s="1010">
        <v>0</v>
      </c>
      <c r="G27" s="1010">
        <v>1.67E-2</v>
      </c>
    </row>
    <row r="28" spans="1:7">
      <c r="A28" s="2">
        <f t="shared" ref="A28:A53" si="1">A27+1</f>
        <v>16</v>
      </c>
      <c r="C28" s="522">
        <v>390</v>
      </c>
      <c r="D28" s="526" t="s">
        <v>1122</v>
      </c>
      <c r="E28" s="1010">
        <v>2.41E-2</v>
      </c>
      <c r="F28" s="1010">
        <v>3.3E-3</v>
      </c>
      <c r="G28" s="1010">
        <v>2.7400000000000001E-2</v>
      </c>
    </row>
    <row r="29" spans="1:7">
      <c r="A29" s="2">
        <f t="shared" si="1"/>
        <v>17</v>
      </c>
      <c r="C29" s="522">
        <v>391.1</v>
      </c>
      <c r="D29" s="1010" t="s">
        <v>1131</v>
      </c>
      <c r="E29" s="1010">
        <f>G29-F29</f>
        <v>0.05</v>
      </c>
      <c r="F29" s="1010">
        <v>0</v>
      </c>
      <c r="G29" s="1010">
        <v>0.05</v>
      </c>
    </row>
    <row r="30" spans="1:7">
      <c r="A30" s="2">
        <f t="shared" si="1"/>
        <v>18</v>
      </c>
      <c r="C30" s="522">
        <v>391.5</v>
      </c>
      <c r="D30" s="1010" t="s">
        <v>1811</v>
      </c>
      <c r="E30" s="1010">
        <f t="shared" ref="E30:E53" si="2">G30-F30</f>
        <v>0.2</v>
      </c>
      <c r="F30" s="1010">
        <v>0</v>
      </c>
      <c r="G30" s="1010">
        <v>0.2</v>
      </c>
    </row>
    <row r="31" spans="1:7">
      <c r="A31" s="2">
        <f t="shared" si="1"/>
        <v>19</v>
      </c>
      <c r="C31" s="522">
        <v>391.6</v>
      </c>
      <c r="D31" s="1010" t="s">
        <v>1812</v>
      </c>
      <c r="E31" s="1010">
        <f t="shared" si="2"/>
        <v>0.2</v>
      </c>
      <c r="F31" s="1010">
        <v>0</v>
      </c>
      <c r="G31" s="1010">
        <v>0.2</v>
      </c>
    </row>
    <row r="32" spans="1:7">
      <c r="A32" s="2">
        <f t="shared" si="1"/>
        <v>20</v>
      </c>
      <c r="C32" s="522">
        <v>391.2</v>
      </c>
      <c r="D32" s="1010" t="s">
        <v>1813</v>
      </c>
      <c r="E32" s="1010">
        <f t="shared" si="2"/>
        <v>0.2</v>
      </c>
      <c r="F32" s="1010">
        <v>0</v>
      </c>
      <c r="G32" s="1010">
        <v>0.2</v>
      </c>
    </row>
    <row r="33" spans="1:7">
      <c r="A33" s="2">
        <f t="shared" si="1"/>
        <v>21</v>
      </c>
      <c r="C33" s="522">
        <v>391.3</v>
      </c>
      <c r="D33" s="1010" t="s">
        <v>1814</v>
      </c>
      <c r="E33" s="1010">
        <f t="shared" si="2"/>
        <v>0.2</v>
      </c>
      <c r="F33" s="1010">
        <v>0</v>
      </c>
      <c r="G33" s="1010">
        <v>0.2</v>
      </c>
    </row>
    <row r="34" spans="1:7">
      <c r="A34" s="2">
        <f t="shared" si="1"/>
        <v>22</v>
      </c>
      <c r="C34" s="520">
        <v>391.7</v>
      </c>
      <c r="D34" s="1010" t="s">
        <v>1815</v>
      </c>
      <c r="E34" s="1010">
        <f t="shared" si="2"/>
        <v>0.2</v>
      </c>
      <c r="F34" s="1010">
        <v>0</v>
      </c>
      <c r="G34" s="1010">
        <v>0.2</v>
      </c>
    </row>
    <row r="35" spans="1:7">
      <c r="A35" s="607">
        <f t="shared" si="1"/>
        <v>23</v>
      </c>
      <c r="C35" s="520">
        <v>391.4</v>
      </c>
      <c r="D35" s="1010" t="s">
        <v>1816</v>
      </c>
      <c r="E35" s="1010">
        <f t="shared" si="2"/>
        <v>0.1429</v>
      </c>
      <c r="F35" s="1010">
        <v>0</v>
      </c>
      <c r="G35" s="1010">
        <v>0.1429</v>
      </c>
    </row>
    <row r="36" spans="1:7">
      <c r="A36" s="607">
        <f t="shared" si="1"/>
        <v>24</v>
      </c>
      <c r="C36" s="522">
        <v>391.4</v>
      </c>
      <c r="D36" s="1010" t="s">
        <v>1817</v>
      </c>
      <c r="E36" s="1010">
        <f t="shared" si="2"/>
        <v>0.1</v>
      </c>
      <c r="F36" s="1010">
        <v>0</v>
      </c>
      <c r="G36" s="1010">
        <v>0.1</v>
      </c>
    </row>
    <row r="37" spans="1:7">
      <c r="A37" s="607">
        <f t="shared" si="1"/>
        <v>25</v>
      </c>
      <c r="C37" s="520">
        <v>391.4</v>
      </c>
      <c r="D37" s="1010" t="s">
        <v>1818</v>
      </c>
      <c r="E37" s="1010">
        <f t="shared" si="2"/>
        <v>6.6699999999999995E-2</v>
      </c>
      <c r="F37" s="1010">
        <v>0</v>
      </c>
      <c r="G37" s="1010">
        <v>6.6699999999999995E-2</v>
      </c>
    </row>
    <row r="38" spans="1:7">
      <c r="A38" s="607">
        <f t="shared" si="1"/>
        <v>26</v>
      </c>
      <c r="C38" s="520">
        <v>391.4</v>
      </c>
      <c r="D38" s="1010" t="s">
        <v>1819</v>
      </c>
      <c r="E38" s="1010">
        <f t="shared" si="2"/>
        <v>0.05</v>
      </c>
      <c r="F38" s="1010">
        <v>0</v>
      </c>
      <c r="G38" s="1010">
        <v>0.05</v>
      </c>
    </row>
    <row r="39" spans="1:7">
      <c r="A39" s="607">
        <f t="shared" si="1"/>
        <v>27</v>
      </c>
      <c r="C39" s="520">
        <v>391.4</v>
      </c>
      <c r="D39" s="1010" t="s">
        <v>1820</v>
      </c>
      <c r="E39" s="1010">
        <f t="shared" si="2"/>
        <v>0.04</v>
      </c>
      <c r="F39" s="1010">
        <v>0</v>
      </c>
      <c r="G39" s="1010">
        <v>0.04</v>
      </c>
    </row>
    <row r="40" spans="1:7">
      <c r="A40" s="607">
        <f t="shared" si="1"/>
        <v>28</v>
      </c>
      <c r="C40" s="520">
        <v>393</v>
      </c>
      <c r="D40" s="522" t="s">
        <v>1821</v>
      </c>
      <c r="E40" s="1010">
        <f t="shared" si="2"/>
        <v>0.05</v>
      </c>
      <c r="F40" s="1010">
        <v>0</v>
      </c>
      <c r="G40" s="1010">
        <v>0.05</v>
      </c>
    </row>
    <row r="41" spans="1:7">
      <c r="A41" s="607">
        <f t="shared" si="1"/>
        <v>29</v>
      </c>
      <c r="C41" s="520">
        <v>395</v>
      </c>
      <c r="D41" s="522" t="s">
        <v>1822</v>
      </c>
      <c r="E41" s="1010">
        <f t="shared" si="2"/>
        <v>6.6699999999999995E-2</v>
      </c>
      <c r="F41" s="1010">
        <v>0</v>
      </c>
      <c r="G41" s="1010">
        <v>6.6699999999999995E-2</v>
      </c>
    </row>
    <row r="42" spans="1:7">
      <c r="A42" s="607">
        <f t="shared" si="1"/>
        <v>30</v>
      </c>
      <c r="C42" s="520">
        <v>398</v>
      </c>
      <c r="D42" s="522" t="s">
        <v>1823</v>
      </c>
      <c r="E42" s="1010">
        <f t="shared" si="2"/>
        <v>0.05</v>
      </c>
      <c r="F42" s="1010">
        <v>0</v>
      </c>
      <c r="G42" s="1010">
        <v>0.05</v>
      </c>
    </row>
    <row r="43" spans="1:7">
      <c r="A43" s="607">
        <f t="shared" si="1"/>
        <v>31</v>
      </c>
      <c r="C43" s="520">
        <v>397</v>
      </c>
      <c r="D43" s="522" t="s">
        <v>2928</v>
      </c>
      <c r="E43" s="1010">
        <v>0.2</v>
      </c>
      <c r="F43" s="1010">
        <v>0</v>
      </c>
      <c r="G43" s="1010">
        <v>0.2</v>
      </c>
    </row>
    <row r="44" spans="1:7">
      <c r="A44" s="607">
        <f t="shared" si="1"/>
        <v>32</v>
      </c>
      <c r="C44" s="520">
        <v>397</v>
      </c>
      <c r="D44" s="522" t="s">
        <v>1824</v>
      </c>
      <c r="E44" s="1010">
        <v>0.1429</v>
      </c>
      <c r="F44" s="1010">
        <v>0</v>
      </c>
      <c r="G44" s="1010">
        <v>0.1429</v>
      </c>
    </row>
    <row r="45" spans="1:7">
      <c r="A45" s="607">
        <f t="shared" si="1"/>
        <v>33</v>
      </c>
      <c r="C45" s="520">
        <v>397</v>
      </c>
      <c r="D45" s="522" t="s">
        <v>1825</v>
      </c>
      <c r="E45" s="1010">
        <f t="shared" si="2"/>
        <v>0.1</v>
      </c>
      <c r="F45" s="1010">
        <v>0</v>
      </c>
      <c r="G45" s="1010">
        <v>0.1</v>
      </c>
    </row>
    <row r="46" spans="1:7">
      <c r="A46" s="607">
        <f t="shared" si="1"/>
        <v>34</v>
      </c>
      <c r="C46" s="520">
        <v>397</v>
      </c>
      <c r="D46" s="522" t="s">
        <v>1826</v>
      </c>
      <c r="E46" s="1010">
        <v>6.6699999999999995E-2</v>
      </c>
      <c r="F46" s="1010">
        <v>0</v>
      </c>
      <c r="G46" s="1010">
        <v>6.6699999999999995E-2</v>
      </c>
    </row>
    <row r="47" spans="1:7">
      <c r="A47" s="607">
        <f t="shared" si="1"/>
        <v>35</v>
      </c>
      <c r="C47" s="520">
        <v>397</v>
      </c>
      <c r="D47" s="522" t="s">
        <v>2929</v>
      </c>
      <c r="E47" s="1324">
        <v>0.05</v>
      </c>
      <c r="F47" s="1010">
        <v>0</v>
      </c>
      <c r="G47" s="1324">
        <v>0.05</v>
      </c>
    </row>
    <row r="48" spans="1:7">
      <c r="A48" s="607">
        <f t="shared" si="1"/>
        <v>36</v>
      </c>
      <c r="C48" s="520">
        <v>397</v>
      </c>
      <c r="D48" s="522" t="s">
        <v>1827</v>
      </c>
      <c r="E48" s="1010">
        <v>5.9400000000000001E-2</v>
      </c>
      <c r="F48" s="1010">
        <v>1.1999999999999999E-3</v>
      </c>
      <c r="G48" s="1010">
        <v>6.0600000000000001E-2</v>
      </c>
    </row>
    <row r="49" spans="1:7">
      <c r="A49" s="607">
        <f t="shared" si="1"/>
        <v>37</v>
      </c>
      <c r="C49" s="520">
        <v>397</v>
      </c>
      <c r="D49" s="522" t="s">
        <v>1828</v>
      </c>
      <c r="E49" s="1010">
        <v>3.6499999999999998E-2</v>
      </c>
      <c r="F49" s="1010">
        <v>1E-3</v>
      </c>
      <c r="G49" s="1010">
        <v>3.7499999999999999E-2</v>
      </c>
    </row>
    <row r="50" spans="1:7">
      <c r="A50" s="607">
        <f t="shared" si="1"/>
        <v>38</v>
      </c>
      <c r="C50" s="520">
        <v>392</v>
      </c>
      <c r="D50" s="522" t="s">
        <v>1829</v>
      </c>
      <c r="E50" s="1010">
        <f t="shared" si="2"/>
        <v>0.1429</v>
      </c>
      <c r="F50" s="1010">
        <v>0</v>
      </c>
      <c r="G50" s="1010">
        <v>0.1429</v>
      </c>
    </row>
    <row r="51" spans="1:7">
      <c r="A51" s="607">
        <f t="shared" si="1"/>
        <v>39</v>
      </c>
      <c r="C51" s="520">
        <v>394.4</v>
      </c>
      <c r="D51" s="522" t="s">
        <v>1830</v>
      </c>
      <c r="E51" s="1010">
        <f t="shared" si="2"/>
        <v>0.1</v>
      </c>
      <c r="F51" s="1010">
        <v>0</v>
      </c>
      <c r="G51" s="1010">
        <v>0.1</v>
      </c>
    </row>
    <row r="52" spans="1:7">
      <c r="A52" s="645">
        <f t="shared" si="1"/>
        <v>40</v>
      </c>
      <c r="C52" s="520">
        <v>394.5</v>
      </c>
      <c r="D52" s="522" t="s">
        <v>1831</v>
      </c>
      <c r="E52" s="1010">
        <f t="shared" si="2"/>
        <v>0.1</v>
      </c>
      <c r="F52" s="1010">
        <v>0</v>
      </c>
      <c r="G52" s="1010">
        <v>0.1</v>
      </c>
    </row>
    <row r="53" spans="1:7">
      <c r="A53" s="645">
        <f t="shared" si="1"/>
        <v>41</v>
      </c>
      <c r="C53" s="520">
        <v>396</v>
      </c>
      <c r="D53" s="522" t="s">
        <v>1832</v>
      </c>
      <c r="E53" s="1010">
        <f t="shared" si="2"/>
        <v>6.6699999999999995E-2</v>
      </c>
      <c r="F53" s="1010">
        <v>0</v>
      </c>
      <c r="G53" s="1010">
        <v>6.6699999999999995E-2</v>
      </c>
    </row>
    <row r="54" spans="1:7" s="1189" customFormat="1">
      <c r="E54" s="1010"/>
      <c r="F54" s="1010"/>
      <c r="G54" s="1010"/>
    </row>
    <row r="55" spans="1:7" s="1189" customFormat="1" ht="15">
      <c r="B55" s="381" t="s">
        <v>1132</v>
      </c>
      <c r="E55" s="645" t="s">
        <v>414</v>
      </c>
      <c r="F55" s="1010"/>
      <c r="G55" s="1010"/>
    </row>
    <row r="56" spans="1:7" ht="15">
      <c r="C56" s="254" t="s">
        <v>12</v>
      </c>
      <c r="E56" s="403" t="s">
        <v>1116</v>
      </c>
      <c r="F56" s="4" t="s">
        <v>1117</v>
      </c>
      <c r="G56" s="4"/>
    </row>
    <row r="57" spans="1:7" ht="15">
      <c r="C57" s="256" t="s">
        <v>110</v>
      </c>
      <c r="D57" s="256" t="s">
        <v>111</v>
      </c>
      <c r="E57" s="1009" t="s">
        <v>1118</v>
      </c>
      <c r="F57" s="1009" t="s">
        <v>1119</v>
      </c>
      <c r="G57" s="1009" t="s">
        <v>215</v>
      </c>
    </row>
    <row r="58" spans="1:7" ht="15">
      <c r="A58" s="2">
        <f>A53+1</f>
        <v>42</v>
      </c>
      <c r="C58" s="384">
        <v>302</v>
      </c>
      <c r="D58" s="382" t="s">
        <v>1133</v>
      </c>
      <c r="E58" s="1010">
        <v>2.52E-2</v>
      </c>
      <c r="F58" s="1010">
        <v>0</v>
      </c>
      <c r="G58" s="1010">
        <v>2.52E-2</v>
      </c>
    </row>
    <row r="59" spans="1:7" ht="15">
      <c r="A59" s="2">
        <f t="shared" ref="A59:A64" si="3">A58+1</f>
        <v>43</v>
      </c>
      <c r="C59" s="384">
        <v>303</v>
      </c>
      <c r="D59" s="382" t="s">
        <v>1134</v>
      </c>
      <c r="E59" s="1010">
        <v>2.5000000000000001E-2</v>
      </c>
      <c r="F59" s="1010">
        <v>0</v>
      </c>
      <c r="G59" s="1010">
        <v>2.5000000000000001E-2</v>
      </c>
    </row>
    <row r="60" spans="1:7" ht="15">
      <c r="A60" s="2">
        <f t="shared" si="3"/>
        <v>44</v>
      </c>
      <c r="C60" s="384">
        <v>301</v>
      </c>
      <c r="D60" s="382" t="s">
        <v>1135</v>
      </c>
      <c r="E60" s="1010">
        <v>0.05</v>
      </c>
      <c r="F60" s="1010">
        <v>0</v>
      </c>
      <c r="G60" s="1010">
        <v>0.05</v>
      </c>
    </row>
    <row r="61" spans="1:7" ht="15">
      <c r="A61" s="2">
        <f t="shared" si="3"/>
        <v>45</v>
      </c>
      <c r="C61" s="384">
        <v>303</v>
      </c>
      <c r="D61" s="382" t="s">
        <v>1136</v>
      </c>
      <c r="E61" s="1010">
        <v>0.20580000000000001</v>
      </c>
      <c r="F61" s="1010">
        <v>0</v>
      </c>
      <c r="G61" s="1010">
        <v>0.20580000000000001</v>
      </c>
    </row>
    <row r="62" spans="1:7" ht="15">
      <c r="A62" s="2">
        <f t="shared" si="3"/>
        <v>46</v>
      </c>
      <c r="C62" s="384">
        <v>303</v>
      </c>
      <c r="D62" s="382" t="s">
        <v>1137</v>
      </c>
      <c r="E62" s="1010">
        <v>0.14929999999999999</v>
      </c>
      <c r="F62" s="1010">
        <v>0</v>
      </c>
      <c r="G62" s="1010">
        <v>0.14929999999999999</v>
      </c>
    </row>
    <row r="63" spans="1:7" ht="15">
      <c r="A63" s="2">
        <f t="shared" si="3"/>
        <v>47</v>
      </c>
      <c r="C63" s="384">
        <v>303</v>
      </c>
      <c r="D63" s="382" t="s">
        <v>1138</v>
      </c>
      <c r="E63" s="1010">
        <v>0.1245</v>
      </c>
      <c r="F63" s="1010">
        <v>0</v>
      </c>
      <c r="G63" s="1010">
        <v>0.1245</v>
      </c>
    </row>
    <row r="64" spans="1:7" ht="15">
      <c r="A64" s="2">
        <f t="shared" si="3"/>
        <v>48</v>
      </c>
      <c r="C64" s="384">
        <v>303</v>
      </c>
      <c r="D64" s="382" t="s">
        <v>1139</v>
      </c>
      <c r="E64" s="1010">
        <v>6.7799999999999999E-2</v>
      </c>
      <c r="F64" s="1010">
        <v>0</v>
      </c>
      <c r="G64" s="1010">
        <v>6.7799999999999999E-2</v>
      </c>
    </row>
    <row r="65" spans="2:6">
      <c r="B65" s="524" t="s">
        <v>1993</v>
      </c>
      <c r="C65" s="14"/>
      <c r="D65" s="14"/>
      <c r="E65" s="524"/>
      <c r="F65" s="524"/>
    </row>
    <row r="66" spans="2:6">
      <c r="B66" s="524" t="s">
        <v>1992</v>
      </c>
      <c r="C66" s="14"/>
      <c r="D66" s="14"/>
      <c r="E66" s="524"/>
      <c r="F66" s="524"/>
    </row>
  </sheetData>
  <pageMargins left="0.7" right="0.7" top="0.75" bottom="0.75" header="0.3" footer="0.3"/>
  <pageSetup scale="75" orientation="portrait" cellComments="asDisplayed" r:id="rId1"/>
  <headerFooter>
    <oddHeader>&amp;CSchedule 18
Depreciation Rates
&amp;RTO11 Draft Annual Update
Attachment 1</oddHeader>
    <oddFooter>&amp;R18-DepRates</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0"/>
  <sheetViews>
    <sheetView topLeftCell="A13" zoomScaleNormal="100" workbookViewId="0"/>
  </sheetViews>
  <sheetFormatPr defaultColWidth="9.140625" defaultRowHeight="12.75"/>
  <cols>
    <col min="1" max="1" width="5.7109375" style="532" customWidth="1"/>
    <col min="2" max="2" width="50.7109375" style="532" customWidth="1"/>
    <col min="3" max="3" width="14.7109375" style="530" customWidth="1"/>
    <col min="4" max="4" width="16.28515625" style="530" customWidth="1"/>
    <col min="5" max="5" width="14.7109375" style="530" customWidth="1"/>
    <col min="6" max="6" width="12.7109375" style="997" customWidth="1"/>
    <col min="7" max="7" width="16.7109375" style="961" customWidth="1"/>
    <col min="8" max="9" width="14.7109375" style="962" customWidth="1"/>
    <col min="10" max="12" width="14.7109375" style="532" customWidth="1"/>
    <col min="13" max="13" width="9.140625" style="522"/>
    <col min="14" max="14" width="10.7109375" style="522" bestFit="1" customWidth="1"/>
    <col min="15" max="16384" width="9.140625" style="522"/>
  </cols>
  <sheetData>
    <row r="1" spans="1:12" ht="12.75" customHeight="1">
      <c r="A1" s="447" t="s">
        <v>1413</v>
      </c>
      <c r="C1" s="448"/>
      <c r="D1" s="449"/>
      <c r="E1" s="449"/>
      <c r="F1" s="450"/>
      <c r="G1" s="451"/>
      <c r="H1" s="451"/>
      <c r="I1" s="451"/>
      <c r="J1" s="451"/>
      <c r="K1" s="522"/>
      <c r="L1" s="522"/>
    </row>
    <row r="2" spans="1:12" ht="12.75" customHeight="1">
      <c r="A2" s="452"/>
      <c r="C2" s="448"/>
      <c r="D2" s="449"/>
      <c r="E2" s="449"/>
      <c r="F2" s="453"/>
      <c r="G2" s="794" t="s">
        <v>332</v>
      </c>
      <c r="H2" s="529"/>
      <c r="I2" s="449"/>
      <c r="J2" s="451"/>
      <c r="K2" s="451"/>
      <c r="L2" s="451"/>
    </row>
    <row r="3" spans="1:12" ht="12.75" customHeight="1">
      <c r="A3" s="454"/>
      <c r="B3" s="455" t="s">
        <v>1414</v>
      </c>
      <c r="C3" s="457"/>
      <c r="D3" s="457"/>
      <c r="E3" s="457"/>
      <c r="F3" s="458"/>
      <c r="G3" s="456"/>
      <c r="H3" s="456"/>
      <c r="I3" s="456"/>
      <c r="J3" s="456"/>
      <c r="K3" s="456"/>
      <c r="L3" s="459"/>
    </row>
    <row r="4" spans="1:12" ht="12.75" customHeight="1">
      <c r="A4" s="460"/>
      <c r="B4" s="452"/>
      <c r="C4" s="461"/>
      <c r="D4" s="461"/>
      <c r="E4" s="461"/>
      <c r="F4" s="462"/>
      <c r="G4" s="26"/>
      <c r="H4" s="26"/>
      <c r="I4" s="26"/>
      <c r="J4" s="26"/>
      <c r="K4" s="26"/>
      <c r="L4" s="451"/>
    </row>
    <row r="5" spans="1:12" ht="12.75" customHeight="1">
      <c r="A5" s="456"/>
      <c r="B5" s="463" t="s">
        <v>394</v>
      </c>
      <c r="C5" s="463" t="s">
        <v>378</v>
      </c>
      <c r="D5" s="463" t="s">
        <v>379</v>
      </c>
      <c r="E5" s="463" t="s">
        <v>380</v>
      </c>
      <c r="F5" s="464" t="s">
        <v>381</v>
      </c>
      <c r="G5" s="463" t="s">
        <v>382</v>
      </c>
      <c r="H5" s="463" t="s">
        <v>383</v>
      </c>
      <c r="I5" s="463" t="s">
        <v>596</v>
      </c>
      <c r="J5" s="463" t="s">
        <v>1045</v>
      </c>
      <c r="K5" s="463" t="s">
        <v>1061</v>
      </c>
      <c r="L5" s="463" t="s">
        <v>1064</v>
      </c>
    </row>
    <row r="6" spans="1:12" ht="12.75" customHeight="1">
      <c r="A6" s="460"/>
      <c r="B6" s="452"/>
      <c r="C6" s="626" t="s">
        <v>1415</v>
      </c>
      <c r="D6" s="461"/>
      <c r="E6" s="461"/>
      <c r="F6" s="957" t="s">
        <v>396</v>
      </c>
      <c r="G6" s="626" t="s">
        <v>1416</v>
      </c>
      <c r="H6" s="465"/>
      <c r="I6" s="465"/>
      <c r="J6" s="626" t="s">
        <v>1417</v>
      </c>
      <c r="K6" s="626" t="s">
        <v>1418</v>
      </c>
      <c r="L6" s="627" t="s">
        <v>1419</v>
      </c>
    </row>
    <row r="7" spans="1:12" ht="12.75" customHeight="1">
      <c r="C7" s="958"/>
      <c r="D7" s="959"/>
      <c r="E7" s="959"/>
      <c r="F7" s="960"/>
      <c r="J7" s="963"/>
    </row>
    <row r="8" spans="1:12">
      <c r="A8" s="466"/>
      <c r="B8" s="1442" t="s">
        <v>1420</v>
      </c>
      <c r="C8" s="1444" t="s">
        <v>1421</v>
      </c>
      <c r="D8" s="1444"/>
      <c r="E8" s="1444"/>
      <c r="F8" s="467"/>
      <c r="G8" s="1445" t="s">
        <v>1422</v>
      </c>
      <c r="H8" s="1445"/>
      <c r="I8" s="1446"/>
      <c r="J8" s="1448" t="s">
        <v>1423</v>
      </c>
      <c r="K8" s="1445"/>
      <c r="L8" s="1446"/>
    </row>
    <row r="9" spans="1:12">
      <c r="A9" s="52"/>
      <c r="B9" s="1443"/>
      <c r="C9" s="956" t="s">
        <v>215</v>
      </c>
      <c r="D9" s="956" t="s">
        <v>1424</v>
      </c>
      <c r="E9" s="468" t="s">
        <v>1425</v>
      </c>
      <c r="F9" s="469" t="s">
        <v>1357</v>
      </c>
      <c r="G9" s="468" t="s">
        <v>215</v>
      </c>
      <c r="H9" s="468" t="s">
        <v>1424</v>
      </c>
      <c r="I9" s="468" t="s">
        <v>1425</v>
      </c>
      <c r="J9" s="956" t="s">
        <v>215</v>
      </c>
      <c r="K9" s="468" t="s">
        <v>1424</v>
      </c>
      <c r="L9" s="468" t="s">
        <v>1425</v>
      </c>
    </row>
    <row r="10" spans="1:12">
      <c r="A10" s="52" t="s">
        <v>360</v>
      </c>
      <c r="B10" s="470" t="s">
        <v>1426</v>
      </c>
      <c r="C10" s="270"/>
      <c r="D10" s="270"/>
      <c r="E10" s="471"/>
      <c r="F10" s="472"/>
      <c r="G10" s="471"/>
      <c r="H10" s="471"/>
      <c r="I10" s="471"/>
      <c r="J10" s="270"/>
      <c r="K10" s="471"/>
      <c r="L10" s="471"/>
    </row>
    <row r="11" spans="1:12">
      <c r="A11" s="645">
        <v>1</v>
      </c>
      <c r="B11" s="539" t="s">
        <v>1427</v>
      </c>
      <c r="C11" s="964">
        <f>SUM(D11:E11)</f>
        <v>8986905.8299999982</v>
      </c>
      <c r="D11" s="533">
        <v>5369289.6799999997</v>
      </c>
      <c r="E11" s="533">
        <v>3617616.1499999985</v>
      </c>
      <c r="F11" s="965"/>
      <c r="G11" s="966">
        <f t="shared" ref="G11:G61" si="0">SUM(H11:I11)</f>
        <v>0</v>
      </c>
      <c r="H11" s="533"/>
      <c r="I11" s="533"/>
      <c r="J11" s="964">
        <f>SUM(K11:L11)</f>
        <v>8986905.8299999982</v>
      </c>
      <c r="K11" s="1389">
        <f>D11+H11</f>
        <v>5369289.6799999997</v>
      </c>
      <c r="L11" s="964">
        <f>E11+I11</f>
        <v>3617616.1499999985</v>
      </c>
    </row>
    <row r="12" spans="1:12">
      <c r="A12" s="645">
        <f>A11+1</f>
        <v>2</v>
      </c>
      <c r="B12" s="539" t="s">
        <v>1428</v>
      </c>
      <c r="C12" s="964">
        <f t="shared" ref="C12:C59" si="1">SUM(D12:E12)</f>
        <v>-74603.070000000007</v>
      </c>
      <c r="D12" s="533">
        <v>0</v>
      </c>
      <c r="E12" s="533">
        <v>-74603.070000000007</v>
      </c>
      <c r="F12" s="965"/>
      <c r="G12" s="966">
        <f t="shared" si="0"/>
        <v>0</v>
      </c>
      <c r="H12" s="533"/>
      <c r="I12" s="533"/>
      <c r="J12" s="1389">
        <f t="shared" ref="J12:J61" si="2">SUM(K12:L12)</f>
        <v>-74603.070000000007</v>
      </c>
      <c r="K12" s="1389">
        <f t="shared" ref="K12:L27" si="3">D12+H12</f>
        <v>0</v>
      </c>
      <c r="L12" s="1389">
        <f t="shared" si="3"/>
        <v>-74603.070000000007</v>
      </c>
    </row>
    <row r="13" spans="1:12">
      <c r="A13" s="645">
        <f t="shared" ref="A13:A63" si="4">A12+1</f>
        <v>3</v>
      </c>
      <c r="B13" s="672" t="s">
        <v>1429</v>
      </c>
      <c r="C13" s="964">
        <f t="shared" si="1"/>
        <v>0</v>
      </c>
      <c r="D13" s="533">
        <v>0</v>
      </c>
      <c r="E13" s="533">
        <v>0</v>
      </c>
      <c r="F13" s="965"/>
      <c r="G13" s="966">
        <f t="shared" si="0"/>
        <v>0</v>
      </c>
      <c r="H13" s="533"/>
      <c r="I13" s="533"/>
      <c r="J13" s="1389">
        <f t="shared" si="2"/>
        <v>0</v>
      </c>
      <c r="K13" s="1389">
        <f t="shared" si="3"/>
        <v>0</v>
      </c>
      <c r="L13" s="1389">
        <f t="shared" si="3"/>
        <v>0</v>
      </c>
    </row>
    <row r="14" spans="1:12">
      <c r="A14" s="645">
        <f t="shared" si="4"/>
        <v>4</v>
      </c>
      <c r="B14" s="672" t="s">
        <v>1430</v>
      </c>
      <c r="C14" s="964">
        <f t="shared" si="1"/>
        <v>702757.42999999993</v>
      </c>
      <c r="D14" s="533">
        <v>361516.90999999992</v>
      </c>
      <c r="E14" s="533">
        <v>341240.52</v>
      </c>
      <c r="F14" s="965"/>
      <c r="G14" s="966">
        <f t="shared" si="0"/>
        <v>0</v>
      </c>
      <c r="H14" s="533"/>
      <c r="I14" s="533"/>
      <c r="J14" s="1389">
        <f t="shared" si="2"/>
        <v>702757.42999999993</v>
      </c>
      <c r="K14" s="1389">
        <f t="shared" si="3"/>
        <v>361516.90999999992</v>
      </c>
      <c r="L14" s="1389">
        <f t="shared" si="3"/>
        <v>341240.52</v>
      </c>
    </row>
    <row r="15" spans="1:12">
      <c r="A15" s="645">
        <f t="shared" si="4"/>
        <v>5</v>
      </c>
      <c r="B15" s="672" t="s">
        <v>1431</v>
      </c>
      <c r="C15" s="964">
        <f t="shared" si="1"/>
        <v>8266023.2299999995</v>
      </c>
      <c r="D15" s="533">
        <v>6895767.6699999999</v>
      </c>
      <c r="E15" s="533">
        <v>1370255.5599999998</v>
      </c>
      <c r="F15" s="965" t="s">
        <v>620</v>
      </c>
      <c r="G15" s="966">
        <f t="shared" si="0"/>
        <v>-120000</v>
      </c>
      <c r="H15" s="533">
        <v>-120000</v>
      </c>
      <c r="I15" s="533"/>
      <c r="J15" s="1389">
        <f t="shared" si="2"/>
        <v>8146023.2299999995</v>
      </c>
      <c r="K15" s="1389">
        <f t="shared" si="3"/>
        <v>6775767.6699999999</v>
      </c>
      <c r="L15" s="1389">
        <f t="shared" si="3"/>
        <v>1370255.5599999998</v>
      </c>
    </row>
    <row r="16" spans="1:12">
      <c r="A16" s="645">
        <f t="shared" si="4"/>
        <v>6</v>
      </c>
      <c r="B16" s="672" t="s">
        <v>1432</v>
      </c>
      <c r="C16" s="964">
        <f t="shared" si="1"/>
        <v>38175349.390000001</v>
      </c>
      <c r="D16" s="533">
        <v>0</v>
      </c>
      <c r="E16" s="533">
        <v>38175349.390000001</v>
      </c>
      <c r="F16" s="967" t="s">
        <v>614</v>
      </c>
      <c r="G16" s="966">
        <f t="shared" si="0"/>
        <v>-38175349.390000001</v>
      </c>
      <c r="H16" s="533"/>
      <c r="I16" s="533">
        <v>-38175349.390000001</v>
      </c>
      <c r="J16" s="1389">
        <f t="shared" si="2"/>
        <v>0</v>
      </c>
      <c r="K16" s="1389">
        <f t="shared" si="3"/>
        <v>0</v>
      </c>
      <c r="L16" s="1389">
        <f t="shared" si="3"/>
        <v>0</v>
      </c>
    </row>
    <row r="17" spans="1:12">
      <c r="A17" s="645">
        <f t="shared" si="4"/>
        <v>7</v>
      </c>
      <c r="B17" s="672" t="s">
        <v>1433</v>
      </c>
      <c r="C17" s="964">
        <f t="shared" si="1"/>
        <v>5513298.0699999994</v>
      </c>
      <c r="D17" s="533">
        <v>4546371.959999999</v>
      </c>
      <c r="E17" s="533">
        <v>966926.11000000022</v>
      </c>
      <c r="F17" s="965"/>
      <c r="G17" s="966">
        <f t="shared" si="0"/>
        <v>0</v>
      </c>
      <c r="H17" s="533"/>
      <c r="I17" s="533"/>
      <c r="J17" s="1389">
        <f t="shared" si="2"/>
        <v>5513298.0699999994</v>
      </c>
      <c r="K17" s="1389">
        <f t="shared" si="3"/>
        <v>4546371.959999999</v>
      </c>
      <c r="L17" s="1389">
        <f t="shared" si="3"/>
        <v>966926.11000000022</v>
      </c>
    </row>
    <row r="18" spans="1:12">
      <c r="A18" s="645">
        <f t="shared" si="4"/>
        <v>8</v>
      </c>
      <c r="B18" s="672" t="s">
        <v>1434</v>
      </c>
      <c r="C18" s="964">
        <f t="shared" si="1"/>
        <v>0</v>
      </c>
      <c r="D18" s="533">
        <v>0</v>
      </c>
      <c r="E18" s="533">
        <v>0</v>
      </c>
      <c r="F18" s="965"/>
      <c r="G18" s="966">
        <f t="shared" si="0"/>
        <v>0</v>
      </c>
      <c r="H18" s="533"/>
      <c r="I18" s="533"/>
      <c r="J18" s="1389">
        <f t="shared" si="2"/>
        <v>0</v>
      </c>
      <c r="K18" s="1389">
        <f t="shared" si="3"/>
        <v>0</v>
      </c>
      <c r="L18" s="1389">
        <f t="shared" si="3"/>
        <v>0</v>
      </c>
    </row>
    <row r="19" spans="1:12">
      <c r="A19" s="645">
        <f t="shared" si="4"/>
        <v>9</v>
      </c>
      <c r="B19" s="672" t="s">
        <v>1435</v>
      </c>
      <c r="C19" s="964">
        <f t="shared" si="1"/>
        <v>18953361.169999998</v>
      </c>
      <c r="D19" s="533">
        <v>15120440.629999997</v>
      </c>
      <c r="E19" s="533">
        <v>3832920.54</v>
      </c>
      <c r="F19" s="965"/>
      <c r="G19" s="966">
        <f t="shared" si="0"/>
        <v>0</v>
      </c>
      <c r="H19" s="533"/>
      <c r="I19" s="533"/>
      <c r="J19" s="1389">
        <f t="shared" si="2"/>
        <v>18953361.169999998</v>
      </c>
      <c r="K19" s="1389">
        <f t="shared" si="3"/>
        <v>15120440.629999997</v>
      </c>
      <c r="L19" s="1389">
        <f t="shared" si="3"/>
        <v>3832920.54</v>
      </c>
    </row>
    <row r="20" spans="1:12">
      <c r="A20" s="645">
        <f t="shared" si="4"/>
        <v>10</v>
      </c>
      <c r="B20" s="672" t="s">
        <v>1436</v>
      </c>
      <c r="C20" s="964">
        <f t="shared" si="1"/>
        <v>3115097.13</v>
      </c>
      <c r="D20" s="533">
        <v>2189143.36</v>
      </c>
      <c r="E20" s="533">
        <v>925953.7699999999</v>
      </c>
      <c r="F20" s="965"/>
      <c r="G20" s="966">
        <f t="shared" si="0"/>
        <v>0</v>
      </c>
      <c r="H20" s="533"/>
      <c r="I20" s="533"/>
      <c r="J20" s="1389">
        <f t="shared" si="2"/>
        <v>3115097.13</v>
      </c>
      <c r="K20" s="1389">
        <f t="shared" si="3"/>
        <v>2189143.36</v>
      </c>
      <c r="L20" s="1389">
        <f t="shared" si="3"/>
        <v>925953.7699999999</v>
      </c>
    </row>
    <row r="21" spans="1:12">
      <c r="A21" s="645">
        <f t="shared" si="4"/>
        <v>11</v>
      </c>
      <c r="B21" s="672" t="s">
        <v>1437</v>
      </c>
      <c r="C21" s="964">
        <f t="shared" si="1"/>
        <v>829407.89</v>
      </c>
      <c r="D21" s="533">
        <v>0</v>
      </c>
      <c r="E21" s="533">
        <v>829407.89</v>
      </c>
      <c r="F21" s="965"/>
      <c r="G21" s="966">
        <f t="shared" si="0"/>
        <v>0</v>
      </c>
      <c r="H21" s="533"/>
      <c r="I21" s="533"/>
      <c r="J21" s="1389">
        <f t="shared" si="2"/>
        <v>829407.89</v>
      </c>
      <c r="K21" s="1389">
        <f t="shared" si="3"/>
        <v>0</v>
      </c>
      <c r="L21" s="1389">
        <f t="shared" si="3"/>
        <v>829407.89</v>
      </c>
    </row>
    <row r="22" spans="1:12">
      <c r="A22" s="645">
        <f t="shared" si="4"/>
        <v>12</v>
      </c>
      <c r="B22" s="672" t="s">
        <v>1438</v>
      </c>
      <c r="C22" s="964">
        <f t="shared" si="1"/>
        <v>6226397.6199999992</v>
      </c>
      <c r="D22" s="533">
        <v>3375876.7699999996</v>
      </c>
      <c r="E22" s="533">
        <v>2850520.85</v>
      </c>
      <c r="F22" s="965"/>
      <c r="G22" s="968">
        <f t="shared" si="0"/>
        <v>0</v>
      </c>
      <c r="H22" s="533"/>
      <c r="I22" s="533"/>
      <c r="J22" s="1389">
        <f t="shared" si="2"/>
        <v>6226397.6199999992</v>
      </c>
      <c r="K22" s="1389">
        <f t="shared" si="3"/>
        <v>3375876.7699999996</v>
      </c>
      <c r="L22" s="1389">
        <f t="shared" si="3"/>
        <v>2850520.85</v>
      </c>
    </row>
    <row r="23" spans="1:12">
      <c r="A23" s="645">
        <f t="shared" si="4"/>
        <v>13</v>
      </c>
      <c r="B23" s="672" t="s">
        <v>1439</v>
      </c>
      <c r="C23" s="964">
        <f t="shared" si="1"/>
        <v>1185906.5799999998</v>
      </c>
      <c r="D23" s="533">
        <v>995963.99999999977</v>
      </c>
      <c r="E23" s="533">
        <v>189942.58</v>
      </c>
      <c r="F23" s="965"/>
      <c r="G23" s="966">
        <f t="shared" si="0"/>
        <v>0</v>
      </c>
      <c r="H23" s="533"/>
      <c r="I23" s="533"/>
      <c r="J23" s="1389">
        <f t="shared" si="2"/>
        <v>1185906.5799999998</v>
      </c>
      <c r="K23" s="1389">
        <f t="shared" si="3"/>
        <v>995963.99999999977</v>
      </c>
      <c r="L23" s="1389">
        <f t="shared" si="3"/>
        <v>189942.58</v>
      </c>
    </row>
    <row r="24" spans="1:12">
      <c r="A24" s="645">
        <f t="shared" si="4"/>
        <v>14</v>
      </c>
      <c r="B24" s="672" t="s">
        <v>1440</v>
      </c>
      <c r="C24" s="964">
        <f t="shared" si="1"/>
        <v>19863986.91</v>
      </c>
      <c r="D24" s="533">
        <v>0</v>
      </c>
      <c r="E24" s="533">
        <v>19863986.91</v>
      </c>
      <c r="F24" s="965" t="s">
        <v>616</v>
      </c>
      <c r="G24" s="966">
        <f>SUM(H24:I24)</f>
        <v>-19863986.91</v>
      </c>
      <c r="H24" s="533"/>
      <c r="I24" s="533">
        <v>-19863986.91</v>
      </c>
      <c r="J24" s="1389">
        <f>SUM(K24:L24)</f>
        <v>0</v>
      </c>
      <c r="K24" s="1389">
        <f t="shared" si="3"/>
        <v>0</v>
      </c>
      <c r="L24" s="1389">
        <f t="shared" si="3"/>
        <v>0</v>
      </c>
    </row>
    <row r="25" spans="1:12">
      <c r="A25" s="645">
        <f t="shared" si="4"/>
        <v>15</v>
      </c>
      <c r="B25" s="672" t="s">
        <v>1441</v>
      </c>
      <c r="C25" s="964">
        <f t="shared" si="1"/>
        <v>237092.52000000002</v>
      </c>
      <c r="D25" s="533">
        <v>0</v>
      </c>
      <c r="E25" s="533">
        <v>237092.52000000002</v>
      </c>
      <c r="F25" s="969"/>
      <c r="G25" s="966">
        <v>0</v>
      </c>
      <c r="H25" s="842"/>
      <c r="I25" s="842"/>
      <c r="J25" s="1389">
        <f t="shared" si="2"/>
        <v>237092.52000000002</v>
      </c>
      <c r="K25" s="1389">
        <f t="shared" si="3"/>
        <v>0</v>
      </c>
      <c r="L25" s="1389">
        <f t="shared" si="3"/>
        <v>237092.52000000002</v>
      </c>
    </row>
    <row r="26" spans="1:12">
      <c r="A26" s="645">
        <f t="shared" si="4"/>
        <v>16</v>
      </c>
      <c r="B26" s="672" t="s">
        <v>1442</v>
      </c>
      <c r="C26" s="964">
        <f t="shared" si="1"/>
        <v>8796273.0999999996</v>
      </c>
      <c r="D26" s="533">
        <v>0</v>
      </c>
      <c r="E26" s="533">
        <v>8796273.0999999996</v>
      </c>
      <c r="F26" s="965"/>
      <c r="G26" s="966">
        <f t="shared" si="0"/>
        <v>0</v>
      </c>
      <c r="H26" s="533"/>
      <c r="I26" s="533"/>
      <c r="J26" s="1389">
        <f t="shared" si="2"/>
        <v>8796273.0999999996</v>
      </c>
      <c r="K26" s="1389">
        <f t="shared" si="3"/>
        <v>0</v>
      </c>
      <c r="L26" s="1389">
        <f t="shared" si="3"/>
        <v>8796273.0999999996</v>
      </c>
    </row>
    <row r="27" spans="1:12">
      <c r="A27" s="645">
        <f t="shared" si="4"/>
        <v>17</v>
      </c>
      <c r="B27" s="672" t="s">
        <v>1443</v>
      </c>
      <c r="C27" s="964">
        <f t="shared" si="1"/>
        <v>63305502.030000001</v>
      </c>
      <c r="D27" s="533">
        <v>264916.96000000002</v>
      </c>
      <c r="E27" s="533">
        <v>63040585.07</v>
      </c>
      <c r="F27" s="965" t="s">
        <v>617</v>
      </c>
      <c r="G27" s="968">
        <f t="shared" si="0"/>
        <v>-63305502.030000001</v>
      </c>
      <c r="H27" s="533">
        <v>-264916.96000000002</v>
      </c>
      <c r="I27" s="533">
        <v>-63040585.07</v>
      </c>
      <c r="J27" s="1389">
        <f t="shared" si="2"/>
        <v>0</v>
      </c>
      <c r="K27" s="1389">
        <f t="shared" si="3"/>
        <v>0</v>
      </c>
      <c r="L27" s="1389">
        <f t="shared" si="3"/>
        <v>0</v>
      </c>
    </row>
    <row r="28" spans="1:12">
      <c r="A28" s="117">
        <f t="shared" si="4"/>
        <v>18</v>
      </c>
      <c r="B28" s="672" t="s">
        <v>2074</v>
      </c>
      <c r="C28" s="964">
        <f t="shared" si="1"/>
        <v>9248685.6099999994</v>
      </c>
      <c r="D28" s="533">
        <v>6907055.6600000001</v>
      </c>
      <c r="E28" s="533">
        <v>2341629.9499999988</v>
      </c>
      <c r="F28" s="1011"/>
      <c r="G28" s="966">
        <f t="shared" si="0"/>
        <v>0</v>
      </c>
      <c r="H28" s="533"/>
      <c r="I28" s="533"/>
      <c r="J28" s="964">
        <f t="shared" si="2"/>
        <v>9248685.6099999994</v>
      </c>
      <c r="K28" s="964">
        <f t="shared" ref="K28:L59" si="5">D28+H28</f>
        <v>6907055.6600000001</v>
      </c>
      <c r="L28" s="964">
        <f t="shared" si="5"/>
        <v>2341629.9499999988</v>
      </c>
    </row>
    <row r="29" spans="1:12">
      <c r="A29" s="117">
        <f t="shared" si="4"/>
        <v>19</v>
      </c>
      <c r="B29" s="672" t="s">
        <v>2075</v>
      </c>
      <c r="C29" s="964">
        <f t="shared" si="1"/>
        <v>18762568.260000002</v>
      </c>
      <c r="D29" s="533">
        <v>8480996.7300000004</v>
      </c>
      <c r="E29" s="533">
        <v>10281571.530000001</v>
      </c>
      <c r="F29" s="965" t="s">
        <v>3026</v>
      </c>
      <c r="G29" s="968">
        <f t="shared" si="0"/>
        <v>-43620.03</v>
      </c>
      <c r="H29" s="533">
        <v>-42556.55</v>
      </c>
      <c r="I29" s="533">
        <v>-1063.4799999999996</v>
      </c>
      <c r="J29" s="964">
        <f t="shared" ref="J29" si="6">SUM(K29:L29)</f>
        <v>18718948.23</v>
      </c>
      <c r="K29" s="964">
        <f t="shared" ref="K29" si="7">D29+H29</f>
        <v>8438440.1799999997</v>
      </c>
      <c r="L29" s="964">
        <f t="shared" ref="L29" si="8">E29+I29</f>
        <v>10280508.050000001</v>
      </c>
    </row>
    <row r="30" spans="1:12">
      <c r="A30" s="117">
        <f t="shared" si="4"/>
        <v>20</v>
      </c>
      <c r="B30" s="672" t="s">
        <v>1444</v>
      </c>
      <c r="C30" s="964">
        <f t="shared" si="1"/>
        <v>1407052.1800000002</v>
      </c>
      <c r="D30" s="533">
        <v>1274233.0700000003</v>
      </c>
      <c r="E30" s="533">
        <v>132819.10999999996</v>
      </c>
      <c r="F30" s="965"/>
      <c r="G30" s="966">
        <f t="shared" si="0"/>
        <v>0</v>
      </c>
      <c r="H30" s="533"/>
      <c r="I30" s="533"/>
      <c r="J30" s="1389">
        <f t="shared" si="2"/>
        <v>1407052.1800000002</v>
      </c>
      <c r="K30" s="1389">
        <f t="shared" si="5"/>
        <v>1274233.0700000003</v>
      </c>
      <c r="L30" s="1389">
        <f t="shared" si="5"/>
        <v>132819.10999999996</v>
      </c>
    </row>
    <row r="31" spans="1:12">
      <c r="A31" s="117">
        <f t="shared" si="4"/>
        <v>21</v>
      </c>
      <c r="B31" s="672" t="s">
        <v>1445</v>
      </c>
      <c r="C31" s="964">
        <f t="shared" si="1"/>
        <v>713430.87000000011</v>
      </c>
      <c r="D31" s="533">
        <v>693920.44000000006</v>
      </c>
      <c r="E31" s="533">
        <v>19510.429999999997</v>
      </c>
      <c r="F31" s="965"/>
      <c r="G31" s="966">
        <f t="shared" si="0"/>
        <v>0</v>
      </c>
      <c r="H31" s="533"/>
      <c r="I31" s="533"/>
      <c r="J31" s="1389">
        <f t="shared" si="2"/>
        <v>713430.87000000011</v>
      </c>
      <c r="K31" s="1389">
        <f t="shared" si="5"/>
        <v>693920.44000000006</v>
      </c>
      <c r="L31" s="1389">
        <f t="shared" si="5"/>
        <v>19510.429999999997</v>
      </c>
    </row>
    <row r="32" spans="1:12">
      <c r="A32" s="117">
        <f t="shared" si="4"/>
        <v>22</v>
      </c>
      <c r="B32" s="672" t="s">
        <v>1446</v>
      </c>
      <c r="C32" s="964">
        <f t="shared" si="1"/>
        <v>5049189.7199999988</v>
      </c>
      <c r="D32" s="533">
        <v>3919385.7599999988</v>
      </c>
      <c r="E32" s="533">
        <v>1129803.96</v>
      </c>
      <c r="F32" s="965"/>
      <c r="G32" s="966">
        <f t="shared" si="0"/>
        <v>0</v>
      </c>
      <c r="H32" s="533"/>
      <c r="I32" s="533"/>
      <c r="J32" s="1389">
        <f t="shared" si="2"/>
        <v>5049189.7199999988</v>
      </c>
      <c r="K32" s="1389">
        <f t="shared" si="5"/>
        <v>3919385.7599999988</v>
      </c>
      <c r="L32" s="1389">
        <f t="shared" si="5"/>
        <v>1129803.96</v>
      </c>
    </row>
    <row r="33" spans="1:14">
      <c r="A33" s="117">
        <f t="shared" si="4"/>
        <v>23</v>
      </c>
      <c r="B33" s="672" t="s">
        <v>1447</v>
      </c>
      <c r="C33" s="964">
        <f t="shared" si="1"/>
        <v>2041617.0699999998</v>
      </c>
      <c r="D33" s="533">
        <v>1904326.2</v>
      </c>
      <c r="E33" s="533">
        <v>137290.87</v>
      </c>
      <c r="F33" s="965"/>
      <c r="G33" s="966">
        <f t="shared" si="0"/>
        <v>0</v>
      </c>
      <c r="H33" s="533"/>
      <c r="I33" s="533"/>
      <c r="J33" s="1389">
        <f t="shared" si="2"/>
        <v>2041617.0699999998</v>
      </c>
      <c r="K33" s="1389">
        <f t="shared" si="5"/>
        <v>1904326.2</v>
      </c>
      <c r="L33" s="1389">
        <f t="shared" si="5"/>
        <v>137290.87</v>
      </c>
    </row>
    <row r="34" spans="1:14">
      <c r="A34" s="117">
        <f t="shared" si="4"/>
        <v>24</v>
      </c>
      <c r="B34" s="672" t="s">
        <v>1448</v>
      </c>
      <c r="C34" s="964">
        <f t="shared" si="1"/>
        <v>413206.30000000005</v>
      </c>
      <c r="D34" s="533">
        <v>2.62</v>
      </c>
      <c r="E34" s="533">
        <v>413203.68000000005</v>
      </c>
      <c r="F34" s="965"/>
      <c r="G34" s="966">
        <f t="shared" si="0"/>
        <v>0</v>
      </c>
      <c r="H34" s="533"/>
      <c r="I34" s="533"/>
      <c r="J34" s="1389">
        <f t="shared" si="2"/>
        <v>413206.30000000005</v>
      </c>
      <c r="K34" s="1389">
        <f t="shared" si="5"/>
        <v>2.62</v>
      </c>
      <c r="L34" s="1389">
        <f t="shared" si="5"/>
        <v>413203.68000000005</v>
      </c>
    </row>
    <row r="35" spans="1:14">
      <c r="A35" s="117">
        <f t="shared" si="4"/>
        <v>25</v>
      </c>
      <c r="B35" s="672" t="s">
        <v>1449</v>
      </c>
      <c r="C35" s="964">
        <f t="shared" si="1"/>
        <v>9105694.4299999997</v>
      </c>
      <c r="D35" s="533">
        <v>427.70000000000005</v>
      </c>
      <c r="E35" s="533">
        <v>9105266.7300000004</v>
      </c>
      <c r="F35" s="965" t="s">
        <v>621</v>
      </c>
      <c r="G35" s="966">
        <f t="shared" si="0"/>
        <v>-4036.1800000000003</v>
      </c>
      <c r="H35" s="533"/>
      <c r="I35" s="533">
        <v>-4036.1800000000003</v>
      </c>
      <c r="J35" s="1389">
        <f t="shared" si="2"/>
        <v>9101658.25</v>
      </c>
      <c r="K35" s="1389">
        <f t="shared" si="5"/>
        <v>427.70000000000005</v>
      </c>
      <c r="L35" s="1389">
        <f t="shared" si="5"/>
        <v>9101230.5500000007</v>
      </c>
    </row>
    <row r="36" spans="1:14">
      <c r="A36" s="117">
        <f t="shared" si="4"/>
        <v>26</v>
      </c>
      <c r="B36" s="672" t="s">
        <v>1450</v>
      </c>
      <c r="C36" s="964">
        <f t="shared" si="1"/>
        <v>6499851.9800000004</v>
      </c>
      <c r="D36" s="533">
        <v>0</v>
      </c>
      <c r="E36" s="533">
        <v>6499851.9800000004</v>
      </c>
      <c r="F36" s="965"/>
      <c r="G36" s="966">
        <f t="shared" si="0"/>
        <v>0</v>
      </c>
      <c r="H36" s="533"/>
      <c r="I36" s="533"/>
      <c r="J36" s="1389">
        <f t="shared" si="2"/>
        <v>6499851.9800000004</v>
      </c>
      <c r="K36" s="1389">
        <f t="shared" si="5"/>
        <v>0</v>
      </c>
      <c r="L36" s="1389">
        <f t="shared" si="5"/>
        <v>6499851.9800000004</v>
      </c>
    </row>
    <row r="37" spans="1:14">
      <c r="A37" s="117">
        <f t="shared" si="4"/>
        <v>27</v>
      </c>
      <c r="B37" s="672" t="s">
        <v>1451</v>
      </c>
      <c r="C37" s="964">
        <f t="shared" si="1"/>
        <v>68547.399999999994</v>
      </c>
      <c r="D37" s="533">
        <v>0</v>
      </c>
      <c r="E37" s="533">
        <v>68547.399999999994</v>
      </c>
      <c r="F37" s="965"/>
      <c r="G37" s="966">
        <f t="shared" si="0"/>
        <v>0</v>
      </c>
      <c r="H37" s="533"/>
      <c r="I37" s="533"/>
      <c r="J37" s="1389">
        <f t="shared" si="2"/>
        <v>68547.399999999994</v>
      </c>
      <c r="K37" s="1389">
        <f t="shared" si="5"/>
        <v>0</v>
      </c>
      <c r="L37" s="1389">
        <f t="shared" si="5"/>
        <v>68547.399999999994</v>
      </c>
    </row>
    <row r="38" spans="1:14">
      <c r="A38" s="117">
        <f t="shared" si="4"/>
        <v>28</v>
      </c>
      <c r="B38" s="672" t="s">
        <v>1452</v>
      </c>
      <c r="C38" s="964">
        <f t="shared" si="1"/>
        <v>438002.55</v>
      </c>
      <c r="D38" s="533">
        <v>0</v>
      </c>
      <c r="E38" s="533">
        <v>438002.55</v>
      </c>
      <c r="F38" s="965"/>
      <c r="G38" s="966">
        <f t="shared" si="0"/>
        <v>0</v>
      </c>
      <c r="H38" s="533"/>
      <c r="I38" s="533"/>
      <c r="J38" s="1389">
        <f t="shared" si="2"/>
        <v>438002.55</v>
      </c>
      <c r="K38" s="1389">
        <f t="shared" si="5"/>
        <v>0</v>
      </c>
      <c r="L38" s="1389">
        <f t="shared" si="5"/>
        <v>438002.55</v>
      </c>
    </row>
    <row r="39" spans="1:14">
      <c r="A39" s="117">
        <f t="shared" si="4"/>
        <v>29</v>
      </c>
      <c r="B39" s="672" t="s">
        <v>1453</v>
      </c>
      <c r="C39" s="964">
        <f t="shared" si="1"/>
        <v>2010724.37</v>
      </c>
      <c r="D39" s="533">
        <v>1862726.0000000002</v>
      </c>
      <c r="E39" s="533">
        <v>147998.37</v>
      </c>
      <c r="F39" s="965"/>
      <c r="G39" s="966">
        <f t="shared" si="0"/>
        <v>0</v>
      </c>
      <c r="H39" s="533"/>
      <c r="I39" s="533"/>
      <c r="J39" s="1389">
        <f t="shared" si="2"/>
        <v>2010724.37</v>
      </c>
      <c r="K39" s="1389">
        <f t="shared" si="5"/>
        <v>1862726.0000000002</v>
      </c>
      <c r="L39" s="1389">
        <f t="shared" si="5"/>
        <v>147998.37</v>
      </c>
    </row>
    <row r="40" spans="1:14">
      <c r="A40" s="117">
        <f t="shared" si="4"/>
        <v>30</v>
      </c>
      <c r="B40" s="672" t="s">
        <v>1454</v>
      </c>
      <c r="C40" s="964">
        <f t="shared" si="1"/>
        <v>221533.21</v>
      </c>
      <c r="D40" s="533">
        <v>0</v>
      </c>
      <c r="E40" s="533">
        <v>221533.21</v>
      </c>
      <c r="F40" s="965"/>
      <c r="G40" s="966">
        <f t="shared" si="0"/>
        <v>0</v>
      </c>
      <c r="H40" s="533"/>
      <c r="I40" s="533"/>
      <c r="J40" s="1389">
        <f t="shared" si="2"/>
        <v>221533.21</v>
      </c>
      <c r="K40" s="1389">
        <f t="shared" si="5"/>
        <v>0</v>
      </c>
      <c r="L40" s="1389">
        <f t="shared" si="5"/>
        <v>221533.21</v>
      </c>
    </row>
    <row r="41" spans="1:14">
      <c r="A41" s="117">
        <f t="shared" si="4"/>
        <v>31</v>
      </c>
      <c r="B41" s="672" t="s">
        <v>1455</v>
      </c>
      <c r="C41" s="964">
        <f t="shared" si="1"/>
        <v>45072.36</v>
      </c>
      <c r="D41" s="533">
        <v>11325.32</v>
      </c>
      <c r="E41" s="533">
        <v>33747.040000000001</v>
      </c>
      <c r="F41" s="965"/>
      <c r="G41" s="966">
        <f t="shared" si="0"/>
        <v>0</v>
      </c>
      <c r="H41" s="533"/>
      <c r="I41" s="533"/>
      <c r="J41" s="1389">
        <f t="shared" si="2"/>
        <v>45072.36</v>
      </c>
      <c r="K41" s="1389">
        <f t="shared" si="5"/>
        <v>11325.32</v>
      </c>
      <c r="L41" s="1389">
        <f t="shared" si="5"/>
        <v>33747.040000000001</v>
      </c>
    </row>
    <row r="42" spans="1:14">
      <c r="A42" s="117">
        <f t="shared" si="4"/>
        <v>32</v>
      </c>
      <c r="B42" s="672" t="s">
        <v>2716</v>
      </c>
      <c r="C42" s="964">
        <f t="shared" si="1"/>
        <v>9075330.5199999996</v>
      </c>
      <c r="D42" s="533">
        <v>122.94</v>
      </c>
      <c r="E42" s="533">
        <v>9075207.5800000001</v>
      </c>
      <c r="F42" s="965" t="s">
        <v>619</v>
      </c>
      <c r="G42" s="966">
        <f t="shared" si="0"/>
        <v>-8968659</v>
      </c>
      <c r="H42" s="533"/>
      <c r="I42" s="533">
        <v>-8968659</v>
      </c>
      <c r="J42" s="1389">
        <f t="shared" si="2"/>
        <v>106671.52000000008</v>
      </c>
      <c r="K42" s="1389">
        <f t="shared" si="5"/>
        <v>122.94</v>
      </c>
      <c r="L42" s="1389">
        <f t="shared" si="5"/>
        <v>106548.58000000007</v>
      </c>
      <c r="N42" s="527"/>
    </row>
    <row r="43" spans="1:14">
      <c r="A43" s="117">
        <f t="shared" si="4"/>
        <v>33</v>
      </c>
      <c r="B43" s="672" t="s">
        <v>2717</v>
      </c>
      <c r="C43" s="964">
        <f t="shared" si="1"/>
        <v>13503876.9</v>
      </c>
      <c r="D43" s="533">
        <v>29.9</v>
      </c>
      <c r="E43" s="533">
        <v>13503847</v>
      </c>
      <c r="F43" s="965" t="s">
        <v>619</v>
      </c>
      <c r="G43" s="966">
        <f t="shared" si="0"/>
        <v>-13503847</v>
      </c>
      <c r="H43" s="533"/>
      <c r="I43" s="533">
        <v>-13503847</v>
      </c>
      <c r="J43" s="1389">
        <f t="shared" si="2"/>
        <v>29.9</v>
      </c>
      <c r="K43" s="1389">
        <f t="shared" si="5"/>
        <v>29.9</v>
      </c>
      <c r="L43" s="1389">
        <f t="shared" si="5"/>
        <v>0</v>
      </c>
      <c r="N43" s="527"/>
    </row>
    <row r="44" spans="1:14">
      <c r="A44" s="117">
        <f t="shared" si="4"/>
        <v>34</v>
      </c>
      <c r="B44" s="672" t="s">
        <v>2718</v>
      </c>
      <c r="C44" s="964">
        <f t="shared" si="1"/>
        <v>7372629.5899999999</v>
      </c>
      <c r="D44" s="533">
        <v>3753.6400000000003</v>
      </c>
      <c r="E44" s="533">
        <v>7368875.9500000002</v>
      </c>
      <c r="F44" s="965" t="s">
        <v>619</v>
      </c>
      <c r="G44" s="966">
        <f t="shared" si="0"/>
        <v>-6715702</v>
      </c>
      <c r="H44" s="533"/>
      <c r="I44" s="533">
        <v>-6715702</v>
      </c>
      <c r="J44" s="1389">
        <f t="shared" si="2"/>
        <v>656927.5900000002</v>
      </c>
      <c r="K44" s="1389">
        <f t="shared" si="5"/>
        <v>3753.6400000000003</v>
      </c>
      <c r="L44" s="1389">
        <f t="shared" si="5"/>
        <v>653173.95000000019</v>
      </c>
      <c r="N44" s="527"/>
    </row>
    <row r="45" spans="1:14">
      <c r="A45" s="117">
        <f t="shared" si="4"/>
        <v>35</v>
      </c>
      <c r="B45" s="672" t="s">
        <v>1456</v>
      </c>
      <c r="C45" s="964">
        <f t="shared" si="1"/>
        <v>179627.31999999998</v>
      </c>
      <c r="D45" s="533">
        <v>118.36</v>
      </c>
      <c r="E45" s="533">
        <v>179508.96</v>
      </c>
      <c r="F45" s="965"/>
      <c r="G45" s="966">
        <f t="shared" si="0"/>
        <v>0</v>
      </c>
      <c r="H45" s="533"/>
      <c r="I45" s="533"/>
      <c r="J45" s="1389">
        <f t="shared" si="2"/>
        <v>179627.31999999998</v>
      </c>
      <c r="K45" s="1389">
        <f t="shared" si="5"/>
        <v>118.36</v>
      </c>
      <c r="L45" s="1389">
        <f t="shared" si="5"/>
        <v>179508.96</v>
      </c>
    </row>
    <row r="46" spans="1:14">
      <c r="A46" s="117">
        <f t="shared" si="4"/>
        <v>36</v>
      </c>
      <c r="B46" s="672" t="s">
        <v>1457</v>
      </c>
      <c r="C46" s="964">
        <f t="shared" si="1"/>
        <v>979354.64000000013</v>
      </c>
      <c r="D46" s="533">
        <v>534000.94000000006</v>
      </c>
      <c r="E46" s="533">
        <v>445353.70000000007</v>
      </c>
      <c r="F46" s="965"/>
      <c r="G46" s="966">
        <f t="shared" si="0"/>
        <v>0</v>
      </c>
      <c r="H46" s="533"/>
      <c r="I46" s="533"/>
      <c r="J46" s="1389">
        <f t="shared" si="2"/>
        <v>979354.64000000013</v>
      </c>
      <c r="K46" s="1389">
        <f t="shared" si="5"/>
        <v>534000.94000000006</v>
      </c>
      <c r="L46" s="1389">
        <f t="shared" si="5"/>
        <v>445353.70000000007</v>
      </c>
    </row>
    <row r="47" spans="1:14">
      <c r="A47" s="117">
        <f t="shared" si="4"/>
        <v>37</v>
      </c>
      <c r="B47" s="672" t="s">
        <v>1458</v>
      </c>
      <c r="C47" s="964">
        <f t="shared" si="1"/>
        <v>1632859.77</v>
      </c>
      <c r="D47" s="533">
        <v>1150286.1199999999</v>
      </c>
      <c r="E47" s="533">
        <v>482573.65000000014</v>
      </c>
      <c r="F47" s="965"/>
      <c r="G47" s="966">
        <f t="shared" si="0"/>
        <v>0</v>
      </c>
      <c r="H47" s="533"/>
      <c r="I47" s="533"/>
      <c r="J47" s="1389">
        <f t="shared" si="2"/>
        <v>1632859.77</v>
      </c>
      <c r="K47" s="1389">
        <f t="shared" si="5"/>
        <v>1150286.1199999999</v>
      </c>
      <c r="L47" s="1389">
        <f t="shared" si="5"/>
        <v>482573.65000000014</v>
      </c>
    </row>
    <row r="48" spans="1:14">
      <c r="A48" s="117">
        <f t="shared" si="4"/>
        <v>38</v>
      </c>
      <c r="B48" s="672" t="s">
        <v>1459</v>
      </c>
      <c r="C48" s="964">
        <f t="shared" si="1"/>
        <v>128912.84000000003</v>
      </c>
      <c r="D48" s="533">
        <v>401047.37</v>
      </c>
      <c r="E48" s="533">
        <v>-272134.52999999997</v>
      </c>
      <c r="F48" s="965"/>
      <c r="G48" s="966">
        <f t="shared" si="0"/>
        <v>0</v>
      </c>
      <c r="H48" s="533"/>
      <c r="I48" s="533"/>
      <c r="J48" s="1389">
        <f t="shared" si="2"/>
        <v>128912.84000000003</v>
      </c>
      <c r="K48" s="1389">
        <f t="shared" si="5"/>
        <v>401047.37</v>
      </c>
      <c r="L48" s="1389">
        <f t="shared" si="5"/>
        <v>-272134.52999999997</v>
      </c>
    </row>
    <row r="49" spans="1:12">
      <c r="A49" s="117">
        <f t="shared" si="4"/>
        <v>39</v>
      </c>
      <c r="B49" s="672" t="s">
        <v>1460</v>
      </c>
      <c r="C49" s="964">
        <f t="shared" si="1"/>
        <v>2949175.7900000005</v>
      </c>
      <c r="D49" s="533">
        <v>1836315.7300000004</v>
      </c>
      <c r="E49" s="533">
        <v>1112860.06</v>
      </c>
      <c r="F49" s="965"/>
      <c r="G49" s="966">
        <f t="shared" si="0"/>
        <v>0</v>
      </c>
      <c r="H49" s="533"/>
      <c r="I49" s="533"/>
      <c r="J49" s="1389">
        <f t="shared" si="2"/>
        <v>2949175.7900000005</v>
      </c>
      <c r="K49" s="1389">
        <f t="shared" si="5"/>
        <v>1836315.7300000004</v>
      </c>
      <c r="L49" s="1389">
        <f t="shared" si="5"/>
        <v>1112860.06</v>
      </c>
    </row>
    <row r="50" spans="1:12">
      <c r="A50" s="117">
        <f t="shared" si="4"/>
        <v>40</v>
      </c>
      <c r="B50" s="524" t="s">
        <v>1852</v>
      </c>
      <c r="C50" s="964">
        <f t="shared" si="1"/>
        <v>1649317.8399999999</v>
      </c>
      <c r="D50" s="533">
        <v>466628.61000000004</v>
      </c>
      <c r="E50" s="533">
        <v>1182689.2299999997</v>
      </c>
      <c r="F50" s="965"/>
      <c r="G50" s="966">
        <f t="shared" si="0"/>
        <v>0</v>
      </c>
      <c r="H50" s="533"/>
      <c r="I50" s="533"/>
      <c r="J50" s="1389">
        <f t="shared" si="2"/>
        <v>1649317.8399999999</v>
      </c>
      <c r="K50" s="1389">
        <f t="shared" si="5"/>
        <v>466628.61000000004</v>
      </c>
      <c r="L50" s="1389">
        <f t="shared" si="5"/>
        <v>1182689.2299999997</v>
      </c>
    </row>
    <row r="51" spans="1:12">
      <c r="A51" s="117">
        <f t="shared" si="4"/>
        <v>41</v>
      </c>
      <c r="B51" s="672" t="s">
        <v>1461</v>
      </c>
      <c r="C51" s="964">
        <f t="shared" si="1"/>
        <v>1694492.4500000002</v>
      </c>
      <c r="D51" s="533">
        <v>267.26</v>
      </c>
      <c r="E51" s="533">
        <v>1694225.1900000002</v>
      </c>
      <c r="F51" s="965"/>
      <c r="G51" s="966">
        <f t="shared" si="0"/>
        <v>0</v>
      </c>
      <c r="H51" s="533"/>
      <c r="I51" s="533"/>
      <c r="J51" s="1389">
        <f t="shared" si="2"/>
        <v>1694492.4500000002</v>
      </c>
      <c r="K51" s="1389">
        <f t="shared" si="5"/>
        <v>267.26</v>
      </c>
      <c r="L51" s="1389">
        <f t="shared" si="5"/>
        <v>1694225.1900000002</v>
      </c>
    </row>
    <row r="52" spans="1:12">
      <c r="A52" s="117">
        <f t="shared" si="4"/>
        <v>42</v>
      </c>
      <c r="B52" s="672" t="s">
        <v>1462</v>
      </c>
      <c r="C52" s="964">
        <f t="shared" si="1"/>
        <v>4799595.120000001</v>
      </c>
      <c r="D52" s="533">
        <v>2273495.0299999998</v>
      </c>
      <c r="E52" s="533">
        <v>2526100.0900000008</v>
      </c>
      <c r="F52" s="965" t="s">
        <v>621</v>
      </c>
      <c r="G52" s="966">
        <f t="shared" si="0"/>
        <v>-1580506.2200000002</v>
      </c>
      <c r="H52" s="533">
        <v>-3379.8100000000004</v>
      </c>
      <c r="I52" s="533">
        <v>-1577126.4100000001</v>
      </c>
      <c r="J52" s="1389">
        <f t="shared" si="2"/>
        <v>3219088.9000000004</v>
      </c>
      <c r="K52" s="1389">
        <f t="shared" si="5"/>
        <v>2270115.2199999997</v>
      </c>
      <c r="L52" s="1389">
        <f t="shared" si="5"/>
        <v>948973.68000000063</v>
      </c>
    </row>
    <row r="53" spans="1:12">
      <c r="A53" s="117">
        <f t="shared" si="4"/>
        <v>43</v>
      </c>
      <c r="B53" s="672" t="s">
        <v>1463</v>
      </c>
      <c r="C53" s="964">
        <f t="shared" si="1"/>
        <v>3835250.6700000009</v>
      </c>
      <c r="D53" s="533">
        <v>2629844.4000000008</v>
      </c>
      <c r="E53" s="533">
        <v>1205406.2699999998</v>
      </c>
      <c r="F53" s="965"/>
      <c r="G53" s="966">
        <f t="shared" si="0"/>
        <v>0</v>
      </c>
      <c r="H53" s="533"/>
      <c r="I53" s="533"/>
      <c r="J53" s="1389">
        <f t="shared" si="2"/>
        <v>3835250.6700000009</v>
      </c>
      <c r="K53" s="1389">
        <f t="shared" si="5"/>
        <v>2629844.4000000008</v>
      </c>
      <c r="L53" s="1389">
        <f t="shared" si="5"/>
        <v>1205406.2699999998</v>
      </c>
    </row>
    <row r="54" spans="1:12">
      <c r="A54" s="117">
        <f t="shared" si="4"/>
        <v>44</v>
      </c>
      <c r="B54" s="672" t="s">
        <v>1464</v>
      </c>
      <c r="C54" s="964">
        <f t="shared" si="1"/>
        <v>14073873.259999992</v>
      </c>
      <c r="D54" s="533">
        <v>2162478.3900000006</v>
      </c>
      <c r="E54" s="533">
        <v>11911394.869999992</v>
      </c>
      <c r="F54" s="965"/>
      <c r="G54" s="968">
        <f t="shared" si="0"/>
        <v>0</v>
      </c>
      <c r="H54" s="533"/>
      <c r="I54" s="533"/>
      <c r="J54" s="1389">
        <f t="shared" si="2"/>
        <v>14073873.259999992</v>
      </c>
      <c r="K54" s="1389">
        <f t="shared" si="5"/>
        <v>2162478.3900000006</v>
      </c>
      <c r="L54" s="1389">
        <f t="shared" si="5"/>
        <v>11911394.869999992</v>
      </c>
    </row>
    <row r="55" spans="1:12">
      <c r="A55" s="117">
        <f t="shared" si="4"/>
        <v>45</v>
      </c>
      <c r="B55" s="672" t="s">
        <v>1656</v>
      </c>
      <c r="C55" s="964">
        <f t="shared" si="1"/>
        <v>7187574.7299999995</v>
      </c>
      <c r="D55" s="533">
        <v>1034613.96</v>
      </c>
      <c r="E55" s="533">
        <v>6152960.7699999996</v>
      </c>
      <c r="F55" s="965"/>
      <c r="G55" s="968">
        <f t="shared" si="0"/>
        <v>0</v>
      </c>
      <c r="H55" s="533"/>
      <c r="I55" s="533"/>
      <c r="J55" s="1389">
        <f t="shared" ref="J55" si="9">SUM(K55:L55)</f>
        <v>7187574.7299999995</v>
      </c>
      <c r="K55" s="1389">
        <f t="shared" ref="K55" si="10">D55+H55</f>
        <v>1034613.96</v>
      </c>
      <c r="L55" s="1389">
        <f t="shared" ref="L55" si="11">E55+I55</f>
        <v>6152960.7699999996</v>
      </c>
    </row>
    <row r="56" spans="1:12">
      <c r="A56" s="117">
        <f t="shared" si="4"/>
        <v>46</v>
      </c>
      <c r="B56" s="672" t="s">
        <v>1465</v>
      </c>
      <c r="C56" s="964">
        <f t="shared" si="1"/>
        <v>416928.50999999995</v>
      </c>
      <c r="D56" s="533">
        <v>3.18</v>
      </c>
      <c r="E56" s="533">
        <v>416925.32999999996</v>
      </c>
      <c r="F56" s="965"/>
      <c r="G56" s="966">
        <f t="shared" si="0"/>
        <v>0</v>
      </c>
      <c r="H56" s="533"/>
      <c r="I56" s="533"/>
      <c r="J56" s="1389">
        <f t="shared" si="2"/>
        <v>416928.50999999995</v>
      </c>
      <c r="K56" s="1389">
        <f t="shared" si="5"/>
        <v>3.18</v>
      </c>
      <c r="L56" s="1389">
        <f t="shared" si="5"/>
        <v>416925.32999999996</v>
      </c>
    </row>
    <row r="57" spans="1:12">
      <c r="A57" s="117">
        <f t="shared" si="4"/>
        <v>47</v>
      </c>
      <c r="B57" s="672" t="s">
        <v>1466</v>
      </c>
      <c r="C57" s="964">
        <f t="shared" si="1"/>
        <v>1042583.6599999998</v>
      </c>
      <c r="D57" s="533">
        <v>148763.09</v>
      </c>
      <c r="E57" s="533">
        <v>893820.56999999983</v>
      </c>
      <c r="F57" s="965"/>
      <c r="G57" s="966">
        <f t="shared" si="0"/>
        <v>0</v>
      </c>
      <c r="H57" s="533"/>
      <c r="I57" s="533"/>
      <c r="J57" s="1389">
        <f t="shared" si="2"/>
        <v>1042583.6599999998</v>
      </c>
      <c r="K57" s="1389">
        <f t="shared" si="5"/>
        <v>148763.09</v>
      </c>
      <c r="L57" s="1389">
        <f t="shared" si="5"/>
        <v>893820.56999999983</v>
      </c>
    </row>
    <row r="58" spans="1:12">
      <c r="A58" s="117">
        <f t="shared" si="4"/>
        <v>48</v>
      </c>
      <c r="B58" s="672" t="s">
        <v>1467</v>
      </c>
      <c r="C58" s="964">
        <f t="shared" si="1"/>
        <v>-44129.45</v>
      </c>
      <c r="D58" s="533">
        <v>0</v>
      </c>
      <c r="E58" s="533">
        <v>-44129.45</v>
      </c>
      <c r="F58" s="965"/>
      <c r="G58" s="966">
        <f t="shared" si="0"/>
        <v>0</v>
      </c>
      <c r="H58" s="533"/>
      <c r="I58" s="533"/>
      <c r="J58" s="1389">
        <f t="shared" si="2"/>
        <v>-44129.45</v>
      </c>
      <c r="K58" s="1389">
        <f t="shared" si="5"/>
        <v>0</v>
      </c>
      <c r="L58" s="1389">
        <f t="shared" si="5"/>
        <v>-44129.45</v>
      </c>
    </row>
    <row r="59" spans="1:12">
      <c r="A59" s="117">
        <f t="shared" si="4"/>
        <v>49</v>
      </c>
      <c r="B59" s="672" t="s">
        <v>1468</v>
      </c>
      <c r="C59" s="964">
        <f t="shared" si="1"/>
        <v>1908587.1899999997</v>
      </c>
      <c r="D59" s="533">
        <v>596097.09000000008</v>
      </c>
      <c r="E59" s="533">
        <v>1312490.0999999996</v>
      </c>
      <c r="F59" s="965"/>
      <c r="G59" s="966">
        <f t="shared" si="0"/>
        <v>0</v>
      </c>
      <c r="H59" s="533"/>
      <c r="I59" s="533"/>
      <c r="J59" s="1389">
        <f t="shared" si="2"/>
        <v>1908587.1899999997</v>
      </c>
      <c r="K59" s="1389">
        <f t="shared" si="5"/>
        <v>596097.09000000008</v>
      </c>
      <c r="L59" s="1389">
        <f t="shared" si="5"/>
        <v>1312490.0999999996</v>
      </c>
    </row>
    <row r="60" spans="1:12" ht="15">
      <c r="A60" s="117">
        <f t="shared" si="4"/>
        <v>50</v>
      </c>
      <c r="B60" s="588" t="s">
        <v>564</v>
      </c>
      <c r="C60" s="971" t="s">
        <v>86</v>
      </c>
      <c r="D60" s="971" t="s">
        <v>86</v>
      </c>
      <c r="E60" s="971" t="s">
        <v>86</v>
      </c>
      <c r="F60" s="971" t="s">
        <v>86</v>
      </c>
      <c r="G60" s="968">
        <f t="shared" si="0"/>
        <v>0</v>
      </c>
      <c r="H60" s="971" t="s">
        <v>86</v>
      </c>
      <c r="I60" s="971" t="s">
        <v>86</v>
      </c>
      <c r="J60" s="473"/>
      <c r="K60" s="473"/>
      <c r="L60" s="473"/>
    </row>
    <row r="61" spans="1:12">
      <c r="A61" s="117">
        <f t="shared" si="4"/>
        <v>51</v>
      </c>
      <c r="B61" s="672" t="s">
        <v>2488</v>
      </c>
      <c r="C61" s="972">
        <v>0</v>
      </c>
      <c r="D61" s="972">
        <v>0</v>
      </c>
      <c r="E61" s="972">
        <v>0</v>
      </c>
      <c r="F61" s="984"/>
      <c r="G61" s="1306">
        <f t="shared" si="0"/>
        <v>9481030.285854388</v>
      </c>
      <c r="H61" s="973">
        <f>+C87*C193</f>
        <v>9481030.285854388</v>
      </c>
      <c r="I61" s="973">
        <v>0</v>
      </c>
      <c r="J61" s="1307">
        <f t="shared" si="2"/>
        <v>9481030.285854388</v>
      </c>
      <c r="K61" s="1307">
        <f>D61+H61</f>
        <v>9481030.285854388</v>
      </c>
      <c r="L61" s="1307">
        <f>E61+I61</f>
        <v>0</v>
      </c>
    </row>
    <row r="62" spans="1:12">
      <c r="A62" s="117">
        <f t="shared" si="4"/>
        <v>52</v>
      </c>
      <c r="B62" s="474" t="s">
        <v>1469</v>
      </c>
      <c r="C62" s="964">
        <f>SUM(D62:E62)</f>
        <v>312493773.49000007</v>
      </c>
      <c r="D62" s="974">
        <f>SUM(D11:D61)</f>
        <v>77411553.450000003</v>
      </c>
      <c r="E62" s="974">
        <f>SUM(E11:E61)</f>
        <v>235082220.04000005</v>
      </c>
      <c r="F62" s="975"/>
      <c r="G62" s="975">
        <f t="shared" ref="G62:L62" si="12">SUM(G11:G61)</f>
        <v>-142800178.47414562</v>
      </c>
      <c r="H62" s="974">
        <f t="shared" si="12"/>
        <v>9050176.9658543877</v>
      </c>
      <c r="I62" s="974">
        <f t="shared" si="12"/>
        <v>-151850355.44000003</v>
      </c>
      <c r="J62" s="974">
        <f t="shared" si="12"/>
        <v>169693595.01585439</v>
      </c>
      <c r="K62" s="974">
        <f t="shared" si="12"/>
        <v>86461730.41585438</v>
      </c>
      <c r="L62" s="974">
        <f t="shared" si="12"/>
        <v>83231864.599999964</v>
      </c>
    </row>
    <row r="63" spans="1:12">
      <c r="A63" s="117">
        <f t="shared" si="4"/>
        <v>53</v>
      </c>
      <c r="B63" s="567"/>
      <c r="C63" s="976"/>
      <c r="D63" s="977"/>
      <c r="E63" s="977"/>
      <c r="F63" s="978"/>
      <c r="G63" s="979"/>
      <c r="H63" s="980"/>
      <c r="I63" s="980"/>
      <c r="J63" s="674"/>
      <c r="K63" s="674"/>
      <c r="L63" s="674"/>
    </row>
    <row r="64" spans="1:12">
      <c r="A64" s="645"/>
      <c r="B64" s="475"/>
      <c r="C64" s="977"/>
      <c r="D64" s="977"/>
      <c r="E64" s="977"/>
      <c r="F64" s="978"/>
      <c r="G64" s="981"/>
      <c r="H64" s="977"/>
      <c r="I64" s="977"/>
      <c r="J64" s="977"/>
      <c r="K64" s="977"/>
      <c r="L64" s="977"/>
    </row>
    <row r="65" spans="1:12">
      <c r="A65" s="645"/>
      <c r="B65" s="463" t="s">
        <v>394</v>
      </c>
      <c r="C65" s="463" t="s">
        <v>378</v>
      </c>
      <c r="D65" s="463" t="s">
        <v>379</v>
      </c>
      <c r="E65" s="463" t="s">
        <v>380</v>
      </c>
      <c r="F65" s="464" t="s">
        <v>381</v>
      </c>
      <c r="G65" s="463" t="s">
        <v>382</v>
      </c>
      <c r="H65" s="463" t="s">
        <v>383</v>
      </c>
      <c r="I65" s="463" t="s">
        <v>596</v>
      </c>
      <c r="J65" s="463" t="s">
        <v>1045</v>
      </c>
      <c r="K65" s="463" t="s">
        <v>1061</v>
      </c>
      <c r="L65" s="463" t="s">
        <v>1064</v>
      </c>
    </row>
    <row r="66" spans="1:12">
      <c r="A66" s="645"/>
      <c r="B66" s="475"/>
      <c r="C66" s="626" t="s">
        <v>1415</v>
      </c>
      <c r="D66" s="461"/>
      <c r="E66" s="461"/>
      <c r="F66" s="957" t="s">
        <v>396</v>
      </c>
      <c r="G66" s="626" t="s">
        <v>1416</v>
      </c>
      <c r="H66" s="465"/>
      <c r="I66" s="465"/>
      <c r="J66" s="626" t="s">
        <v>1417</v>
      </c>
      <c r="K66" s="626" t="s">
        <v>1418</v>
      </c>
      <c r="L66" s="627" t="s">
        <v>1419</v>
      </c>
    </row>
    <row r="67" spans="1:12">
      <c r="A67" s="645"/>
      <c r="C67" s="976"/>
      <c r="D67" s="977"/>
      <c r="E67" s="977"/>
      <c r="F67" s="978"/>
      <c r="G67" s="979"/>
      <c r="H67" s="977"/>
      <c r="I67" s="977"/>
      <c r="J67" s="674"/>
      <c r="K67" s="674"/>
      <c r="L67" s="674"/>
    </row>
    <row r="68" spans="1:12">
      <c r="A68" s="645"/>
      <c r="B68" s="1442" t="s">
        <v>1420</v>
      </c>
      <c r="C68" s="1444" t="s">
        <v>1421</v>
      </c>
      <c r="D68" s="1444"/>
      <c r="E68" s="1444"/>
      <c r="F68" s="467"/>
      <c r="G68" s="1445" t="s">
        <v>1422</v>
      </c>
      <c r="H68" s="1445"/>
      <c r="I68" s="1446"/>
      <c r="J68" s="1448" t="s">
        <v>1423</v>
      </c>
      <c r="K68" s="1445"/>
      <c r="L68" s="1446"/>
    </row>
    <row r="69" spans="1:12">
      <c r="A69" s="645"/>
      <c r="B69" s="1443"/>
      <c r="C69" s="956" t="s">
        <v>215</v>
      </c>
      <c r="D69" s="956" t="s">
        <v>1424</v>
      </c>
      <c r="E69" s="468" t="s">
        <v>1425</v>
      </c>
      <c r="F69" s="469" t="s">
        <v>1357</v>
      </c>
      <c r="G69" s="468" t="s">
        <v>215</v>
      </c>
      <c r="H69" s="468" t="s">
        <v>1424</v>
      </c>
      <c r="I69" s="468" t="s">
        <v>1425</v>
      </c>
      <c r="J69" s="956" t="s">
        <v>215</v>
      </c>
      <c r="K69" s="468" t="s">
        <v>1424</v>
      </c>
      <c r="L69" s="468" t="s">
        <v>1425</v>
      </c>
    </row>
    <row r="70" spans="1:12">
      <c r="A70" s="645"/>
      <c r="B70" s="476" t="s">
        <v>1470</v>
      </c>
      <c r="C70" s="270"/>
      <c r="D70" s="270"/>
      <c r="E70" s="471"/>
      <c r="F70" s="472"/>
      <c r="G70" s="471"/>
      <c r="H70" s="471"/>
      <c r="I70" s="471"/>
      <c r="J70" s="270"/>
      <c r="K70" s="471"/>
      <c r="L70" s="471"/>
    </row>
    <row r="71" spans="1:12">
      <c r="A71" s="117">
        <f>A63+1</f>
        <v>54</v>
      </c>
      <c r="B71" s="672" t="s">
        <v>1471</v>
      </c>
      <c r="C71" s="964">
        <f t="shared" ref="C71:C79" si="13">SUM(D71:E71)</f>
        <v>24129872.910000004</v>
      </c>
      <c r="D71" s="533">
        <v>17860181.860000007</v>
      </c>
      <c r="E71" s="533">
        <v>6269691.049999998</v>
      </c>
      <c r="F71" s="965"/>
      <c r="G71" s="966">
        <f t="shared" ref="G71:G79" si="14">SUM(H71:I71)</f>
        <v>0</v>
      </c>
      <c r="H71" s="533"/>
      <c r="I71" s="533"/>
      <c r="J71" s="1389">
        <f t="shared" ref="J71:J78" si="15">SUM(K71:L71)</f>
        <v>24129872.910000004</v>
      </c>
      <c r="K71" s="1389">
        <f t="shared" ref="K71:L80" si="16">D71+H71</f>
        <v>17860181.860000007</v>
      </c>
      <c r="L71" s="1389">
        <f t="shared" si="16"/>
        <v>6269691.049999998</v>
      </c>
    </row>
    <row r="72" spans="1:12">
      <c r="A72" s="117">
        <f t="shared" ref="A72:A85" si="17">A71+1</f>
        <v>55</v>
      </c>
      <c r="B72" s="672" t="s">
        <v>1472</v>
      </c>
      <c r="C72" s="964">
        <f t="shared" si="13"/>
        <v>11112485.149999999</v>
      </c>
      <c r="D72" s="533">
        <v>9050545.1499999985</v>
      </c>
      <c r="E72" s="533">
        <v>2061940.0000000002</v>
      </c>
      <c r="F72" s="965"/>
      <c r="G72" s="966">
        <f t="shared" si="14"/>
        <v>0</v>
      </c>
      <c r="H72" s="533"/>
      <c r="I72" s="533"/>
      <c r="J72" s="1389">
        <f t="shared" si="15"/>
        <v>11112485.149999999</v>
      </c>
      <c r="K72" s="1389">
        <f t="shared" si="16"/>
        <v>9050545.1499999985</v>
      </c>
      <c r="L72" s="1389">
        <f t="shared" si="16"/>
        <v>2061940.0000000002</v>
      </c>
    </row>
    <row r="73" spans="1:12">
      <c r="A73" s="117">
        <f t="shared" si="17"/>
        <v>56</v>
      </c>
      <c r="B73" s="672" t="s">
        <v>1473</v>
      </c>
      <c r="C73" s="964">
        <f t="shared" si="13"/>
        <v>2004341.34</v>
      </c>
      <c r="D73" s="533">
        <v>1857918.1900000002</v>
      </c>
      <c r="E73" s="533">
        <v>146423.14999999997</v>
      </c>
      <c r="F73" s="965"/>
      <c r="G73" s="966">
        <f t="shared" si="14"/>
        <v>0</v>
      </c>
      <c r="H73" s="533"/>
      <c r="I73" s="533"/>
      <c r="J73" s="1389">
        <f t="shared" si="15"/>
        <v>2004341.34</v>
      </c>
      <c r="K73" s="1389">
        <f t="shared" si="16"/>
        <v>1857918.1900000002</v>
      </c>
      <c r="L73" s="1389">
        <f t="shared" si="16"/>
        <v>146423.14999999997</v>
      </c>
    </row>
    <row r="74" spans="1:12">
      <c r="A74" s="117">
        <f t="shared" si="17"/>
        <v>57</v>
      </c>
      <c r="B74" s="672" t="s">
        <v>1474</v>
      </c>
      <c r="C74" s="964">
        <f t="shared" si="13"/>
        <v>215353.2</v>
      </c>
      <c r="D74" s="533">
        <v>81556.430000000022</v>
      </c>
      <c r="E74" s="533">
        <v>133796.76999999999</v>
      </c>
      <c r="F74" s="965"/>
      <c r="G74" s="966">
        <f t="shared" si="14"/>
        <v>0</v>
      </c>
      <c r="H74" s="533"/>
      <c r="I74" s="533"/>
      <c r="J74" s="1389">
        <f t="shared" si="15"/>
        <v>215353.2</v>
      </c>
      <c r="K74" s="1389">
        <f t="shared" si="16"/>
        <v>81556.430000000022</v>
      </c>
      <c r="L74" s="1389">
        <f t="shared" si="16"/>
        <v>133796.76999999999</v>
      </c>
    </row>
    <row r="75" spans="1:12">
      <c r="A75" s="117">
        <f t="shared" si="17"/>
        <v>58</v>
      </c>
      <c r="B75" s="672" t="s">
        <v>1475</v>
      </c>
      <c r="C75" s="964">
        <f t="shared" si="13"/>
        <v>701379.93000000017</v>
      </c>
      <c r="D75" s="533">
        <v>447806.72000000003</v>
      </c>
      <c r="E75" s="533">
        <v>253573.21000000008</v>
      </c>
      <c r="F75" s="965"/>
      <c r="G75" s="966">
        <f t="shared" si="14"/>
        <v>0</v>
      </c>
      <c r="H75" s="533"/>
      <c r="I75" s="533"/>
      <c r="J75" s="1389">
        <f t="shared" si="15"/>
        <v>701379.93000000017</v>
      </c>
      <c r="K75" s="1389">
        <f t="shared" si="16"/>
        <v>447806.72000000003</v>
      </c>
      <c r="L75" s="1389">
        <f t="shared" si="16"/>
        <v>253573.21000000008</v>
      </c>
    </row>
    <row r="76" spans="1:12">
      <c r="A76" s="117">
        <f t="shared" si="17"/>
        <v>59</v>
      </c>
      <c r="B76" s="672" t="s">
        <v>1476</v>
      </c>
      <c r="C76" s="964">
        <f t="shared" si="13"/>
        <v>2381835.96</v>
      </c>
      <c r="D76" s="533">
        <v>1698101.7999999998</v>
      </c>
      <c r="E76" s="533">
        <v>683734.15999999992</v>
      </c>
      <c r="F76" s="965"/>
      <c r="G76" s="966">
        <f t="shared" si="14"/>
        <v>0</v>
      </c>
      <c r="H76" s="533"/>
      <c r="I76" s="533"/>
      <c r="J76" s="1389">
        <f t="shared" si="15"/>
        <v>2381835.96</v>
      </c>
      <c r="K76" s="1389">
        <f t="shared" si="16"/>
        <v>1698101.7999999998</v>
      </c>
      <c r="L76" s="1389">
        <f t="shared" si="16"/>
        <v>683734.15999999992</v>
      </c>
    </row>
    <row r="77" spans="1:12">
      <c r="A77" s="117">
        <f t="shared" si="17"/>
        <v>60</v>
      </c>
      <c r="B77" s="672" t="s">
        <v>1477</v>
      </c>
      <c r="C77" s="964">
        <f t="shared" si="13"/>
        <v>876590.45000000019</v>
      </c>
      <c r="D77" s="533">
        <v>560178.81000000006</v>
      </c>
      <c r="E77" s="533">
        <v>316411.64000000019</v>
      </c>
      <c r="F77" s="965"/>
      <c r="G77" s="966">
        <f t="shared" si="14"/>
        <v>0</v>
      </c>
      <c r="H77" s="533"/>
      <c r="I77" s="533"/>
      <c r="J77" s="1389">
        <f t="shared" si="15"/>
        <v>876590.45000000019</v>
      </c>
      <c r="K77" s="1389">
        <f t="shared" si="16"/>
        <v>560178.81000000006</v>
      </c>
      <c r="L77" s="1389">
        <f t="shared" si="16"/>
        <v>316411.64000000019</v>
      </c>
    </row>
    <row r="78" spans="1:12">
      <c r="A78" s="117">
        <f t="shared" si="17"/>
        <v>61</v>
      </c>
      <c r="B78" s="672" t="s">
        <v>1478</v>
      </c>
      <c r="C78" s="964">
        <f t="shared" si="13"/>
        <v>7298991.5199999996</v>
      </c>
      <c r="D78" s="533">
        <v>2327050</v>
      </c>
      <c r="E78" s="533">
        <v>4971941.5199999996</v>
      </c>
      <c r="F78" s="965"/>
      <c r="G78" s="968">
        <f t="shared" si="14"/>
        <v>0</v>
      </c>
      <c r="H78" s="533"/>
      <c r="I78" s="533"/>
      <c r="J78" s="1389">
        <f t="shared" si="15"/>
        <v>7298991.5199999996</v>
      </c>
      <c r="K78" s="1389">
        <f t="shared" si="16"/>
        <v>2327050</v>
      </c>
      <c r="L78" s="1389">
        <f t="shared" si="16"/>
        <v>4971941.5199999996</v>
      </c>
    </row>
    <row r="79" spans="1:12">
      <c r="A79" s="117">
        <f t="shared" si="17"/>
        <v>62</v>
      </c>
      <c r="B79" s="672" t="s">
        <v>1479</v>
      </c>
      <c r="C79" s="964">
        <f t="shared" si="13"/>
        <v>448844739.25</v>
      </c>
      <c r="D79" s="983">
        <v>181001878.56999999</v>
      </c>
      <c r="E79" s="983">
        <v>267842860.68000001</v>
      </c>
      <c r="F79" s="965" t="s">
        <v>620</v>
      </c>
      <c r="G79" s="968">
        <f t="shared" si="14"/>
        <v>-12915765.439999999</v>
      </c>
      <c r="H79" s="533">
        <v>-1001162.7999999999</v>
      </c>
      <c r="I79" s="533">
        <v>-11914602.639999999</v>
      </c>
      <c r="J79" s="1389">
        <f>C79+G79</f>
        <v>435928973.81</v>
      </c>
      <c r="K79" s="1389">
        <f t="shared" si="16"/>
        <v>180000715.76999998</v>
      </c>
      <c r="L79" s="1389">
        <f t="shared" si="16"/>
        <v>255928258.04000002</v>
      </c>
    </row>
    <row r="80" spans="1:12">
      <c r="A80" s="117">
        <f>A79+1</f>
        <v>63</v>
      </c>
      <c r="B80" s="672" t="s">
        <v>2489</v>
      </c>
      <c r="C80" s="972">
        <v>0</v>
      </c>
      <c r="D80" s="972">
        <v>0</v>
      </c>
      <c r="E80" s="972">
        <v>0</v>
      </c>
      <c r="F80" s="984"/>
      <c r="G80" s="1306">
        <f>SUM(H80:I80)</f>
        <v>26318206.580110144</v>
      </c>
      <c r="H80" s="1390">
        <f>+C87*C194</f>
        <v>26318206.580110144</v>
      </c>
      <c r="I80" s="1390">
        <v>0</v>
      </c>
      <c r="J80" s="1391">
        <f>SUM(K80:L80)</f>
        <v>26318206.580110144</v>
      </c>
      <c r="K80" s="1391">
        <f t="shared" si="16"/>
        <v>26318206.580110144</v>
      </c>
      <c r="L80" s="1392">
        <f t="shared" si="16"/>
        <v>0</v>
      </c>
    </row>
    <row r="81" spans="1:12">
      <c r="A81" s="117">
        <f t="shared" si="17"/>
        <v>64</v>
      </c>
      <c r="B81" s="475" t="s">
        <v>1480</v>
      </c>
      <c r="C81" s="974">
        <f>SUM(C71:C80)</f>
        <v>497565589.71000004</v>
      </c>
      <c r="D81" s="974">
        <f>SUM(D71:D80)</f>
        <v>214885217.53</v>
      </c>
      <c r="E81" s="974">
        <f>SUM(E71:E80)</f>
        <v>282680372.18000001</v>
      </c>
      <c r="F81" s="975"/>
      <c r="G81" s="975">
        <f t="shared" ref="G81:L81" si="18">SUM(G71:G80)</f>
        <v>13402441.140110144</v>
      </c>
      <c r="H81" s="974">
        <f t="shared" si="18"/>
        <v>25317043.780110143</v>
      </c>
      <c r="I81" s="974">
        <f t="shared" si="18"/>
        <v>-11914602.639999999</v>
      </c>
      <c r="J81" s="974">
        <f>SUM(J71:J80)</f>
        <v>510968030.85011011</v>
      </c>
      <c r="K81" s="974">
        <f t="shared" si="18"/>
        <v>240202261.31011012</v>
      </c>
      <c r="L81" s="974">
        <f t="shared" si="18"/>
        <v>270765769.54000002</v>
      </c>
    </row>
    <row r="82" spans="1:12">
      <c r="A82" s="117">
        <f t="shared" si="17"/>
        <v>65</v>
      </c>
      <c r="B82" s="976"/>
      <c r="C82" s="982"/>
      <c r="D82" s="977"/>
      <c r="E82" s="977"/>
      <c r="F82" s="985"/>
      <c r="G82" s="979"/>
      <c r="H82" s="980"/>
      <c r="I82" s="980"/>
      <c r="J82" s="674"/>
      <c r="K82" s="674"/>
      <c r="L82" s="674"/>
    </row>
    <row r="83" spans="1:12">
      <c r="A83" s="117">
        <f t="shared" si="17"/>
        <v>66</v>
      </c>
      <c r="B83" s="475" t="s">
        <v>1481</v>
      </c>
      <c r="C83" s="964">
        <f>+C62+C81</f>
        <v>810059363.20000005</v>
      </c>
      <c r="D83" s="964">
        <f>D81+D62</f>
        <v>292296770.98000002</v>
      </c>
      <c r="E83" s="964">
        <f>E81+E62</f>
        <v>517762592.22000003</v>
      </c>
      <c r="F83" s="964"/>
      <c r="G83" s="968">
        <f>+G62+G81</f>
        <v>-129397737.33403547</v>
      </c>
      <c r="H83" s="964">
        <f>H81+H62</f>
        <v>34367220.745964527</v>
      </c>
      <c r="I83" s="964">
        <f>I81+I62</f>
        <v>-163764958.08000001</v>
      </c>
      <c r="J83" s="964">
        <f>J81+J62</f>
        <v>680661625.86596453</v>
      </c>
      <c r="K83" s="964">
        <f>K81+K62</f>
        <v>326663991.72596449</v>
      </c>
      <c r="L83" s="964">
        <f>L81+L62</f>
        <v>353997634.13999999</v>
      </c>
    </row>
    <row r="84" spans="1:12">
      <c r="A84" s="117">
        <f t="shared" si="17"/>
        <v>67</v>
      </c>
      <c r="B84" s="976"/>
      <c r="C84" s="976"/>
      <c r="D84" s="976"/>
      <c r="E84" s="976"/>
      <c r="F84" s="986"/>
      <c r="G84" s="987"/>
      <c r="H84" s="980"/>
      <c r="I84" s="980"/>
      <c r="J84" s="567"/>
      <c r="K84" s="567"/>
      <c r="L84" s="567"/>
    </row>
    <row r="85" spans="1:12">
      <c r="A85" s="117">
        <f t="shared" si="17"/>
        <v>68</v>
      </c>
      <c r="B85" s="672" t="s">
        <v>1482</v>
      </c>
      <c r="C85" s="988">
        <v>312493772</v>
      </c>
      <c r="D85" s="989" t="s">
        <v>1483</v>
      </c>
      <c r="E85" s="982" t="str">
        <f>"Must equal Line "&amp;A62&amp;", Column 2."</f>
        <v>Must equal Line 52, Column 2.</v>
      </c>
      <c r="F85" s="986"/>
      <c r="G85" s="477"/>
      <c r="H85" s="478"/>
      <c r="I85" s="478"/>
      <c r="J85" s="478"/>
      <c r="K85" s="478"/>
      <c r="L85" s="478"/>
    </row>
    <row r="86" spans="1:12">
      <c r="A86" s="117">
        <f>A85+1</f>
        <v>69</v>
      </c>
      <c r="B86" s="672" t="s">
        <v>1484</v>
      </c>
      <c r="C86" s="988">
        <v>497565592</v>
      </c>
      <c r="D86" s="989" t="s">
        <v>2989</v>
      </c>
      <c r="E86" s="982" t="str">
        <f>"Must equal Line "&amp;A81&amp;", Column 2."</f>
        <v>Must equal Line 64, Column 2.</v>
      </c>
      <c r="F86" s="986"/>
      <c r="G86" s="979"/>
      <c r="H86" s="674"/>
      <c r="I86" s="674"/>
      <c r="J86" s="674"/>
      <c r="K86" s="674"/>
      <c r="L86" s="674"/>
    </row>
    <row r="87" spans="1:12">
      <c r="A87" s="117">
        <f>A86+1</f>
        <v>70</v>
      </c>
      <c r="B87" s="672" t="s">
        <v>2490</v>
      </c>
      <c r="C87" s="1308">
        <f>'20-AandG'!E63</f>
        <v>35799236.865964532</v>
      </c>
      <c r="D87" s="989" t="str">
        <f>"20-AandG, Note 2, "&amp;'20-AandG'!B63&amp;""</f>
        <v>20-AandG, Note 2, f</v>
      </c>
      <c r="E87" s="982"/>
      <c r="F87" s="645"/>
      <c r="G87" s="979"/>
      <c r="H87" s="674"/>
      <c r="I87" s="674"/>
      <c r="J87" s="674"/>
      <c r="K87" s="674"/>
      <c r="L87" s="674"/>
    </row>
    <row r="88" spans="1:12">
      <c r="A88" s="479"/>
      <c r="C88" s="480"/>
      <c r="D88" s="982"/>
      <c r="E88" s="982"/>
      <c r="F88" s="986"/>
      <c r="G88" s="979"/>
      <c r="H88" s="674"/>
      <c r="I88" s="674"/>
      <c r="J88" s="674"/>
      <c r="K88" s="674"/>
      <c r="L88" s="674"/>
    </row>
    <row r="89" spans="1:12">
      <c r="A89" s="567"/>
      <c r="B89" s="452" t="s">
        <v>1559</v>
      </c>
      <c r="C89" s="976"/>
      <c r="D89" s="976"/>
      <c r="E89" s="976"/>
      <c r="F89" s="986"/>
      <c r="G89" s="987"/>
      <c r="H89" s="567"/>
      <c r="I89" s="567"/>
      <c r="J89" s="567"/>
      <c r="K89" s="567"/>
      <c r="L89" s="567"/>
    </row>
    <row r="90" spans="1:12">
      <c r="A90" s="567"/>
      <c r="C90" s="976"/>
      <c r="D90" s="976"/>
      <c r="E90" s="976"/>
      <c r="F90" s="986"/>
      <c r="G90" s="987"/>
      <c r="H90" s="567"/>
      <c r="I90" s="567"/>
      <c r="J90" s="567"/>
      <c r="K90" s="567"/>
      <c r="L90" s="567"/>
    </row>
    <row r="91" spans="1:12">
      <c r="A91" s="567"/>
      <c r="B91" s="91" t="s">
        <v>394</v>
      </c>
      <c r="C91" s="463" t="s">
        <v>378</v>
      </c>
      <c r="D91" s="463" t="s">
        <v>379</v>
      </c>
      <c r="E91" s="463" t="s">
        <v>380</v>
      </c>
      <c r="F91" s="464" t="s">
        <v>381</v>
      </c>
      <c r="G91" s="463" t="s">
        <v>382</v>
      </c>
      <c r="H91" s="463" t="s">
        <v>383</v>
      </c>
      <c r="I91" s="463" t="s">
        <v>596</v>
      </c>
      <c r="J91" s="1064" t="s">
        <v>1045</v>
      </c>
      <c r="K91" s="369"/>
      <c r="L91" s="91"/>
    </row>
    <row r="92" spans="1:12">
      <c r="A92" s="567"/>
      <c r="C92" s="976" t="s">
        <v>1485</v>
      </c>
      <c r="D92" s="976" t="s">
        <v>1486</v>
      </c>
      <c r="E92" s="976" t="s">
        <v>1487</v>
      </c>
      <c r="F92" s="987" t="s">
        <v>1311</v>
      </c>
      <c r="G92" s="627" t="s">
        <v>1416</v>
      </c>
      <c r="H92" s="628" t="s">
        <v>1904</v>
      </c>
      <c r="I92" s="628" t="s">
        <v>1905</v>
      </c>
      <c r="J92" s="530"/>
      <c r="K92" s="976"/>
      <c r="L92" s="567"/>
    </row>
    <row r="93" spans="1:12">
      <c r="C93" s="976"/>
      <c r="D93" s="976"/>
      <c r="E93" s="976"/>
      <c r="F93" s="986"/>
      <c r="G93" s="987"/>
      <c r="H93" s="567"/>
      <c r="I93" s="567"/>
      <c r="J93" s="976"/>
      <c r="K93" s="976"/>
      <c r="L93" s="567"/>
    </row>
    <row r="94" spans="1:12">
      <c r="A94" s="466"/>
      <c r="B94" s="1447" t="s">
        <v>1420</v>
      </c>
      <c r="C94" s="1448" t="s">
        <v>1423</v>
      </c>
      <c r="D94" s="1445"/>
      <c r="E94" s="1446"/>
      <c r="F94" s="481" t="s">
        <v>1622</v>
      </c>
      <c r="G94" s="1439" t="s">
        <v>1488</v>
      </c>
      <c r="H94" s="1440"/>
      <c r="I94" s="1441"/>
      <c r="J94" s="1065" t="s">
        <v>1995</v>
      </c>
      <c r="K94" s="976"/>
    </row>
    <row r="95" spans="1:12">
      <c r="B95" s="1447"/>
      <c r="C95" s="956" t="s">
        <v>215</v>
      </c>
      <c r="D95" s="468" t="s">
        <v>1424</v>
      </c>
      <c r="E95" s="468" t="s">
        <v>1425</v>
      </c>
      <c r="F95" s="481" t="s">
        <v>478</v>
      </c>
      <c r="G95" s="956" t="s">
        <v>215</v>
      </c>
      <c r="H95" s="468" t="s">
        <v>1424</v>
      </c>
      <c r="I95" s="468" t="s">
        <v>1425</v>
      </c>
      <c r="J95" s="1012" t="s">
        <v>224</v>
      </c>
      <c r="K95" s="976"/>
      <c r="L95" s="567"/>
    </row>
    <row r="96" spans="1:12">
      <c r="A96" s="52" t="s">
        <v>360</v>
      </c>
      <c r="B96" s="470" t="s">
        <v>1426</v>
      </c>
      <c r="C96" s="270"/>
      <c r="D96" s="471"/>
      <c r="E96" s="471"/>
      <c r="F96" s="482"/>
      <c r="G96" s="270"/>
      <c r="H96" s="471"/>
      <c r="I96" s="471"/>
      <c r="J96" s="530"/>
      <c r="K96" s="976"/>
      <c r="L96" s="567"/>
    </row>
    <row r="97" spans="1:12">
      <c r="A97" s="117">
        <f>A87+1</f>
        <v>71</v>
      </c>
      <c r="B97" s="672" t="s">
        <v>1427</v>
      </c>
      <c r="C97" s="964">
        <f t="shared" ref="C97:C112" si="19">J11</f>
        <v>8986905.8299999982</v>
      </c>
      <c r="D97" s="964">
        <f t="shared" ref="D97:D112" si="20">K11</f>
        <v>5369289.6799999997</v>
      </c>
      <c r="E97" s="964">
        <f t="shared" ref="E97:E112" si="21">L11</f>
        <v>3617616.1499999985</v>
      </c>
      <c r="F97" s="995">
        <f>J204</f>
        <v>0.40625547984391497</v>
      </c>
      <c r="G97" s="1395">
        <f>SUM(H97:I97)</f>
        <v>3650979.7402787264</v>
      </c>
      <c r="H97" s="1395">
        <f>D97*F97</f>
        <v>2181303.3553693807</v>
      </c>
      <c r="I97" s="1395">
        <f>E97*F97</f>
        <v>1469676.3849093458</v>
      </c>
      <c r="J97" s="530" t="s">
        <v>2160</v>
      </c>
      <c r="K97" s="976"/>
      <c r="L97" s="567"/>
    </row>
    <row r="98" spans="1:12">
      <c r="A98" s="117">
        <f t="shared" ref="A98:A149" si="22">A97+1</f>
        <v>72</v>
      </c>
      <c r="B98" s="672" t="s">
        <v>1428</v>
      </c>
      <c r="C98" s="964">
        <f t="shared" si="19"/>
        <v>-74603.070000000007</v>
      </c>
      <c r="D98" s="964">
        <f t="shared" si="20"/>
        <v>0</v>
      </c>
      <c r="E98" s="964">
        <f t="shared" si="21"/>
        <v>-74603.070000000007</v>
      </c>
      <c r="F98" s="995">
        <v>1</v>
      </c>
      <c r="G98" s="1395">
        <f t="shared" ref="G98:G145" si="23">SUM(H98:I98)</f>
        <v>-74603.070000000007</v>
      </c>
      <c r="H98" s="1395">
        <f t="shared" ref="H98:H145" si="24">D98*F98</f>
        <v>0</v>
      </c>
      <c r="I98" s="1395">
        <f t="shared" ref="I98:I145" si="25">E98*F98</f>
        <v>-74603.070000000007</v>
      </c>
      <c r="J98" s="1066" t="s">
        <v>2162</v>
      </c>
      <c r="K98" s="976"/>
      <c r="L98" s="567"/>
    </row>
    <row r="99" spans="1:12">
      <c r="A99" s="117">
        <f t="shared" si="22"/>
        <v>73</v>
      </c>
      <c r="B99" s="672" t="s">
        <v>1429</v>
      </c>
      <c r="C99" s="964">
        <f t="shared" si="19"/>
        <v>0</v>
      </c>
      <c r="D99" s="964">
        <f t="shared" si="20"/>
        <v>0</v>
      </c>
      <c r="E99" s="964">
        <f t="shared" si="21"/>
        <v>0</v>
      </c>
      <c r="F99" s="995">
        <f>'27-Allocators'!D36</f>
        <v>0.34412247129579004</v>
      </c>
      <c r="G99" s="1395">
        <f t="shared" si="23"/>
        <v>0</v>
      </c>
      <c r="H99" s="1395">
        <f t="shared" si="24"/>
        <v>0</v>
      </c>
      <c r="I99" s="1395">
        <f t="shared" si="25"/>
        <v>0</v>
      </c>
      <c r="J99" s="530" t="str">
        <f>"27-Allocators Line "&amp;'27-Allocators'!A36&amp;""</f>
        <v>27-Allocators Line 30</v>
      </c>
      <c r="K99" s="976"/>
      <c r="L99" s="567"/>
    </row>
    <row r="100" spans="1:12">
      <c r="A100" s="117">
        <f t="shared" si="22"/>
        <v>74</v>
      </c>
      <c r="B100" s="672" t="s">
        <v>1430</v>
      </c>
      <c r="C100" s="964">
        <f t="shared" si="19"/>
        <v>702757.42999999993</v>
      </c>
      <c r="D100" s="964">
        <f t="shared" si="20"/>
        <v>361516.90999999992</v>
      </c>
      <c r="E100" s="964">
        <f t="shared" si="21"/>
        <v>341240.52</v>
      </c>
      <c r="F100" s="995">
        <f>'27-Allocators'!D36</f>
        <v>0.34412247129579004</v>
      </c>
      <c r="G100" s="1395">
        <f t="shared" si="23"/>
        <v>241834.62353307815</v>
      </c>
      <c r="H100" s="1395">
        <f t="shared" si="24"/>
        <v>124406.09248441768</v>
      </c>
      <c r="I100" s="1395">
        <f t="shared" si="25"/>
        <v>117428.53104866047</v>
      </c>
      <c r="J100" s="530" t="str">
        <f>"27-Allocators Line "&amp;'27-Allocators'!A36&amp;""</f>
        <v>27-Allocators Line 30</v>
      </c>
      <c r="K100" s="976"/>
      <c r="L100" s="567"/>
    </row>
    <row r="101" spans="1:12">
      <c r="A101" s="117">
        <f t="shared" si="22"/>
        <v>75</v>
      </c>
      <c r="B101" s="672" t="s">
        <v>1431</v>
      </c>
      <c r="C101" s="964">
        <f t="shared" si="19"/>
        <v>8146023.2299999995</v>
      </c>
      <c r="D101" s="964">
        <f t="shared" si="20"/>
        <v>6775767.6699999999</v>
      </c>
      <c r="E101" s="964">
        <f t="shared" si="21"/>
        <v>1370255.5599999998</v>
      </c>
      <c r="F101" s="995">
        <f>'27-Allocators'!D36</f>
        <v>0.34412247129579004</v>
      </c>
      <c r="G101" s="1395">
        <f t="shared" si="23"/>
        <v>2803229.6451405138</v>
      </c>
      <c r="H101" s="1395">
        <f t="shared" si="24"/>
        <v>2331693.9155265172</v>
      </c>
      <c r="I101" s="1395">
        <f t="shared" si="25"/>
        <v>471535.72961399663</v>
      </c>
      <c r="J101" s="530" t="str">
        <f>"27-Allocators Line "&amp;'27-Allocators'!A36&amp;""</f>
        <v>27-Allocators Line 30</v>
      </c>
      <c r="K101" s="976"/>
      <c r="L101" s="567"/>
    </row>
    <row r="102" spans="1:12">
      <c r="A102" s="117">
        <f t="shared" si="22"/>
        <v>76</v>
      </c>
      <c r="B102" s="672" t="s">
        <v>1432</v>
      </c>
      <c r="C102" s="964">
        <f t="shared" si="19"/>
        <v>0</v>
      </c>
      <c r="D102" s="964">
        <f t="shared" si="20"/>
        <v>0</v>
      </c>
      <c r="E102" s="964">
        <f t="shared" si="21"/>
        <v>0</v>
      </c>
      <c r="F102" s="995">
        <v>0</v>
      </c>
      <c r="G102" s="1395">
        <f t="shared" si="23"/>
        <v>0</v>
      </c>
      <c r="H102" s="1395">
        <f t="shared" si="24"/>
        <v>0</v>
      </c>
      <c r="I102" s="1395">
        <f t="shared" si="25"/>
        <v>0</v>
      </c>
      <c r="J102" s="1066" t="s">
        <v>2163</v>
      </c>
      <c r="K102" s="976"/>
      <c r="L102" s="567"/>
    </row>
    <row r="103" spans="1:12">
      <c r="A103" s="117">
        <f t="shared" si="22"/>
        <v>77</v>
      </c>
      <c r="B103" s="672" t="s">
        <v>1433</v>
      </c>
      <c r="C103" s="964">
        <f t="shared" si="19"/>
        <v>5513298.0699999994</v>
      </c>
      <c r="D103" s="964">
        <f t="shared" si="20"/>
        <v>4546371.959999999</v>
      </c>
      <c r="E103" s="964">
        <f t="shared" si="21"/>
        <v>966926.11000000022</v>
      </c>
      <c r="F103" s="995">
        <v>1</v>
      </c>
      <c r="G103" s="1395">
        <f t="shared" si="23"/>
        <v>5513298.0699999994</v>
      </c>
      <c r="H103" s="1395">
        <f t="shared" si="24"/>
        <v>4546371.959999999</v>
      </c>
      <c r="I103" s="1395">
        <f t="shared" si="25"/>
        <v>966926.11000000022</v>
      </c>
      <c r="J103" s="1066" t="s">
        <v>2162</v>
      </c>
      <c r="K103" s="976"/>
      <c r="L103" s="567"/>
    </row>
    <row r="104" spans="1:12">
      <c r="A104" s="117">
        <f t="shared" si="22"/>
        <v>78</v>
      </c>
      <c r="B104" s="672" t="s">
        <v>1434</v>
      </c>
      <c r="C104" s="964">
        <f t="shared" si="19"/>
        <v>0</v>
      </c>
      <c r="D104" s="964">
        <f t="shared" si="20"/>
        <v>0</v>
      </c>
      <c r="E104" s="964">
        <f t="shared" si="21"/>
        <v>0</v>
      </c>
      <c r="F104" s="995">
        <v>0</v>
      </c>
      <c r="G104" s="1395">
        <f t="shared" si="23"/>
        <v>0</v>
      </c>
      <c r="H104" s="1395">
        <f t="shared" si="24"/>
        <v>0</v>
      </c>
      <c r="I104" s="1395">
        <f t="shared" si="25"/>
        <v>0</v>
      </c>
      <c r="J104" s="1066" t="s">
        <v>2163</v>
      </c>
      <c r="K104" s="982"/>
      <c r="L104" s="674"/>
    </row>
    <row r="105" spans="1:12">
      <c r="A105" s="117">
        <f t="shared" si="22"/>
        <v>79</v>
      </c>
      <c r="B105" s="672" t="s">
        <v>1435</v>
      </c>
      <c r="C105" s="964">
        <f t="shared" si="19"/>
        <v>18953361.169999998</v>
      </c>
      <c r="D105" s="964">
        <f t="shared" si="20"/>
        <v>15120440.629999997</v>
      </c>
      <c r="E105" s="964">
        <f t="shared" si="21"/>
        <v>3832920.54</v>
      </c>
      <c r="F105" s="995">
        <f>'27-Allocators'!D42</f>
        <v>0.17724649629018963</v>
      </c>
      <c r="G105" s="1395">
        <f t="shared" si="23"/>
        <v>3359416.860305029</v>
      </c>
      <c r="H105" s="1395">
        <f t="shared" si="24"/>
        <v>2680045.1240313272</v>
      </c>
      <c r="I105" s="1395">
        <f t="shared" si="25"/>
        <v>679371.73627370165</v>
      </c>
      <c r="J105" s="530" t="str">
        <f>"27-Allocators Line "&amp;'27-Allocators'!A42&amp;""</f>
        <v>27-Allocators Line 36</v>
      </c>
      <c r="K105" s="976"/>
      <c r="L105" s="567"/>
    </row>
    <row r="106" spans="1:12" ht="12.75" customHeight="1">
      <c r="A106" s="117">
        <f t="shared" si="22"/>
        <v>80</v>
      </c>
      <c r="B106" s="991" t="s">
        <v>1436</v>
      </c>
      <c r="C106" s="1393">
        <f t="shared" si="19"/>
        <v>3115097.13</v>
      </c>
      <c r="D106" s="1393">
        <f t="shared" si="20"/>
        <v>2189143.36</v>
      </c>
      <c r="E106" s="1393">
        <f t="shared" si="21"/>
        <v>925953.7699999999</v>
      </c>
      <c r="F106" s="1075">
        <f>'27-Allocators'!D48</f>
        <v>0.20546774882528834</v>
      </c>
      <c r="G106" s="1396">
        <f t="shared" si="23"/>
        <v>640051.99467321648</v>
      </c>
      <c r="H106" s="1396">
        <f t="shared" si="24"/>
        <v>449798.35803502775</v>
      </c>
      <c r="I106" s="1396">
        <f t="shared" si="25"/>
        <v>190253.63663818879</v>
      </c>
      <c r="J106" s="530" t="str">
        <f>"27-Allocators Line "&amp;'27-Allocators'!A48&amp;""</f>
        <v>27-Allocators Line 42</v>
      </c>
      <c r="K106" s="982"/>
      <c r="L106" s="567"/>
    </row>
    <row r="107" spans="1:12">
      <c r="A107" s="117">
        <f t="shared" si="22"/>
        <v>81</v>
      </c>
      <c r="B107" s="672" t="s">
        <v>1437</v>
      </c>
      <c r="C107" s="964">
        <f t="shared" si="19"/>
        <v>829407.89</v>
      </c>
      <c r="D107" s="964">
        <f t="shared" si="20"/>
        <v>0</v>
      </c>
      <c r="E107" s="964">
        <f t="shared" si="21"/>
        <v>829407.89</v>
      </c>
      <c r="F107" s="995">
        <v>1</v>
      </c>
      <c r="G107" s="1395">
        <f t="shared" si="23"/>
        <v>829407.89</v>
      </c>
      <c r="H107" s="1395">
        <f t="shared" si="24"/>
        <v>0</v>
      </c>
      <c r="I107" s="1395">
        <f t="shared" si="25"/>
        <v>829407.89</v>
      </c>
      <c r="J107" s="1066" t="s">
        <v>2162</v>
      </c>
      <c r="K107" s="976"/>
      <c r="L107" s="567"/>
    </row>
    <row r="108" spans="1:12">
      <c r="A108" s="117">
        <f t="shared" si="22"/>
        <v>82</v>
      </c>
      <c r="B108" s="672" t="s">
        <v>1438</v>
      </c>
      <c r="C108" s="964">
        <f t="shared" si="19"/>
        <v>6226397.6199999992</v>
      </c>
      <c r="D108" s="964">
        <f t="shared" si="20"/>
        <v>3375876.7699999996</v>
      </c>
      <c r="E108" s="964">
        <f t="shared" si="21"/>
        <v>2850520.85</v>
      </c>
      <c r="F108" s="995">
        <f>'27-Allocators'!D54</f>
        <v>0.46772036141270779</v>
      </c>
      <c r="G108" s="1395">
        <f t="shared" si="23"/>
        <v>2912212.9451256236</v>
      </c>
      <c r="H108" s="1395">
        <f t="shared" si="24"/>
        <v>1578966.3029491643</v>
      </c>
      <c r="I108" s="1395">
        <f t="shared" si="25"/>
        <v>1333246.6421764591</v>
      </c>
      <c r="J108" s="530" t="str">
        <f>"27-Allocators Line "&amp;'27-Allocators'!A54&amp;""</f>
        <v>27-Allocators Line 48</v>
      </c>
      <c r="K108" s="976"/>
      <c r="L108" s="567"/>
    </row>
    <row r="109" spans="1:12">
      <c r="A109" s="117">
        <f t="shared" si="22"/>
        <v>83</v>
      </c>
      <c r="B109" s="672" t="s">
        <v>1439</v>
      </c>
      <c r="C109" s="964">
        <f t="shared" si="19"/>
        <v>1185906.5799999998</v>
      </c>
      <c r="D109" s="964">
        <f t="shared" si="20"/>
        <v>995963.99999999977</v>
      </c>
      <c r="E109" s="964">
        <f t="shared" si="21"/>
        <v>189942.58</v>
      </c>
      <c r="F109" s="995">
        <f>'27-Allocators'!D60</f>
        <v>2.8475966161595223E-3</v>
      </c>
      <c r="G109" s="1395">
        <f t="shared" si="23"/>
        <v>3376.9835642893113</v>
      </c>
      <c r="H109" s="1395">
        <f t="shared" si="24"/>
        <v>2836.1037162167017</v>
      </c>
      <c r="I109" s="1395">
        <f t="shared" si="25"/>
        <v>540.87984807260932</v>
      </c>
      <c r="J109" s="530" t="str">
        <f>"27-Allocators Line "&amp;'27-Allocators'!A60&amp;""</f>
        <v>27-Allocators Line 54</v>
      </c>
      <c r="K109" s="976"/>
      <c r="L109" s="567"/>
    </row>
    <row r="110" spans="1:12">
      <c r="A110" s="117">
        <f t="shared" si="22"/>
        <v>84</v>
      </c>
      <c r="B110" s="672" t="s">
        <v>1440</v>
      </c>
      <c r="C110" s="964">
        <f t="shared" si="19"/>
        <v>0</v>
      </c>
      <c r="D110" s="964">
        <f t="shared" si="20"/>
        <v>0</v>
      </c>
      <c r="E110" s="964">
        <f t="shared" si="21"/>
        <v>0</v>
      </c>
      <c r="F110" s="995">
        <v>0</v>
      </c>
      <c r="G110" s="1395">
        <f t="shared" si="23"/>
        <v>0</v>
      </c>
      <c r="H110" s="1395">
        <f t="shared" si="24"/>
        <v>0</v>
      </c>
      <c r="I110" s="1395">
        <f t="shared" si="25"/>
        <v>0</v>
      </c>
      <c r="J110" s="1066" t="s">
        <v>2163</v>
      </c>
      <c r="K110" s="982"/>
      <c r="L110" s="674"/>
    </row>
    <row r="111" spans="1:12">
      <c r="A111" s="117">
        <f t="shared" si="22"/>
        <v>85</v>
      </c>
      <c r="B111" s="672" t="s">
        <v>1441</v>
      </c>
      <c r="C111" s="964">
        <f t="shared" si="19"/>
        <v>237092.52000000002</v>
      </c>
      <c r="D111" s="964">
        <f t="shared" si="20"/>
        <v>0</v>
      </c>
      <c r="E111" s="964">
        <f t="shared" si="21"/>
        <v>237092.52000000002</v>
      </c>
      <c r="F111" s="995">
        <v>0</v>
      </c>
      <c r="G111" s="1395">
        <f t="shared" si="23"/>
        <v>0</v>
      </c>
      <c r="H111" s="1395">
        <f t="shared" si="24"/>
        <v>0</v>
      </c>
      <c r="I111" s="1395">
        <f t="shared" si="25"/>
        <v>0</v>
      </c>
      <c r="J111" s="1066" t="s">
        <v>2163</v>
      </c>
      <c r="K111" s="976"/>
      <c r="L111" s="567"/>
    </row>
    <row r="112" spans="1:12">
      <c r="A112" s="117">
        <f t="shared" si="22"/>
        <v>86</v>
      </c>
      <c r="B112" s="672" t="s">
        <v>1442</v>
      </c>
      <c r="C112" s="964">
        <f t="shared" si="19"/>
        <v>8796273.0999999996</v>
      </c>
      <c r="D112" s="964">
        <f t="shared" si="20"/>
        <v>0</v>
      </c>
      <c r="E112" s="964">
        <f t="shared" si="21"/>
        <v>8796273.0999999996</v>
      </c>
      <c r="F112" s="995">
        <v>1</v>
      </c>
      <c r="G112" s="1395">
        <f t="shared" si="23"/>
        <v>8796273.0999999996</v>
      </c>
      <c r="H112" s="1395">
        <f t="shared" si="24"/>
        <v>0</v>
      </c>
      <c r="I112" s="1395">
        <f t="shared" si="25"/>
        <v>8796273.0999999996</v>
      </c>
      <c r="J112" s="1066" t="s">
        <v>2162</v>
      </c>
      <c r="K112" s="976"/>
      <c r="L112" s="567"/>
    </row>
    <row r="113" spans="1:12">
      <c r="A113" s="117">
        <f t="shared" si="22"/>
        <v>87</v>
      </c>
      <c r="B113" s="672" t="s">
        <v>1443</v>
      </c>
      <c r="C113" s="964">
        <f>SUM(D113:E113)</f>
        <v>0</v>
      </c>
      <c r="D113" s="964">
        <f t="shared" ref="D113:E115" si="26">K27</f>
        <v>0</v>
      </c>
      <c r="E113" s="964">
        <f t="shared" si="26"/>
        <v>0</v>
      </c>
      <c r="F113" s="995">
        <v>0</v>
      </c>
      <c r="G113" s="1395">
        <f t="shared" si="23"/>
        <v>0</v>
      </c>
      <c r="H113" s="1395">
        <f t="shared" si="24"/>
        <v>0</v>
      </c>
      <c r="I113" s="1395">
        <f t="shared" si="25"/>
        <v>0</v>
      </c>
      <c r="J113" s="1066" t="s">
        <v>2163</v>
      </c>
      <c r="K113" s="982"/>
      <c r="L113" s="674"/>
    </row>
    <row r="114" spans="1:12">
      <c r="A114" s="117">
        <f t="shared" si="22"/>
        <v>88</v>
      </c>
      <c r="B114" s="672" t="s">
        <v>2074</v>
      </c>
      <c r="C114" s="964">
        <f>J28</f>
        <v>9248685.6099999994</v>
      </c>
      <c r="D114" s="964">
        <f t="shared" si="26"/>
        <v>6907055.6600000001</v>
      </c>
      <c r="E114" s="964">
        <f t="shared" si="26"/>
        <v>2341629.9499999988</v>
      </c>
      <c r="F114" s="995">
        <f>J204</f>
        <v>0.40625547984391497</v>
      </c>
      <c r="G114" s="1395">
        <f t="shared" si="23"/>
        <v>3757329.2104160609</v>
      </c>
      <c r="H114" s="1395">
        <f t="shared" si="24"/>
        <v>2806029.2114619287</v>
      </c>
      <c r="I114" s="1395">
        <f t="shared" si="25"/>
        <v>951299.99895413208</v>
      </c>
      <c r="J114" s="530" t="s">
        <v>2160</v>
      </c>
      <c r="K114" s="530"/>
      <c r="L114" s="474"/>
    </row>
    <row r="115" spans="1:12">
      <c r="A115" s="117">
        <f t="shared" si="22"/>
        <v>89</v>
      </c>
      <c r="B115" s="672" t="s">
        <v>2075</v>
      </c>
      <c r="C115" s="964">
        <f>J29</f>
        <v>18718948.23</v>
      </c>
      <c r="D115" s="964">
        <f t="shared" si="26"/>
        <v>8438440.1799999997</v>
      </c>
      <c r="E115" s="964">
        <f t="shared" si="26"/>
        <v>10280508.050000001</v>
      </c>
      <c r="F115" s="995">
        <f>J204</f>
        <v>0.40625547984391497</v>
      </c>
      <c r="G115" s="1395">
        <f t="shared" ref="G115" si="27">SUM(H115:I115)</f>
        <v>7604675.2953520529</v>
      </c>
      <c r="H115" s="1395">
        <f t="shared" ref="H115" si="28">D115*F115</f>
        <v>3428162.5644600722</v>
      </c>
      <c r="I115" s="1395">
        <f t="shared" ref="I115" si="29">E115*F115</f>
        <v>4176512.7308919807</v>
      </c>
      <c r="J115" s="530" t="s">
        <v>2160</v>
      </c>
      <c r="K115" s="530"/>
      <c r="L115" s="474"/>
    </row>
    <row r="116" spans="1:12">
      <c r="A116" s="117">
        <f t="shared" si="22"/>
        <v>90</v>
      </c>
      <c r="B116" s="672" t="s">
        <v>1444</v>
      </c>
      <c r="C116" s="964">
        <f t="shared" ref="C116:C141" si="30">J30</f>
        <v>1407052.1800000002</v>
      </c>
      <c r="D116" s="964">
        <f t="shared" ref="D116:D141" si="31">K30</f>
        <v>1274233.0700000003</v>
      </c>
      <c r="E116" s="964">
        <f t="shared" ref="E116:E141" si="32">L30</f>
        <v>132819.10999999996</v>
      </c>
      <c r="F116" s="995">
        <f>'7-PlantStudy'!F28</f>
        <v>0.66366739275424058</v>
      </c>
      <c r="G116" s="1395">
        <f t="shared" si="23"/>
        <v>933814.65176977066</v>
      </c>
      <c r="H116" s="1395">
        <f t="shared" si="24"/>
        <v>845666.93932813196</v>
      </c>
      <c r="I116" s="1395">
        <f t="shared" si="25"/>
        <v>88147.71244163865</v>
      </c>
      <c r="J116" s="530" t="str">
        <f>"7-PlantStudy, Line "&amp;'7-PlantStudy'!A28&amp;", C3"</f>
        <v>7-PlantStudy, Line 21, C3</v>
      </c>
      <c r="K116" s="976"/>
      <c r="L116" s="567"/>
    </row>
    <row r="117" spans="1:12">
      <c r="A117" s="117">
        <f t="shared" si="22"/>
        <v>91</v>
      </c>
      <c r="B117" s="672" t="s">
        <v>1445</v>
      </c>
      <c r="C117" s="964">
        <f t="shared" si="30"/>
        <v>713430.87000000011</v>
      </c>
      <c r="D117" s="964">
        <f t="shared" si="31"/>
        <v>693920.44000000006</v>
      </c>
      <c r="E117" s="964">
        <f t="shared" si="32"/>
        <v>19510.429999999997</v>
      </c>
      <c r="F117" s="995">
        <f>'7-PlantStudy'!F28</f>
        <v>0.66366739275424058</v>
      </c>
      <c r="G117" s="1395">
        <f t="shared" si="23"/>
        <v>473480.80540328956</v>
      </c>
      <c r="H117" s="1395">
        <f t="shared" si="24"/>
        <v>460532.36919367546</v>
      </c>
      <c r="I117" s="1395">
        <f t="shared" si="25"/>
        <v>12948.436209614116</v>
      </c>
      <c r="J117" s="530" t="str">
        <f>"7-PlantStudy, Line "&amp;'7-PlantStudy'!A28&amp;", C3"</f>
        <v>7-PlantStudy, Line 21, C3</v>
      </c>
      <c r="K117" s="982"/>
      <c r="L117" s="674"/>
    </row>
    <row r="118" spans="1:12">
      <c r="A118" s="117">
        <f t="shared" si="22"/>
        <v>92</v>
      </c>
      <c r="B118" s="672" t="s">
        <v>1446</v>
      </c>
      <c r="C118" s="964">
        <f t="shared" si="30"/>
        <v>5049189.7199999988</v>
      </c>
      <c r="D118" s="964">
        <f t="shared" si="31"/>
        <v>3919385.7599999988</v>
      </c>
      <c r="E118" s="964">
        <f t="shared" si="32"/>
        <v>1129803.96</v>
      </c>
      <c r="F118" s="995">
        <f>'7-PlantStudy'!F28</f>
        <v>0.66366739275424058</v>
      </c>
      <c r="G118" s="1395">
        <f t="shared" si="23"/>
        <v>3350982.5769939134</v>
      </c>
      <c r="H118" s="1395">
        <f t="shared" si="24"/>
        <v>2601168.5285372972</v>
      </c>
      <c r="I118" s="1395">
        <f t="shared" si="25"/>
        <v>749814.04845661623</v>
      </c>
      <c r="J118" s="530" t="str">
        <f>"7-PlantStudy, Line "&amp;'7-PlantStudy'!A28&amp;", C3"</f>
        <v>7-PlantStudy, Line 21, C3</v>
      </c>
      <c r="K118" s="530"/>
    </row>
    <row r="119" spans="1:12">
      <c r="A119" s="117">
        <f t="shared" si="22"/>
        <v>93</v>
      </c>
      <c r="B119" s="672" t="s">
        <v>1447</v>
      </c>
      <c r="C119" s="964">
        <f t="shared" si="30"/>
        <v>2041617.0699999998</v>
      </c>
      <c r="D119" s="964">
        <f t="shared" si="31"/>
        <v>1904326.2</v>
      </c>
      <c r="E119" s="964">
        <f t="shared" si="32"/>
        <v>137290.87</v>
      </c>
      <c r="F119" s="995">
        <f>'7-PlantStudy'!F28</f>
        <v>0.66366739275424058</v>
      </c>
      <c r="G119" s="1395">
        <f t="shared" si="23"/>
        <v>1354954.6778494518</v>
      </c>
      <c r="H119" s="1395">
        <f t="shared" si="24"/>
        <v>1263839.2041075905</v>
      </c>
      <c r="I119" s="1395">
        <f t="shared" si="25"/>
        <v>91115.47374186138</v>
      </c>
      <c r="J119" s="530" t="str">
        <f>"7-PlantStudy, Line "&amp;'7-PlantStudy'!A28&amp;", C3"</f>
        <v>7-PlantStudy, Line 21, C3</v>
      </c>
      <c r="K119" s="530"/>
    </row>
    <row r="120" spans="1:12">
      <c r="A120" s="117">
        <f t="shared" si="22"/>
        <v>94</v>
      </c>
      <c r="B120" s="672" t="s">
        <v>1448</v>
      </c>
      <c r="C120" s="964">
        <f t="shared" si="30"/>
        <v>413206.30000000005</v>
      </c>
      <c r="D120" s="964">
        <f t="shared" si="31"/>
        <v>2.62</v>
      </c>
      <c r="E120" s="964">
        <f t="shared" si="32"/>
        <v>413203.68000000005</v>
      </c>
      <c r="F120" s="995">
        <v>1</v>
      </c>
      <c r="G120" s="1395">
        <f t="shared" si="23"/>
        <v>413206.30000000005</v>
      </c>
      <c r="H120" s="1395">
        <f t="shared" si="24"/>
        <v>2.62</v>
      </c>
      <c r="I120" s="1395">
        <f t="shared" si="25"/>
        <v>413203.68000000005</v>
      </c>
      <c r="J120" s="1066" t="s">
        <v>2162</v>
      </c>
      <c r="K120" s="530"/>
    </row>
    <row r="121" spans="1:12">
      <c r="A121" s="117">
        <f t="shared" si="22"/>
        <v>95</v>
      </c>
      <c r="B121" s="672" t="s">
        <v>1449</v>
      </c>
      <c r="C121" s="964">
        <f t="shared" si="30"/>
        <v>9101658.25</v>
      </c>
      <c r="D121" s="964">
        <f t="shared" si="31"/>
        <v>427.70000000000005</v>
      </c>
      <c r="E121" s="964">
        <f t="shared" si="32"/>
        <v>9101230.5500000007</v>
      </c>
      <c r="F121" s="995">
        <f>'27-Allocators'!D66</f>
        <v>0.68691631374841156</v>
      </c>
      <c r="G121" s="1395">
        <f t="shared" si="23"/>
        <v>6252077.534087819</v>
      </c>
      <c r="H121" s="1395">
        <f t="shared" si="24"/>
        <v>293.79410739019568</v>
      </c>
      <c r="I121" s="1395">
        <f t="shared" si="25"/>
        <v>6251783.7399804285</v>
      </c>
      <c r="J121" s="530" t="str">
        <f>"27-Allocators Line "&amp;'27-Allocators'!A66&amp;""</f>
        <v>27-Allocators Line 60</v>
      </c>
      <c r="K121" s="530"/>
    </row>
    <row r="122" spans="1:12">
      <c r="A122" s="117">
        <f t="shared" si="22"/>
        <v>96</v>
      </c>
      <c r="B122" s="672" t="s">
        <v>1450</v>
      </c>
      <c r="C122" s="964">
        <f t="shared" si="30"/>
        <v>6499851.9800000004</v>
      </c>
      <c r="D122" s="964">
        <f t="shared" si="31"/>
        <v>0</v>
      </c>
      <c r="E122" s="964">
        <f t="shared" si="32"/>
        <v>6499851.9800000004</v>
      </c>
      <c r="F122" s="995">
        <f>'27-Allocators'!D72</f>
        <v>0.90784408084696822</v>
      </c>
      <c r="G122" s="1395">
        <f t="shared" si="23"/>
        <v>5900852.1464244472</v>
      </c>
      <c r="H122" s="1395">
        <f t="shared" si="24"/>
        <v>0</v>
      </c>
      <c r="I122" s="1395">
        <f t="shared" si="25"/>
        <v>5900852.1464244472</v>
      </c>
      <c r="J122" s="530" t="str">
        <f>"27-Allocators Line "&amp;'27-Allocators'!A72&amp;""</f>
        <v>27-Allocators Line 66</v>
      </c>
      <c r="K122" s="530"/>
    </row>
    <row r="123" spans="1:12">
      <c r="A123" s="117">
        <f t="shared" si="22"/>
        <v>97</v>
      </c>
      <c r="B123" s="672" t="s">
        <v>1451</v>
      </c>
      <c r="C123" s="964">
        <f t="shared" si="30"/>
        <v>68547.399999999994</v>
      </c>
      <c r="D123" s="964">
        <f t="shared" si="31"/>
        <v>0</v>
      </c>
      <c r="E123" s="964">
        <f t="shared" si="32"/>
        <v>68547.399999999994</v>
      </c>
      <c r="F123" s="995">
        <v>1</v>
      </c>
      <c r="G123" s="1395">
        <f t="shared" si="23"/>
        <v>68547.399999999994</v>
      </c>
      <c r="H123" s="1395">
        <f t="shared" si="24"/>
        <v>0</v>
      </c>
      <c r="I123" s="1395">
        <f t="shared" si="25"/>
        <v>68547.399999999994</v>
      </c>
      <c r="J123" s="1066" t="s">
        <v>2162</v>
      </c>
      <c r="K123" s="530"/>
      <c r="L123" s="530"/>
    </row>
    <row r="124" spans="1:12">
      <c r="A124" s="117">
        <f t="shared" si="22"/>
        <v>98</v>
      </c>
      <c r="B124" s="672" t="s">
        <v>1452</v>
      </c>
      <c r="C124" s="964">
        <f t="shared" si="30"/>
        <v>438002.55</v>
      </c>
      <c r="D124" s="964">
        <f t="shared" si="31"/>
        <v>0</v>
      </c>
      <c r="E124" s="964">
        <f t="shared" si="32"/>
        <v>438002.55</v>
      </c>
      <c r="F124" s="995">
        <v>1</v>
      </c>
      <c r="G124" s="1395">
        <f t="shared" si="23"/>
        <v>438002.55</v>
      </c>
      <c r="H124" s="1395">
        <f t="shared" si="24"/>
        <v>0</v>
      </c>
      <c r="I124" s="1395">
        <f t="shared" si="25"/>
        <v>438002.55</v>
      </c>
      <c r="J124" s="1066" t="s">
        <v>2162</v>
      </c>
      <c r="K124" s="530"/>
    </row>
    <row r="125" spans="1:12">
      <c r="A125" s="117">
        <f t="shared" si="22"/>
        <v>99</v>
      </c>
      <c r="B125" s="672" t="s">
        <v>1453</v>
      </c>
      <c r="C125" s="964">
        <f t="shared" si="30"/>
        <v>2010724.37</v>
      </c>
      <c r="D125" s="964">
        <f t="shared" si="31"/>
        <v>1862726.0000000002</v>
      </c>
      <c r="E125" s="964">
        <f t="shared" si="32"/>
        <v>147998.37</v>
      </c>
      <c r="F125" s="995">
        <f>J209</f>
        <v>0.36619288548696355</v>
      </c>
      <c r="G125" s="1395">
        <f t="shared" si="23"/>
        <v>736312.95896925707</v>
      </c>
      <c r="H125" s="1395">
        <f t="shared" si="24"/>
        <v>682117.0088115898</v>
      </c>
      <c r="I125" s="1395">
        <f t="shared" si="25"/>
        <v>54195.950157667263</v>
      </c>
      <c r="J125" s="530" t="s">
        <v>2165</v>
      </c>
      <c r="K125" s="530"/>
      <c r="L125" s="522"/>
    </row>
    <row r="126" spans="1:12">
      <c r="A126" s="117">
        <f t="shared" si="22"/>
        <v>100</v>
      </c>
      <c r="B126" s="672" t="s">
        <v>1454</v>
      </c>
      <c r="C126" s="964">
        <f t="shared" si="30"/>
        <v>221533.21</v>
      </c>
      <c r="D126" s="964">
        <f t="shared" si="31"/>
        <v>0</v>
      </c>
      <c r="E126" s="964">
        <f t="shared" si="32"/>
        <v>221533.21</v>
      </c>
      <c r="F126" s="995">
        <v>1</v>
      </c>
      <c r="G126" s="1395">
        <f t="shared" si="23"/>
        <v>221533.21</v>
      </c>
      <c r="H126" s="1395">
        <f t="shared" si="24"/>
        <v>0</v>
      </c>
      <c r="I126" s="1395">
        <f t="shared" si="25"/>
        <v>221533.21</v>
      </c>
      <c r="J126" s="1066" t="s">
        <v>2162</v>
      </c>
      <c r="K126" s="530"/>
    </row>
    <row r="127" spans="1:12">
      <c r="A127" s="117">
        <f t="shared" si="22"/>
        <v>101</v>
      </c>
      <c r="B127" s="672" t="s">
        <v>1455</v>
      </c>
      <c r="C127" s="964">
        <f t="shared" si="30"/>
        <v>45072.36</v>
      </c>
      <c r="D127" s="964">
        <f t="shared" si="31"/>
        <v>11325.32</v>
      </c>
      <c r="E127" s="964">
        <f t="shared" si="32"/>
        <v>33747.040000000001</v>
      </c>
      <c r="F127" s="995">
        <f>J207</f>
        <v>0.21831684125809461</v>
      </c>
      <c r="G127" s="1395">
        <f t="shared" si="23"/>
        <v>9840.0552632476938</v>
      </c>
      <c r="H127" s="1395">
        <f t="shared" si="24"/>
        <v>2472.5080886371238</v>
      </c>
      <c r="I127" s="1395">
        <f t="shared" si="25"/>
        <v>7367.5471746105695</v>
      </c>
      <c r="J127" s="530" t="s">
        <v>2164</v>
      </c>
      <c r="K127" s="530"/>
    </row>
    <row r="128" spans="1:12">
      <c r="A128" s="117">
        <f t="shared" si="22"/>
        <v>102</v>
      </c>
      <c r="B128" s="672" t="s">
        <v>2716</v>
      </c>
      <c r="C128" s="964">
        <f t="shared" si="30"/>
        <v>106671.52000000008</v>
      </c>
      <c r="D128" s="964">
        <f t="shared" si="31"/>
        <v>122.94</v>
      </c>
      <c r="E128" s="964">
        <f t="shared" si="32"/>
        <v>106548.58000000007</v>
      </c>
      <c r="F128" s="995">
        <f>J204</f>
        <v>0.40625547984391497</v>
      </c>
      <c r="G128" s="1395">
        <f t="shared" si="23"/>
        <v>43335.889543279802</v>
      </c>
      <c r="H128" s="1395">
        <f t="shared" si="24"/>
        <v>49.945048692010907</v>
      </c>
      <c r="I128" s="1395">
        <f t="shared" si="25"/>
        <v>43285.944494587791</v>
      </c>
      <c r="J128" s="530" t="s">
        <v>2160</v>
      </c>
      <c r="K128" s="530"/>
    </row>
    <row r="129" spans="1:12">
      <c r="A129" s="117">
        <f t="shared" si="22"/>
        <v>103</v>
      </c>
      <c r="B129" s="672" t="s">
        <v>2717</v>
      </c>
      <c r="C129" s="964">
        <f t="shared" si="30"/>
        <v>29.9</v>
      </c>
      <c r="D129" s="964">
        <f t="shared" si="31"/>
        <v>29.9</v>
      </c>
      <c r="E129" s="964">
        <f t="shared" si="32"/>
        <v>0</v>
      </c>
      <c r="F129" s="995">
        <f>J204</f>
        <v>0.40625547984391497</v>
      </c>
      <c r="G129" s="1395">
        <f t="shared" si="23"/>
        <v>12.147038847333057</v>
      </c>
      <c r="H129" s="1395">
        <f t="shared" si="24"/>
        <v>12.147038847333057</v>
      </c>
      <c r="I129" s="1395">
        <f t="shared" si="25"/>
        <v>0</v>
      </c>
      <c r="J129" s="530" t="s">
        <v>2160</v>
      </c>
      <c r="K129" s="530"/>
    </row>
    <row r="130" spans="1:12">
      <c r="A130" s="117">
        <f t="shared" si="22"/>
        <v>104</v>
      </c>
      <c r="B130" s="672" t="s">
        <v>2718</v>
      </c>
      <c r="C130" s="964">
        <f t="shared" si="30"/>
        <v>656927.5900000002</v>
      </c>
      <c r="D130" s="964">
        <f t="shared" si="31"/>
        <v>3753.6400000000003</v>
      </c>
      <c r="E130" s="964">
        <f t="shared" si="32"/>
        <v>653173.95000000019</v>
      </c>
      <c r="F130" s="995">
        <f>J204</f>
        <v>0.40625547984391497</v>
      </c>
      <c r="G130" s="1395">
        <f t="shared" si="23"/>
        <v>266880.43329815671</v>
      </c>
      <c r="H130" s="1395">
        <f t="shared" si="24"/>
        <v>1524.9368193613132</v>
      </c>
      <c r="I130" s="1395">
        <f t="shared" si="25"/>
        <v>265355.49647879542</v>
      </c>
      <c r="J130" s="530" t="s">
        <v>2160</v>
      </c>
      <c r="K130" s="530"/>
    </row>
    <row r="131" spans="1:12">
      <c r="A131" s="117">
        <f t="shared" si="22"/>
        <v>105</v>
      </c>
      <c r="B131" s="672" t="s">
        <v>1456</v>
      </c>
      <c r="C131" s="964">
        <f t="shared" si="30"/>
        <v>179627.31999999998</v>
      </c>
      <c r="D131" s="964">
        <f t="shared" si="31"/>
        <v>118.36</v>
      </c>
      <c r="E131" s="964">
        <f t="shared" si="32"/>
        <v>179508.96</v>
      </c>
      <c r="F131" s="995">
        <v>1</v>
      </c>
      <c r="G131" s="1395">
        <f t="shared" si="23"/>
        <v>179627.31999999998</v>
      </c>
      <c r="H131" s="1395">
        <f t="shared" si="24"/>
        <v>118.36</v>
      </c>
      <c r="I131" s="1395">
        <f t="shared" si="25"/>
        <v>179508.96</v>
      </c>
      <c r="J131" s="1066" t="s">
        <v>2162</v>
      </c>
      <c r="K131" s="530"/>
    </row>
    <row r="132" spans="1:12">
      <c r="A132" s="117">
        <f t="shared" si="22"/>
        <v>106</v>
      </c>
      <c r="B132" s="672" t="s">
        <v>1457</v>
      </c>
      <c r="C132" s="964">
        <f t="shared" si="30"/>
        <v>979354.64000000013</v>
      </c>
      <c r="D132" s="964">
        <f t="shared" si="31"/>
        <v>534000.94000000006</v>
      </c>
      <c r="E132" s="964">
        <f t="shared" si="32"/>
        <v>445353.70000000007</v>
      </c>
      <c r="F132" s="995">
        <f>'27-Allocators'!D78</f>
        <v>0.22148760330578512</v>
      </c>
      <c r="G132" s="1395">
        <f t="shared" si="23"/>
        <v>216914.91200000001</v>
      </c>
      <c r="H132" s="1395">
        <f t="shared" si="24"/>
        <v>118274.58836363637</v>
      </c>
      <c r="I132" s="1395">
        <f t="shared" si="25"/>
        <v>98640.323636363653</v>
      </c>
      <c r="J132" s="530" t="str">
        <f>"27-Allocators Line "&amp;'27-Allocators'!A78&amp;""</f>
        <v>27-Allocators Line 72</v>
      </c>
      <c r="K132" s="530"/>
      <c r="L132" s="265"/>
    </row>
    <row r="133" spans="1:12">
      <c r="A133" s="117">
        <f t="shared" si="22"/>
        <v>107</v>
      </c>
      <c r="B133" s="672" t="s">
        <v>1458</v>
      </c>
      <c r="C133" s="964">
        <f t="shared" si="30"/>
        <v>1632859.77</v>
      </c>
      <c r="D133" s="964">
        <f t="shared" si="31"/>
        <v>1150286.1199999999</v>
      </c>
      <c r="E133" s="964">
        <f t="shared" si="32"/>
        <v>482573.65000000014</v>
      </c>
      <c r="F133" s="995">
        <f>'27-Allocators'!D84</f>
        <v>0.35997482693517935</v>
      </c>
      <c r="G133" s="1395">
        <f t="shared" si="23"/>
        <v>587788.41311516671</v>
      </c>
      <c r="H133" s="1395">
        <f t="shared" si="24"/>
        <v>414074.04697293887</v>
      </c>
      <c r="I133" s="1395">
        <f t="shared" si="25"/>
        <v>173714.36614222787</v>
      </c>
      <c r="J133" s="530" t="str">
        <f>"27-Allocators Line "&amp;'27-Allocators'!A84&amp;""</f>
        <v>27-Allocators Line 78</v>
      </c>
      <c r="K133" s="530"/>
      <c r="L133" s="265"/>
    </row>
    <row r="134" spans="1:12">
      <c r="A134" s="117">
        <f t="shared" si="22"/>
        <v>108</v>
      </c>
      <c r="B134" s="672" t="s">
        <v>1459</v>
      </c>
      <c r="C134" s="964">
        <f t="shared" si="30"/>
        <v>128912.84000000003</v>
      </c>
      <c r="D134" s="964">
        <f t="shared" si="31"/>
        <v>401047.37</v>
      </c>
      <c r="E134" s="964">
        <f t="shared" si="32"/>
        <v>-272134.52999999997</v>
      </c>
      <c r="F134" s="995">
        <f>'27-Allocators'!D90</f>
        <v>0.67245119305856837</v>
      </c>
      <c r="G134" s="1395">
        <f t="shared" si="23"/>
        <v>86687.593058568367</v>
      </c>
      <c r="H134" s="1395">
        <f t="shared" si="24"/>
        <v>269684.78242950112</v>
      </c>
      <c r="I134" s="1395">
        <f t="shared" si="25"/>
        <v>-182997.18937093276</v>
      </c>
      <c r="J134" s="530" t="str">
        <f>"27-Allocators Line "&amp;'27-Allocators'!A90&amp;""</f>
        <v>27-Allocators Line 84</v>
      </c>
      <c r="K134" s="530"/>
      <c r="L134" s="265"/>
    </row>
    <row r="135" spans="1:12">
      <c r="A135" s="117">
        <f t="shared" si="22"/>
        <v>109</v>
      </c>
      <c r="B135" s="672" t="s">
        <v>1460</v>
      </c>
      <c r="C135" s="964">
        <f t="shared" si="30"/>
        <v>2949175.7900000005</v>
      </c>
      <c r="D135" s="964">
        <f t="shared" si="31"/>
        <v>1836315.7300000004</v>
      </c>
      <c r="E135" s="964">
        <f t="shared" si="32"/>
        <v>1112860.06</v>
      </c>
      <c r="F135" s="995">
        <f>J209</f>
        <v>0.36619288548696355</v>
      </c>
      <c r="G135" s="1395">
        <f t="shared" si="23"/>
        <v>1079967.1923483955</v>
      </c>
      <c r="H135" s="1395">
        <f t="shared" si="24"/>
        <v>672445.75583380007</v>
      </c>
      <c r="I135" s="1395">
        <f t="shared" si="25"/>
        <v>407521.43651459541</v>
      </c>
      <c r="J135" s="530" t="s">
        <v>2165</v>
      </c>
      <c r="K135" s="530"/>
    </row>
    <row r="136" spans="1:12">
      <c r="A136" s="117">
        <f t="shared" si="22"/>
        <v>110</v>
      </c>
      <c r="B136" s="524" t="s">
        <v>1852</v>
      </c>
      <c r="C136" s="964">
        <f t="shared" si="30"/>
        <v>1649317.8399999999</v>
      </c>
      <c r="D136" s="964">
        <f t="shared" si="31"/>
        <v>466628.61000000004</v>
      </c>
      <c r="E136" s="964">
        <f t="shared" si="32"/>
        <v>1182689.2299999997</v>
      </c>
      <c r="F136" s="995">
        <f>'27-Allocators'!D96</f>
        <v>0.28390306266820442</v>
      </c>
      <c r="G136" s="1395">
        <f t="shared" si="23"/>
        <v>468246.38608930749</v>
      </c>
      <c r="H136" s="1395">
        <f t="shared" si="24"/>
        <v>132477.29150760712</v>
      </c>
      <c r="I136" s="1395">
        <f t="shared" si="25"/>
        <v>335769.09458170034</v>
      </c>
      <c r="J136" s="530" t="str">
        <f>"27-Allocators Line "&amp;'27-Allocators'!A96&amp;""</f>
        <v>27-Allocators Line 90</v>
      </c>
      <c r="K136" s="530"/>
    </row>
    <row r="137" spans="1:12">
      <c r="A137" s="117">
        <f t="shared" si="22"/>
        <v>111</v>
      </c>
      <c r="B137" s="672" t="s">
        <v>1461</v>
      </c>
      <c r="C137" s="964">
        <f t="shared" si="30"/>
        <v>1694492.4500000002</v>
      </c>
      <c r="D137" s="964">
        <f t="shared" si="31"/>
        <v>267.26</v>
      </c>
      <c r="E137" s="964">
        <f t="shared" si="32"/>
        <v>1694225.1900000002</v>
      </c>
      <c r="F137" s="995">
        <v>1</v>
      </c>
      <c r="G137" s="1395">
        <f t="shared" si="23"/>
        <v>1694492.4500000002</v>
      </c>
      <c r="H137" s="1395">
        <f t="shared" si="24"/>
        <v>267.26</v>
      </c>
      <c r="I137" s="1395">
        <f t="shared" si="25"/>
        <v>1694225.1900000002</v>
      </c>
      <c r="J137" s="1066" t="s">
        <v>2162</v>
      </c>
      <c r="K137" s="530"/>
    </row>
    <row r="138" spans="1:12">
      <c r="A138" s="117">
        <f t="shared" si="22"/>
        <v>112</v>
      </c>
      <c r="B138" s="672" t="s">
        <v>1462</v>
      </c>
      <c r="C138" s="964">
        <f t="shared" si="30"/>
        <v>3219088.9000000004</v>
      </c>
      <c r="D138" s="964">
        <f t="shared" si="31"/>
        <v>2270115.2199999997</v>
      </c>
      <c r="E138" s="964">
        <f t="shared" si="32"/>
        <v>948973.68000000063</v>
      </c>
      <c r="F138" s="995">
        <f>'27-Allocators'!D54</f>
        <v>0.46772036141270779</v>
      </c>
      <c r="G138" s="1395">
        <f t="shared" si="23"/>
        <v>1505633.423727636</v>
      </c>
      <c r="H138" s="1395">
        <f t="shared" si="24"/>
        <v>1061779.1111468885</v>
      </c>
      <c r="I138" s="1395">
        <f t="shared" si="25"/>
        <v>443854.31258074759</v>
      </c>
      <c r="J138" s="530" t="str">
        <f>"27-Allocators Line "&amp;'27-Allocators'!A54&amp;""</f>
        <v>27-Allocators Line 48</v>
      </c>
      <c r="K138" s="530"/>
      <c r="L138" s="530"/>
    </row>
    <row r="139" spans="1:12">
      <c r="A139" s="117">
        <f t="shared" si="22"/>
        <v>113</v>
      </c>
      <c r="B139" s="672" t="s">
        <v>1463</v>
      </c>
      <c r="C139" s="964">
        <f t="shared" si="30"/>
        <v>3835250.6700000009</v>
      </c>
      <c r="D139" s="964">
        <f t="shared" si="31"/>
        <v>2629844.4000000008</v>
      </c>
      <c r="E139" s="964">
        <f t="shared" si="32"/>
        <v>1205406.2699999998</v>
      </c>
      <c r="F139" s="995">
        <f>'27-Allocators'!D54</f>
        <v>0.46772036141270779</v>
      </c>
      <c r="G139" s="1395">
        <f t="shared" si="23"/>
        <v>1793824.82948073</v>
      </c>
      <c r="H139" s="1395">
        <f t="shared" si="24"/>
        <v>1230031.7732271859</v>
      </c>
      <c r="I139" s="1395">
        <f t="shared" si="25"/>
        <v>563793.05625354394</v>
      </c>
      <c r="J139" s="530" t="str">
        <f>"27-Allocators Line "&amp;'27-Allocators'!A54&amp;""</f>
        <v>27-Allocators Line 48</v>
      </c>
      <c r="K139" s="530"/>
      <c r="L139" s="530"/>
    </row>
    <row r="140" spans="1:12">
      <c r="A140" s="117">
        <f t="shared" si="22"/>
        <v>114</v>
      </c>
      <c r="B140" s="672" t="s">
        <v>1464</v>
      </c>
      <c r="C140" s="964">
        <f t="shared" si="30"/>
        <v>14073873.259999992</v>
      </c>
      <c r="D140" s="964">
        <f t="shared" si="31"/>
        <v>2162478.3900000006</v>
      </c>
      <c r="E140" s="964">
        <f t="shared" si="32"/>
        <v>11911394.869999992</v>
      </c>
      <c r="F140" s="995">
        <f>'27-Allocators'!D54</f>
        <v>0.46772036141270779</v>
      </c>
      <c r="G140" s="1395">
        <f t="shared" si="23"/>
        <v>6582637.0876438394</v>
      </c>
      <c r="H140" s="1395">
        <f t="shared" si="24"/>
        <v>1011435.1741179707</v>
      </c>
      <c r="I140" s="1395">
        <f t="shared" si="25"/>
        <v>5571201.9135258691</v>
      </c>
      <c r="J140" s="530" t="str">
        <f>"27-Allocators Line "&amp;'27-Allocators'!A54&amp;""</f>
        <v>27-Allocators Line 48</v>
      </c>
      <c r="K140" s="530"/>
      <c r="L140" s="530"/>
    </row>
    <row r="141" spans="1:12">
      <c r="A141" s="117">
        <f t="shared" si="22"/>
        <v>115</v>
      </c>
      <c r="B141" s="672" t="s">
        <v>1656</v>
      </c>
      <c r="C141" s="964">
        <f t="shared" si="30"/>
        <v>7187574.7299999995</v>
      </c>
      <c r="D141" s="964">
        <f t="shared" si="31"/>
        <v>1034613.96</v>
      </c>
      <c r="E141" s="964">
        <f t="shared" si="32"/>
        <v>6152960.7699999996</v>
      </c>
      <c r="F141" s="995">
        <f>'27-Allocators'!D102</f>
        <v>5.4891820324209528E-2</v>
      </c>
      <c r="G141" s="1395">
        <f t="shared" ref="G141" si="33">SUM(H141:I141)</f>
        <v>394539.06064598879</v>
      </c>
      <c r="H141" s="1395">
        <f t="shared" ref="H141" si="34">D141*F141</f>
        <v>56791.843597238905</v>
      </c>
      <c r="I141" s="1395">
        <f t="shared" ref="I141" si="35">E141*F141</f>
        <v>337747.21704874991</v>
      </c>
      <c r="J141" s="530" t="str">
        <f>"27-Allocators Line "&amp;'27-Allocators'!A102&amp;""</f>
        <v>27-Allocators Line 96</v>
      </c>
      <c r="K141" s="530"/>
      <c r="L141" s="530"/>
    </row>
    <row r="142" spans="1:12">
      <c r="A142" s="117">
        <f t="shared" si="22"/>
        <v>116</v>
      </c>
      <c r="B142" s="672" t="s">
        <v>1465</v>
      </c>
      <c r="C142" s="964">
        <f t="shared" ref="C142" si="36">J56</f>
        <v>416928.50999999995</v>
      </c>
      <c r="D142" s="964">
        <f t="shared" ref="D142:E145" si="37">K56</f>
        <v>3.18</v>
      </c>
      <c r="E142" s="964">
        <f t="shared" si="37"/>
        <v>416925.32999999996</v>
      </c>
      <c r="F142" s="995">
        <v>1</v>
      </c>
      <c r="G142" s="1395">
        <f t="shared" si="23"/>
        <v>416928.50999999995</v>
      </c>
      <c r="H142" s="1395">
        <f t="shared" si="24"/>
        <v>3.18</v>
      </c>
      <c r="I142" s="1395">
        <f t="shared" si="25"/>
        <v>416925.32999999996</v>
      </c>
      <c r="J142" s="1066" t="s">
        <v>2162</v>
      </c>
      <c r="K142" s="530"/>
      <c r="L142" s="530"/>
    </row>
    <row r="143" spans="1:12">
      <c r="A143" s="117">
        <f t="shared" si="22"/>
        <v>117</v>
      </c>
      <c r="B143" s="672" t="s">
        <v>1466</v>
      </c>
      <c r="C143" s="964">
        <f>J57</f>
        <v>1042583.6599999998</v>
      </c>
      <c r="D143" s="964">
        <f t="shared" si="37"/>
        <v>148763.09</v>
      </c>
      <c r="E143" s="964">
        <f t="shared" si="37"/>
        <v>893820.56999999983</v>
      </c>
      <c r="F143" s="995">
        <f>'27-Allocators'!D60</f>
        <v>2.8475966161595223E-3</v>
      </c>
      <c r="G143" s="1395">
        <f t="shared" si="23"/>
        <v>2968.8577022792092</v>
      </c>
      <c r="H143" s="1395">
        <f t="shared" si="24"/>
        <v>423.61727169343447</v>
      </c>
      <c r="I143" s="1395">
        <f t="shared" si="25"/>
        <v>2545.2404305857749</v>
      </c>
      <c r="J143" s="530" t="str">
        <f>"27-Allocators Line "&amp;'27-Allocators'!A60&amp;""</f>
        <v>27-Allocators Line 54</v>
      </c>
      <c r="K143" s="530"/>
    </row>
    <row r="144" spans="1:12">
      <c r="A144" s="117">
        <f t="shared" si="22"/>
        <v>118</v>
      </c>
      <c r="B144" s="672" t="s">
        <v>1467</v>
      </c>
      <c r="C144" s="964">
        <f>J58</f>
        <v>-44129.45</v>
      </c>
      <c r="D144" s="964">
        <f t="shared" si="37"/>
        <v>0</v>
      </c>
      <c r="E144" s="964">
        <f t="shared" si="37"/>
        <v>-44129.45</v>
      </c>
      <c r="F144" s="995">
        <v>1</v>
      </c>
      <c r="G144" s="1395">
        <f t="shared" si="23"/>
        <v>-44129.45</v>
      </c>
      <c r="H144" s="1395">
        <f t="shared" si="24"/>
        <v>0</v>
      </c>
      <c r="I144" s="1395">
        <f t="shared" si="25"/>
        <v>-44129.45</v>
      </c>
      <c r="J144" s="1066" t="s">
        <v>2162</v>
      </c>
      <c r="K144" s="530"/>
    </row>
    <row r="145" spans="1:12">
      <c r="A145" s="117">
        <f t="shared" si="22"/>
        <v>119</v>
      </c>
      <c r="B145" s="672" t="s">
        <v>1468</v>
      </c>
      <c r="C145" s="964">
        <f>J59</f>
        <v>1908587.1899999997</v>
      </c>
      <c r="D145" s="964">
        <f t="shared" si="37"/>
        <v>596097.09000000008</v>
      </c>
      <c r="E145" s="964">
        <f t="shared" si="37"/>
        <v>1312490.0999999996</v>
      </c>
      <c r="F145" s="995">
        <f>'27-Allocators'!D108</f>
        <v>0.43280811819561038</v>
      </c>
      <c r="G145" s="1395">
        <f t="shared" si="23"/>
        <v>826052.03011614771</v>
      </c>
      <c r="H145" s="1395">
        <f t="shared" si="24"/>
        <v>257995.65978477945</v>
      </c>
      <c r="I145" s="1395">
        <f t="shared" si="25"/>
        <v>568056.37033136829</v>
      </c>
      <c r="J145" s="530" t="str">
        <f>"27-Allocators Line "&amp;'27-Allocators'!A108&amp;""</f>
        <v>27-Allocators Line 102</v>
      </c>
      <c r="K145" s="530"/>
      <c r="L145" s="265"/>
    </row>
    <row r="146" spans="1:12">
      <c r="A146" s="117">
        <f t="shared" si="22"/>
        <v>120</v>
      </c>
      <c r="B146" s="588" t="s">
        <v>564</v>
      </c>
      <c r="C146" s="1394" t="s">
        <v>86</v>
      </c>
      <c r="D146" s="1394" t="s">
        <v>86</v>
      </c>
      <c r="E146" s="1394" t="s">
        <v>86</v>
      </c>
      <c r="F146" s="971" t="s">
        <v>86</v>
      </c>
      <c r="G146" s="971" t="s">
        <v>86</v>
      </c>
      <c r="H146" s="971" t="s">
        <v>86</v>
      </c>
      <c r="I146" s="971" t="s">
        <v>86</v>
      </c>
      <c r="J146" s="530"/>
      <c r="K146" s="530"/>
    </row>
    <row r="147" spans="1:12">
      <c r="A147" s="117">
        <f t="shared" si="22"/>
        <v>121</v>
      </c>
      <c r="B147" s="672" t="s">
        <v>2491</v>
      </c>
      <c r="C147" s="1391">
        <f>J61</f>
        <v>9481030.285854388</v>
      </c>
      <c r="D147" s="1391">
        <f>K61</f>
        <v>9481030.285854388</v>
      </c>
      <c r="E147" s="1391">
        <f>L61</f>
        <v>0</v>
      </c>
      <c r="F147" s="992"/>
      <c r="G147" s="993">
        <f>SUM(H147:I147)</f>
        <v>3844240.2137065376</v>
      </c>
      <c r="H147" s="993">
        <f>D147*C198</f>
        <v>3844240.2137065376</v>
      </c>
      <c r="I147" s="993">
        <v>0</v>
      </c>
      <c r="J147" s="530"/>
      <c r="K147" s="530"/>
    </row>
    <row r="148" spans="1:12">
      <c r="A148" s="117">
        <f t="shared" si="22"/>
        <v>122</v>
      </c>
      <c r="B148" s="474" t="s">
        <v>1489</v>
      </c>
      <c r="C148" s="974">
        <f>SUM(C97:C147)</f>
        <v>169693595.01585439</v>
      </c>
      <c r="D148" s="974">
        <f>SUM(D97:D147)</f>
        <v>86461730.41585438</v>
      </c>
      <c r="E148" s="974">
        <f>SUM(E97:E147)</f>
        <v>83231864.599999964</v>
      </c>
      <c r="F148" s="994"/>
      <c r="G148" s="977">
        <f>SUM(G97:G147)</f>
        <v>80137735.454664677</v>
      </c>
      <c r="H148" s="977">
        <f>SUM(H97:H147)</f>
        <v>35057335.647075042</v>
      </c>
      <c r="I148" s="977">
        <f>SUM(I97:I147)</f>
        <v>45080399.80758962</v>
      </c>
      <c r="J148" s="530"/>
      <c r="K148" s="958"/>
      <c r="L148" s="530"/>
    </row>
    <row r="149" spans="1:12">
      <c r="A149" s="117">
        <f t="shared" si="22"/>
        <v>123</v>
      </c>
      <c r="B149" s="567"/>
      <c r="C149" s="674"/>
      <c r="D149" s="674"/>
      <c r="E149" s="674"/>
      <c r="F149" s="994"/>
      <c r="G149" s="995"/>
      <c r="H149" s="990"/>
      <c r="I149" s="990"/>
      <c r="J149" s="990"/>
      <c r="K149" s="958"/>
    </row>
    <row r="150" spans="1:12">
      <c r="A150" s="117"/>
      <c r="B150" s="475"/>
      <c r="C150" s="483"/>
      <c r="D150" s="483"/>
      <c r="E150" s="483"/>
      <c r="F150" s="484"/>
      <c r="G150" s="485"/>
      <c r="H150" s="483"/>
      <c r="I150" s="483"/>
      <c r="J150" s="483"/>
      <c r="K150" s="530"/>
    </row>
    <row r="151" spans="1:12">
      <c r="A151" s="117"/>
      <c r="B151" s="91" t="s">
        <v>394</v>
      </c>
      <c r="C151" s="463" t="s">
        <v>378</v>
      </c>
      <c r="D151" s="463" t="s">
        <v>379</v>
      </c>
      <c r="E151" s="463" t="s">
        <v>380</v>
      </c>
      <c r="F151" s="464" t="s">
        <v>381</v>
      </c>
      <c r="G151" s="463" t="s">
        <v>382</v>
      </c>
      <c r="H151" s="463" t="s">
        <v>383</v>
      </c>
      <c r="I151" s="463" t="s">
        <v>596</v>
      </c>
      <c r="J151" s="1064" t="s">
        <v>1045</v>
      </c>
      <c r="K151" s="530"/>
    </row>
    <row r="152" spans="1:12">
      <c r="A152" s="117"/>
      <c r="C152" s="976" t="s">
        <v>1485</v>
      </c>
      <c r="D152" s="976" t="s">
        <v>1486</v>
      </c>
      <c r="E152" s="976" t="s">
        <v>1487</v>
      </c>
      <c r="F152" s="987" t="s">
        <v>1311</v>
      </c>
      <c r="G152" s="627" t="s">
        <v>1416</v>
      </c>
      <c r="H152" s="628" t="s">
        <v>1904</v>
      </c>
      <c r="I152" s="628" t="s">
        <v>1905</v>
      </c>
      <c r="J152" s="530"/>
      <c r="K152" s="530"/>
    </row>
    <row r="153" spans="1:12">
      <c r="A153" s="117"/>
      <c r="C153" s="976"/>
      <c r="D153" s="976"/>
      <c r="E153" s="976"/>
      <c r="F153" s="986"/>
      <c r="G153" s="987"/>
      <c r="H153" s="567"/>
      <c r="I153" s="567"/>
      <c r="J153" s="976"/>
      <c r="K153" s="530"/>
    </row>
    <row r="154" spans="1:12">
      <c r="A154" s="117"/>
      <c r="B154" s="1447" t="s">
        <v>1420</v>
      </c>
      <c r="C154" s="1448" t="s">
        <v>1423</v>
      </c>
      <c r="D154" s="1445"/>
      <c r="E154" s="1446"/>
      <c r="F154" s="481" t="s">
        <v>1622</v>
      </c>
      <c r="G154" s="1439" t="s">
        <v>1488</v>
      </c>
      <c r="H154" s="1440"/>
      <c r="I154" s="1441"/>
      <c r="J154" s="1065" t="s">
        <v>1995</v>
      </c>
      <c r="K154" s="530"/>
    </row>
    <row r="155" spans="1:12">
      <c r="A155" s="117"/>
      <c r="B155" s="1447"/>
      <c r="C155" s="956" t="s">
        <v>215</v>
      </c>
      <c r="D155" s="468" t="s">
        <v>1424</v>
      </c>
      <c r="E155" s="468" t="s">
        <v>1425</v>
      </c>
      <c r="F155" s="481" t="s">
        <v>478</v>
      </c>
      <c r="G155" s="956" t="s">
        <v>215</v>
      </c>
      <c r="H155" s="468" t="s">
        <v>1424</v>
      </c>
      <c r="I155" s="468" t="s">
        <v>1425</v>
      </c>
      <c r="J155" s="1012" t="s">
        <v>224</v>
      </c>
      <c r="K155" s="530"/>
    </row>
    <row r="156" spans="1:12" ht="12.75" customHeight="1">
      <c r="A156" s="117"/>
      <c r="B156" s="476" t="s">
        <v>1470</v>
      </c>
      <c r="C156" s="674"/>
      <c r="D156" s="674"/>
      <c r="E156" s="674"/>
      <c r="F156" s="994"/>
      <c r="G156" s="995"/>
      <c r="H156" s="990"/>
      <c r="I156" s="990"/>
      <c r="J156" s="990"/>
      <c r="K156" s="530"/>
    </row>
    <row r="157" spans="1:12" ht="12.75" customHeight="1">
      <c r="A157" s="117">
        <f>A149+1</f>
        <v>124</v>
      </c>
      <c r="B157" s="539" t="s">
        <v>1471</v>
      </c>
      <c r="C157" s="1389">
        <f t="shared" ref="C157:E164" si="38">J71</f>
        <v>24129872.910000004</v>
      </c>
      <c r="D157" s="1389">
        <f t="shared" si="38"/>
        <v>17860181.860000007</v>
      </c>
      <c r="E157" s="1389">
        <f t="shared" si="38"/>
        <v>6269691.049999998</v>
      </c>
      <c r="F157" s="1076">
        <f>J215</f>
        <v>0</v>
      </c>
      <c r="G157" s="990">
        <f t="shared" ref="G157:G164" si="39">SUM(H157:I157)</f>
        <v>0</v>
      </c>
      <c r="H157" s="990">
        <f>D157*F157</f>
        <v>0</v>
      </c>
      <c r="I157" s="990">
        <f>E157*F157</f>
        <v>0</v>
      </c>
      <c r="J157" s="530" t="s">
        <v>2166</v>
      </c>
      <c r="K157" s="530"/>
    </row>
    <row r="158" spans="1:12" ht="12.75" customHeight="1">
      <c r="A158" s="117">
        <f t="shared" ref="A158:A167" si="40">A157+1</f>
        <v>125</v>
      </c>
      <c r="B158" s="539" t="s">
        <v>1472</v>
      </c>
      <c r="C158" s="1389">
        <f t="shared" si="38"/>
        <v>11112485.149999999</v>
      </c>
      <c r="D158" s="1389">
        <f t="shared" si="38"/>
        <v>9050545.1499999985</v>
      </c>
      <c r="E158" s="1389">
        <f t="shared" si="38"/>
        <v>2061940.0000000002</v>
      </c>
      <c r="F158" s="1076">
        <f>J215</f>
        <v>0</v>
      </c>
      <c r="G158" s="990">
        <f t="shared" si="39"/>
        <v>0</v>
      </c>
      <c r="H158" s="990">
        <f t="shared" ref="H158:H165" si="41">D158*F158</f>
        <v>0</v>
      </c>
      <c r="I158" s="990">
        <f t="shared" ref="I158:I165" si="42">E158*F158</f>
        <v>0</v>
      </c>
      <c r="J158" s="530" t="s">
        <v>2166</v>
      </c>
      <c r="K158" s="530"/>
    </row>
    <row r="159" spans="1:12" ht="12.75" customHeight="1">
      <c r="A159" s="117">
        <f t="shared" si="40"/>
        <v>126</v>
      </c>
      <c r="B159" s="539" t="s">
        <v>1473</v>
      </c>
      <c r="C159" s="1389">
        <f t="shared" si="38"/>
        <v>2004341.34</v>
      </c>
      <c r="D159" s="1389">
        <f t="shared" si="38"/>
        <v>1857918.1900000002</v>
      </c>
      <c r="E159" s="1389">
        <f t="shared" si="38"/>
        <v>146423.14999999997</v>
      </c>
      <c r="F159" s="1076">
        <f>J215</f>
        <v>0</v>
      </c>
      <c r="G159" s="990">
        <f t="shared" si="39"/>
        <v>0</v>
      </c>
      <c r="H159" s="990">
        <f t="shared" si="41"/>
        <v>0</v>
      </c>
      <c r="I159" s="990">
        <f t="shared" si="42"/>
        <v>0</v>
      </c>
      <c r="J159" s="530" t="s">
        <v>2166</v>
      </c>
      <c r="K159" s="530"/>
    </row>
    <row r="160" spans="1:12" ht="12.75" customHeight="1">
      <c r="A160" s="117">
        <f t="shared" si="40"/>
        <v>127</v>
      </c>
      <c r="B160" s="539" t="s">
        <v>1474</v>
      </c>
      <c r="C160" s="1389">
        <f t="shared" si="38"/>
        <v>215353.2</v>
      </c>
      <c r="D160" s="1389">
        <f t="shared" si="38"/>
        <v>81556.430000000022</v>
      </c>
      <c r="E160" s="1389">
        <f t="shared" si="38"/>
        <v>133796.76999999999</v>
      </c>
      <c r="F160" s="1076">
        <f>J215</f>
        <v>0</v>
      </c>
      <c r="G160" s="990">
        <f t="shared" si="39"/>
        <v>0</v>
      </c>
      <c r="H160" s="990">
        <f t="shared" si="41"/>
        <v>0</v>
      </c>
      <c r="I160" s="990">
        <f t="shared" si="42"/>
        <v>0</v>
      </c>
      <c r="J160" s="530" t="s">
        <v>2166</v>
      </c>
      <c r="K160" s="530"/>
    </row>
    <row r="161" spans="1:12" ht="12.75" customHeight="1">
      <c r="A161" s="117">
        <f t="shared" si="40"/>
        <v>128</v>
      </c>
      <c r="B161" s="539" t="s">
        <v>1475</v>
      </c>
      <c r="C161" s="1389">
        <f t="shared" si="38"/>
        <v>701379.93000000017</v>
      </c>
      <c r="D161" s="1389">
        <f t="shared" si="38"/>
        <v>447806.72000000003</v>
      </c>
      <c r="E161" s="1389">
        <f t="shared" si="38"/>
        <v>253573.21000000008</v>
      </c>
      <c r="F161" s="995">
        <f>'27-Allocators'!D114</f>
        <v>0</v>
      </c>
      <c r="G161" s="990">
        <f t="shared" si="39"/>
        <v>0</v>
      </c>
      <c r="H161" s="990">
        <f t="shared" si="41"/>
        <v>0</v>
      </c>
      <c r="I161" s="990">
        <f t="shared" si="42"/>
        <v>0</v>
      </c>
      <c r="J161" s="530" t="str">
        <f>"27-Allocators Line "&amp;'27-Allocators'!A114&amp;""</f>
        <v>27-Allocators Line 108</v>
      </c>
      <c r="K161" s="530"/>
    </row>
    <row r="162" spans="1:12" ht="12.75" customHeight="1">
      <c r="A162" s="117">
        <f t="shared" si="40"/>
        <v>129</v>
      </c>
      <c r="B162" s="539" t="s">
        <v>1476</v>
      </c>
      <c r="C162" s="1389">
        <f t="shared" si="38"/>
        <v>2381835.96</v>
      </c>
      <c r="D162" s="1389">
        <f t="shared" si="38"/>
        <v>1698101.7999999998</v>
      </c>
      <c r="E162" s="1389">
        <f t="shared" si="38"/>
        <v>683734.15999999992</v>
      </c>
      <c r="F162" s="995">
        <f>'27-Allocators'!D120</f>
        <v>0</v>
      </c>
      <c r="G162" s="990">
        <f t="shared" si="39"/>
        <v>0</v>
      </c>
      <c r="H162" s="990">
        <f t="shared" si="41"/>
        <v>0</v>
      </c>
      <c r="I162" s="990">
        <f t="shared" si="42"/>
        <v>0</v>
      </c>
      <c r="J162" s="530" t="str">
        <f>"27-Allocators Line "&amp;'27-Allocators'!A120&amp;""</f>
        <v>27-Allocators Line 114</v>
      </c>
      <c r="K162" s="530"/>
    </row>
    <row r="163" spans="1:12" ht="12.75" customHeight="1">
      <c r="A163" s="117">
        <f t="shared" si="40"/>
        <v>130</v>
      </c>
      <c r="B163" s="539" t="s">
        <v>1477</v>
      </c>
      <c r="C163" s="1389">
        <f t="shared" si="38"/>
        <v>876590.45000000019</v>
      </c>
      <c r="D163" s="1389">
        <f t="shared" si="38"/>
        <v>560178.81000000006</v>
      </c>
      <c r="E163" s="1389">
        <f t="shared" si="38"/>
        <v>316411.64000000019</v>
      </c>
      <c r="F163" s="995">
        <f>'27-Allocators'!D126</f>
        <v>0</v>
      </c>
      <c r="G163" s="990">
        <f t="shared" si="39"/>
        <v>0</v>
      </c>
      <c r="H163" s="990">
        <f t="shared" si="41"/>
        <v>0</v>
      </c>
      <c r="I163" s="990">
        <f t="shared" si="42"/>
        <v>0</v>
      </c>
      <c r="J163" s="530" t="str">
        <f>"27-Allocators Line "&amp;'27-Allocators'!A126&amp;""</f>
        <v>27-Allocators Line 120</v>
      </c>
      <c r="K163" s="530"/>
    </row>
    <row r="164" spans="1:12" ht="12.75" customHeight="1">
      <c r="A164" s="117">
        <f t="shared" si="40"/>
        <v>131</v>
      </c>
      <c r="B164" s="539" t="s">
        <v>1478</v>
      </c>
      <c r="C164" s="1389">
        <f t="shared" si="38"/>
        <v>7298991.5199999996</v>
      </c>
      <c r="D164" s="1389">
        <f t="shared" si="38"/>
        <v>2327050</v>
      </c>
      <c r="E164" s="1389">
        <f t="shared" si="38"/>
        <v>4971941.5199999996</v>
      </c>
      <c r="F164" s="1076">
        <f>J215</f>
        <v>0</v>
      </c>
      <c r="G164" s="990">
        <f t="shared" si="39"/>
        <v>0</v>
      </c>
      <c r="H164" s="990">
        <f t="shared" si="41"/>
        <v>0</v>
      </c>
      <c r="I164" s="990">
        <f t="shared" si="42"/>
        <v>0</v>
      </c>
      <c r="J164" s="530" t="s">
        <v>2166</v>
      </c>
      <c r="K164" s="530"/>
      <c r="L164" s="265"/>
    </row>
    <row r="165" spans="1:12" ht="15" customHeight="1">
      <c r="A165" s="1067">
        <f t="shared" si="40"/>
        <v>132</v>
      </c>
      <c r="B165" s="996" t="s">
        <v>1479</v>
      </c>
      <c r="C165" s="1397">
        <f t="shared" ref="C165:E166" si="43">J79</f>
        <v>435928973.81</v>
      </c>
      <c r="D165" s="1397">
        <f t="shared" si="43"/>
        <v>180000715.76999998</v>
      </c>
      <c r="E165" s="1397">
        <f t="shared" si="43"/>
        <v>255928258.04000002</v>
      </c>
      <c r="F165" s="1077">
        <v>0</v>
      </c>
      <c r="G165" s="486">
        <v>0</v>
      </c>
      <c r="H165" s="990">
        <f t="shared" si="41"/>
        <v>0</v>
      </c>
      <c r="I165" s="990">
        <f t="shared" si="42"/>
        <v>0</v>
      </c>
      <c r="J165" s="1066" t="s">
        <v>2163</v>
      </c>
      <c r="K165" s="530"/>
    </row>
    <row r="166" spans="1:12" ht="12.75" customHeight="1">
      <c r="A166" s="117">
        <f t="shared" si="40"/>
        <v>133</v>
      </c>
      <c r="B166" s="672" t="s">
        <v>2492</v>
      </c>
      <c r="C166" s="1392">
        <f t="shared" si="43"/>
        <v>26318206.580110144</v>
      </c>
      <c r="D166" s="1392">
        <f t="shared" si="43"/>
        <v>26318206.580110144</v>
      </c>
      <c r="E166" s="1392">
        <f t="shared" si="43"/>
        <v>0</v>
      </c>
      <c r="F166" s="1078">
        <v>0</v>
      </c>
      <c r="G166" s="993">
        <f>SUM(H166:I166)</f>
        <v>0</v>
      </c>
      <c r="H166" s="993">
        <f>D166*F166</f>
        <v>0</v>
      </c>
      <c r="I166" s="993">
        <f>E166*F166</f>
        <v>0</v>
      </c>
      <c r="J166" s="1066" t="s">
        <v>2163</v>
      </c>
      <c r="K166" s="530"/>
    </row>
    <row r="167" spans="1:12">
      <c r="A167" s="117">
        <f t="shared" si="40"/>
        <v>134</v>
      </c>
      <c r="B167" s="475" t="s">
        <v>1490</v>
      </c>
      <c r="C167" s="964">
        <f>SUM(C157:C166)</f>
        <v>510968030.85011011</v>
      </c>
      <c r="D167" s="964">
        <f>SUM(D157:D166)</f>
        <v>240202261.31011012</v>
      </c>
      <c r="E167" s="1389">
        <f>SUM(E157:E166)</f>
        <v>270765769.54000002</v>
      </c>
      <c r="F167" s="484"/>
      <c r="G167" s="980">
        <f>SUM(G157:G165)</f>
        <v>0</v>
      </c>
      <c r="H167" s="980">
        <f>SUM(H157:H165)</f>
        <v>0</v>
      </c>
      <c r="I167" s="980">
        <f>SUM(I157:I165)</f>
        <v>0</v>
      </c>
      <c r="J167" s="530"/>
      <c r="K167" s="530"/>
    </row>
    <row r="168" spans="1:12">
      <c r="A168" s="117">
        <f>+A167+1</f>
        <v>135</v>
      </c>
      <c r="B168" s="475"/>
      <c r="C168" s="674"/>
      <c r="D168" s="674"/>
      <c r="E168" s="674"/>
      <c r="F168" s="484"/>
      <c r="G168" s="980"/>
      <c r="H168" s="977"/>
      <c r="I168" s="487"/>
      <c r="J168" s="530"/>
      <c r="K168" s="530"/>
    </row>
    <row r="169" spans="1:12">
      <c r="A169" s="117">
        <f>A168+1</f>
        <v>136</v>
      </c>
      <c r="B169" s="976"/>
      <c r="C169" s="982"/>
      <c r="D169" s="982"/>
      <c r="E169" s="982"/>
      <c r="F169" s="994"/>
      <c r="G169" s="990"/>
      <c r="H169" s="990"/>
      <c r="I169" s="990"/>
    </row>
    <row r="170" spans="1:12">
      <c r="A170" s="117">
        <f>A169+1</f>
        <v>137</v>
      </c>
      <c r="B170" s="475" t="s">
        <v>1907</v>
      </c>
      <c r="C170" s="964">
        <f>+C148+C167</f>
        <v>680661625.86596453</v>
      </c>
      <c r="D170" s="964">
        <f>+D148+D167</f>
        <v>326663991.72596449</v>
      </c>
      <c r="E170" s="964">
        <f>+E148+E167</f>
        <v>353997634.13999999</v>
      </c>
      <c r="F170" s="1398"/>
      <c r="G170" s="1395">
        <f>SUM(H170:I170)</f>
        <v>80137735.454664662</v>
      </c>
      <c r="H170" s="964">
        <f>+H148+H167</f>
        <v>35057335.647075042</v>
      </c>
      <c r="I170" s="964">
        <f>+I148+I167</f>
        <v>45080399.80758962</v>
      </c>
    </row>
    <row r="171" spans="1:12">
      <c r="A171" s="117">
        <f>A170+1</f>
        <v>138</v>
      </c>
      <c r="B171" s="532" t="str">
        <f>"Line "&amp;A148&amp;" +  Line "&amp;A167&amp;""</f>
        <v>Line 122 +  Line 134</v>
      </c>
    </row>
    <row r="172" spans="1:12">
      <c r="A172" s="530"/>
    </row>
    <row r="173" spans="1:12">
      <c r="A173" s="530"/>
      <c r="B173" s="488" t="s">
        <v>256</v>
      </c>
    </row>
    <row r="174" spans="1:12">
      <c r="A174" s="530"/>
      <c r="B174" s="998" t="s">
        <v>1491</v>
      </c>
      <c r="G174" s="999"/>
      <c r="H174" s="1000"/>
      <c r="I174" s="1000"/>
      <c r="J174" s="530"/>
      <c r="K174" s="530"/>
    </row>
    <row r="175" spans="1:12">
      <c r="A175" s="530"/>
      <c r="B175" s="1001" t="s">
        <v>1492</v>
      </c>
      <c r="G175" s="999"/>
      <c r="H175" s="1000"/>
      <c r="I175" s="1000"/>
      <c r="J175" s="530"/>
      <c r="K175" s="530"/>
    </row>
    <row r="176" spans="1:12">
      <c r="A176" s="530"/>
      <c r="B176" s="1002" t="s">
        <v>1493</v>
      </c>
      <c r="G176" s="999"/>
      <c r="H176" s="1000"/>
      <c r="I176" s="1000"/>
      <c r="J176" s="530"/>
      <c r="K176" s="530"/>
    </row>
    <row r="177" spans="1:12">
      <c r="A177" s="530"/>
      <c r="B177" s="677" t="s">
        <v>1494</v>
      </c>
      <c r="G177" s="999"/>
      <c r="H177" s="1000"/>
      <c r="I177" s="1000"/>
      <c r="J177" s="530"/>
      <c r="K177" s="530"/>
    </row>
    <row r="178" spans="1:12">
      <c r="A178" s="530"/>
      <c r="B178" s="677" t="s">
        <v>1495</v>
      </c>
      <c r="G178" s="999"/>
      <c r="H178" s="1000"/>
      <c r="I178" s="1000"/>
      <c r="J178" s="530"/>
      <c r="K178" s="530"/>
    </row>
    <row r="179" spans="1:12">
      <c r="A179" s="530"/>
      <c r="B179" s="677" t="s">
        <v>1496</v>
      </c>
      <c r="G179" s="999"/>
      <c r="H179" s="1000"/>
      <c r="I179" s="1000"/>
      <c r="J179" s="530"/>
      <c r="K179" s="530"/>
    </row>
    <row r="180" spans="1:12">
      <c r="A180" s="530"/>
      <c r="B180" s="1068" t="s">
        <v>2821</v>
      </c>
      <c r="G180" s="999"/>
      <c r="H180" s="1000"/>
      <c r="I180" s="1000"/>
      <c r="J180" s="530"/>
      <c r="K180" s="530"/>
    </row>
    <row r="181" spans="1:12">
      <c r="A181" s="530"/>
      <c r="B181" s="677" t="s">
        <v>2715</v>
      </c>
      <c r="G181" s="999"/>
      <c r="H181" s="1000"/>
      <c r="I181" s="1000"/>
      <c r="J181" s="530"/>
      <c r="K181" s="530"/>
    </row>
    <row r="182" spans="1:12">
      <c r="A182" s="530"/>
      <c r="B182" s="677" t="s">
        <v>2714</v>
      </c>
      <c r="G182" s="999"/>
      <c r="H182" s="1000"/>
      <c r="I182" s="1000"/>
      <c r="J182" s="530"/>
      <c r="K182" s="530"/>
    </row>
    <row r="183" spans="1:12">
      <c r="A183" s="530"/>
      <c r="B183" s="677" t="s">
        <v>2713</v>
      </c>
      <c r="G183" s="999"/>
      <c r="H183" s="1000"/>
      <c r="I183" s="1000"/>
      <c r="J183" s="530"/>
      <c r="K183" s="530"/>
    </row>
    <row r="184" spans="1:12">
      <c r="A184" s="530"/>
      <c r="B184" s="677" t="s">
        <v>2693</v>
      </c>
      <c r="G184" s="999"/>
      <c r="H184" s="1000"/>
      <c r="I184" s="1000"/>
      <c r="J184" s="530"/>
      <c r="K184" s="530"/>
    </row>
    <row r="185" spans="1:12">
      <c r="A185" s="530"/>
      <c r="B185" s="1003"/>
      <c r="C185" s="969"/>
      <c r="D185" s="969"/>
      <c r="E185" s="969"/>
      <c r="F185" s="970"/>
      <c r="G185" s="1004"/>
      <c r="H185" s="1005"/>
      <c r="I185" s="1005"/>
      <c r="J185" s="969"/>
      <c r="K185" s="530"/>
      <c r="L185" s="530"/>
    </row>
    <row r="186" spans="1:12">
      <c r="A186" s="530"/>
      <c r="B186" s="1003"/>
      <c r="C186" s="1266"/>
      <c r="D186" s="1266"/>
      <c r="E186" s="1266"/>
      <c r="F186" s="970"/>
      <c r="G186" s="1004"/>
      <c r="H186" s="1005"/>
      <c r="I186" s="1005"/>
      <c r="J186" s="969"/>
      <c r="K186" s="530"/>
      <c r="L186" s="530"/>
    </row>
    <row r="187" spans="1:12">
      <c r="A187" s="530"/>
      <c r="B187" s="530" t="s">
        <v>2502</v>
      </c>
      <c r="G187" s="999"/>
      <c r="H187" s="1000"/>
      <c r="I187" s="1000"/>
      <c r="J187" s="530"/>
      <c r="K187" s="530"/>
    </row>
    <row r="188" spans="1:12">
      <c r="A188" s="530"/>
      <c r="B188" s="530" t="s">
        <v>2493</v>
      </c>
      <c r="G188" s="999"/>
      <c r="H188" s="1000"/>
      <c r="I188" s="1000"/>
      <c r="J188" s="530"/>
      <c r="K188" s="530"/>
    </row>
    <row r="189" spans="1:12">
      <c r="A189" s="530"/>
      <c r="G189" s="999"/>
      <c r="H189" s="1000"/>
      <c r="I189" s="1000"/>
      <c r="J189" s="530"/>
      <c r="K189" s="530"/>
    </row>
    <row r="190" spans="1:12">
      <c r="A190" s="530"/>
      <c r="B190" s="1069" t="s">
        <v>2494</v>
      </c>
      <c r="C190" s="969">
        <v>70</v>
      </c>
      <c r="G190" s="999"/>
      <c r="H190" s="1000"/>
      <c r="I190" s="1000"/>
      <c r="J190" s="530"/>
      <c r="K190" s="530"/>
    </row>
    <row r="191" spans="1:12">
      <c r="A191" s="530"/>
      <c r="G191" s="999"/>
      <c r="H191" s="1000"/>
      <c r="I191" s="1000"/>
      <c r="J191" s="530"/>
      <c r="K191" s="530"/>
    </row>
    <row r="192" spans="1:12">
      <c r="A192" s="530"/>
      <c r="B192" s="1006"/>
      <c r="C192" s="510" t="s">
        <v>1623</v>
      </c>
      <c r="D192" s="510" t="s">
        <v>171</v>
      </c>
      <c r="G192" s="999"/>
      <c r="H192" s="1000"/>
      <c r="I192" s="1000"/>
      <c r="J192" s="530"/>
      <c r="K192" s="530"/>
    </row>
    <row r="193" spans="1:11">
      <c r="A193" s="530"/>
      <c r="B193" s="1006" t="s">
        <v>2495</v>
      </c>
      <c r="C193" s="1007">
        <f>D62/D83</f>
        <v>0.26483889367117497</v>
      </c>
      <c r="D193" s="1006" t="str">
        <f>"Line "&amp;A62&amp;", Col 3 / Line "&amp;A83&amp;", Col 3"</f>
        <v>Line 52, Col 3 / Line 66, Col 3</v>
      </c>
      <c r="G193" s="999"/>
      <c r="H193" s="1000"/>
      <c r="I193" s="1000"/>
      <c r="J193" s="530"/>
      <c r="K193" s="530"/>
    </row>
    <row r="194" spans="1:11">
      <c r="A194" s="530"/>
      <c r="B194" s="1006" t="s">
        <v>2496</v>
      </c>
      <c r="C194" s="1007">
        <f>D81/D83</f>
        <v>0.73516110632882503</v>
      </c>
      <c r="D194" s="1006" t="str">
        <f>"Line "&amp;A81&amp;", Col 3 / Line "&amp;A83&amp;", Col 3"</f>
        <v>Line 64, Col 3 / Line 66, Col 3</v>
      </c>
      <c r="G194" s="999"/>
      <c r="H194" s="1000"/>
      <c r="I194" s="1000"/>
      <c r="J194" s="530"/>
      <c r="K194" s="530"/>
    </row>
    <row r="195" spans="1:11">
      <c r="A195" s="530"/>
      <c r="G195" s="999"/>
      <c r="H195" s="1000"/>
      <c r="I195" s="1000"/>
      <c r="J195" s="530"/>
      <c r="K195" s="530"/>
    </row>
    <row r="196" spans="1:11">
      <c r="A196" s="530"/>
      <c r="B196" s="530" t="s">
        <v>2497</v>
      </c>
      <c r="G196" s="999"/>
      <c r="H196" s="1000"/>
      <c r="I196" s="1000"/>
      <c r="J196" s="530"/>
      <c r="K196" s="530"/>
    </row>
    <row r="197" spans="1:11">
      <c r="A197" s="530"/>
      <c r="B197" s="530" t="s">
        <v>2498</v>
      </c>
      <c r="G197" s="999"/>
      <c r="H197" s="1000"/>
      <c r="I197" s="1000"/>
      <c r="J197" s="530"/>
      <c r="K197" s="530"/>
    </row>
    <row r="198" spans="1:11">
      <c r="A198" s="530"/>
      <c r="B198" s="530" t="s">
        <v>1994</v>
      </c>
      <c r="C198" s="1070">
        <f>(SUM(H97:H145)/SUM(D97:D145))</f>
        <v>0.40546650498966441</v>
      </c>
      <c r="G198" s="999"/>
      <c r="H198" s="1000"/>
      <c r="I198" s="1000"/>
      <c r="J198" s="530"/>
      <c r="K198" s="530"/>
    </row>
    <row r="199" spans="1:11">
      <c r="A199" s="530"/>
      <c r="B199" s="530" t="s">
        <v>1906</v>
      </c>
      <c r="G199" s="999"/>
      <c r="H199" s="1000"/>
      <c r="I199" s="1000"/>
      <c r="J199" s="530"/>
      <c r="K199" s="530"/>
    </row>
    <row r="200" spans="1:11">
      <c r="A200" s="530"/>
      <c r="B200" s="530" t="s">
        <v>2161</v>
      </c>
      <c r="G200" s="999"/>
      <c r="H200" s="1000"/>
      <c r="I200" s="1000"/>
      <c r="J200" s="530"/>
      <c r="K200" s="530"/>
    </row>
    <row r="201" spans="1:11">
      <c r="A201" s="530"/>
      <c r="B201" s="530"/>
      <c r="G201" s="999"/>
      <c r="H201" s="1000"/>
      <c r="I201" s="1000"/>
      <c r="J201" s="530"/>
      <c r="K201" s="530"/>
    </row>
    <row r="202" spans="1:11">
      <c r="A202" s="530"/>
      <c r="B202" s="530" t="s">
        <v>2159</v>
      </c>
      <c r="G202" s="999"/>
      <c r="H202" s="1000"/>
      <c r="I202" s="1000"/>
      <c r="J202" s="530"/>
      <c r="K202" s="530"/>
    </row>
    <row r="203" spans="1:11">
      <c r="A203" s="530"/>
      <c r="B203" s="1006" t="s">
        <v>2167</v>
      </c>
      <c r="G203" s="999"/>
      <c r="H203" s="1000"/>
      <c r="I203" s="1000"/>
      <c r="J203" s="1071" t="s">
        <v>1995</v>
      </c>
      <c r="K203" s="530"/>
    </row>
    <row r="204" spans="1:11">
      <c r="A204" s="530"/>
      <c r="B204" s="1072" t="s">
        <v>2173</v>
      </c>
      <c r="G204" s="999"/>
      <c r="H204" s="1000"/>
      <c r="I204" s="1000"/>
      <c r="J204" s="1073">
        <f>SUM(H99:H109, H113, H116:H120,H132:H144)/SUM(D99:D109,D113,D116:D120,D132:D144)</f>
        <v>0.40625547984391497</v>
      </c>
      <c r="K204" s="530"/>
    </row>
    <row r="205" spans="1:11">
      <c r="A205" s="530"/>
      <c r="B205" s="1072" t="s">
        <v>2711</v>
      </c>
      <c r="G205" s="999"/>
      <c r="H205" s="1000"/>
      <c r="I205" s="1000"/>
      <c r="J205" s="1073"/>
      <c r="K205" s="530"/>
    </row>
    <row r="206" spans="1:11">
      <c r="A206" s="530"/>
      <c r="B206" s="1006" t="s">
        <v>2178</v>
      </c>
      <c r="G206" s="999"/>
      <c r="H206" s="1000"/>
      <c r="I206" s="1000"/>
      <c r="J206" s="530"/>
      <c r="K206" s="530"/>
    </row>
    <row r="207" spans="1:11">
      <c r="A207" s="530"/>
      <c r="B207" s="1072" t="s">
        <v>1996</v>
      </c>
      <c r="G207" s="999"/>
      <c r="H207" s="1000"/>
      <c r="I207" s="1000"/>
      <c r="J207" s="1073">
        <f>SUM(H104:H107, H132:H137)/SUM(D104:D107,D132:D137)</f>
        <v>0.21831684125809461</v>
      </c>
      <c r="K207" s="530"/>
    </row>
    <row r="208" spans="1:11">
      <c r="A208" s="530"/>
      <c r="B208" s="1006" t="s">
        <v>2180</v>
      </c>
      <c r="G208" s="999"/>
      <c r="H208" s="1000"/>
      <c r="I208" s="1000"/>
      <c r="J208" s="530"/>
      <c r="K208" s="530"/>
    </row>
    <row r="209" spans="1:11">
      <c r="A209" s="530"/>
      <c r="B209" s="1072" t="s">
        <v>1997</v>
      </c>
      <c r="G209" s="999"/>
      <c r="H209" s="1000"/>
      <c r="I209" s="1000"/>
      <c r="J209" s="1073">
        <f>SUM(H132:H134,H136)/SUM(D132:D134,D136)</f>
        <v>0.36619288548696355</v>
      </c>
      <c r="K209" s="530"/>
    </row>
    <row r="210" spans="1:11">
      <c r="A210" s="530"/>
      <c r="B210" s="1074" t="s">
        <v>1457</v>
      </c>
      <c r="G210" s="999"/>
      <c r="H210" s="1000"/>
      <c r="I210" s="1000"/>
      <c r="J210" s="530"/>
      <c r="K210" s="530"/>
    </row>
    <row r="211" spans="1:11">
      <c r="A211" s="530"/>
      <c r="B211" s="1074" t="s">
        <v>1852</v>
      </c>
      <c r="G211" s="999"/>
      <c r="H211" s="1000"/>
      <c r="I211" s="1000"/>
      <c r="J211" s="530"/>
      <c r="K211" s="530"/>
    </row>
    <row r="212" spans="1:11">
      <c r="A212" s="530"/>
      <c r="B212" s="1074" t="s">
        <v>1459</v>
      </c>
      <c r="G212" s="999"/>
      <c r="H212" s="1000"/>
      <c r="I212" s="1000"/>
      <c r="J212" s="530"/>
      <c r="K212" s="530"/>
    </row>
    <row r="213" spans="1:11">
      <c r="A213" s="530"/>
      <c r="B213" s="1074" t="s">
        <v>1458</v>
      </c>
      <c r="G213" s="999"/>
      <c r="H213" s="1000"/>
      <c r="I213" s="1000"/>
      <c r="J213" s="530"/>
      <c r="K213" s="530"/>
    </row>
    <row r="214" spans="1:11">
      <c r="A214" s="530"/>
      <c r="B214" s="1006" t="s">
        <v>2179</v>
      </c>
      <c r="G214" s="999"/>
      <c r="H214" s="1000"/>
      <c r="I214" s="1000"/>
      <c r="J214" s="530"/>
      <c r="K214" s="530"/>
    </row>
    <row r="215" spans="1:11">
      <c r="A215" s="530"/>
      <c r="B215" s="1072" t="s">
        <v>2175</v>
      </c>
      <c r="G215" s="999"/>
      <c r="H215" s="1000"/>
      <c r="I215" s="1000"/>
      <c r="J215" s="1070">
        <f>SUM(H161:H163)/SUM(D161:D163)</f>
        <v>0</v>
      </c>
      <c r="K215" s="530"/>
    </row>
    <row r="216" spans="1:11">
      <c r="A216" s="530"/>
      <c r="B216" s="1072" t="s">
        <v>2174</v>
      </c>
      <c r="G216" s="999"/>
      <c r="H216" s="1000"/>
      <c r="I216" s="1000"/>
      <c r="J216" s="530"/>
      <c r="K216" s="530"/>
    </row>
    <row r="217" spans="1:11">
      <c r="A217" s="530"/>
      <c r="B217" s="530" t="s">
        <v>2183</v>
      </c>
      <c r="G217" s="999"/>
      <c r="H217" s="1000"/>
      <c r="I217" s="1000"/>
      <c r="J217" s="530"/>
      <c r="K217" s="530"/>
    </row>
    <row r="218" spans="1:11">
      <c r="A218" s="530"/>
      <c r="B218" s="530"/>
      <c r="G218" s="999"/>
      <c r="H218" s="1000"/>
      <c r="I218" s="1000"/>
      <c r="J218" s="530"/>
      <c r="K218" s="530"/>
    </row>
    <row r="219" spans="1:11">
      <c r="A219" s="530"/>
    </row>
    <row r="220" spans="1:11">
      <c r="A220" s="530"/>
    </row>
  </sheetData>
  <mergeCells count="14">
    <mergeCell ref="J8:L8"/>
    <mergeCell ref="B68:B69"/>
    <mergeCell ref="C68:E68"/>
    <mergeCell ref="G68:I68"/>
    <mergeCell ref="J68:L68"/>
    <mergeCell ref="G154:I154"/>
    <mergeCell ref="G94:I94"/>
    <mergeCell ref="B8:B9"/>
    <mergeCell ref="C8:E8"/>
    <mergeCell ref="G8:I8"/>
    <mergeCell ref="B94:B95"/>
    <mergeCell ref="C94:E94"/>
    <mergeCell ref="B154:B155"/>
    <mergeCell ref="C154:E154"/>
  </mergeCells>
  <pageMargins left="0.7" right="0.7" top="0.75" bottom="0.75" header="0.3" footer="0.3"/>
  <pageSetup scale="60" orientation="landscape" cellComments="asDisplayed" r:id="rId1"/>
  <headerFooter>
    <oddHeader>&amp;CSchedule 19
Operations and Maintenance
&amp;RTO11 Draft Annual Update
Attachment 1</oddHeader>
    <oddFooter>&amp;R&amp;A</oddFooter>
  </headerFooter>
  <rowBreaks count="3" manualBreakCount="3">
    <brk id="64" max="11" man="1"/>
    <brk id="88" max="16383" man="1"/>
    <brk id="15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2"/>
  <sheetViews>
    <sheetView zoomScaleNormal="100" workbookViewId="0"/>
  </sheetViews>
  <sheetFormatPr defaultRowHeight="12.75"/>
  <cols>
    <col min="1" max="1" width="4.7109375" customWidth="1"/>
    <col min="2" max="2" width="2.7109375" customWidth="1"/>
    <col min="3" max="3" width="6.7109375" customWidth="1"/>
    <col min="4" max="4" width="32.5703125" customWidth="1"/>
    <col min="5" max="5" width="14.7109375" customWidth="1"/>
    <col min="6" max="6" width="15.7109375" customWidth="1"/>
    <col min="7" max="8" width="14.7109375" customWidth="1"/>
    <col min="9" max="9" width="20" customWidth="1"/>
    <col min="10" max="10" width="15.85546875" customWidth="1"/>
    <col min="11" max="11" width="11" bestFit="1" customWidth="1"/>
  </cols>
  <sheetData>
    <row r="1" spans="1:24">
      <c r="A1" s="1" t="s">
        <v>308</v>
      </c>
      <c r="F1" s="43" t="s">
        <v>17</v>
      </c>
      <c r="G1" s="102"/>
      <c r="H1" s="62"/>
      <c r="I1" s="62"/>
    </row>
    <row r="2" spans="1:24">
      <c r="E2" s="91" t="s">
        <v>394</v>
      </c>
      <c r="F2" s="91" t="s">
        <v>378</v>
      </c>
      <c r="G2" s="91" t="s">
        <v>379</v>
      </c>
      <c r="H2" s="91" t="s">
        <v>380</v>
      </c>
      <c r="I2" s="62"/>
    </row>
    <row r="3" spans="1:24">
      <c r="G3" s="62" t="s">
        <v>236</v>
      </c>
    </row>
    <row r="4" spans="1:24">
      <c r="E4" s="2" t="s">
        <v>529</v>
      </c>
      <c r="F4" s="26" t="s">
        <v>213</v>
      </c>
      <c r="G4" s="2" t="s">
        <v>1558</v>
      </c>
      <c r="I4" s="2"/>
    </row>
    <row r="5" spans="1:24">
      <c r="A5" s="54" t="s">
        <v>350</v>
      </c>
      <c r="B5" s="3"/>
      <c r="C5" s="3" t="s">
        <v>126</v>
      </c>
      <c r="D5" s="3" t="s">
        <v>111</v>
      </c>
      <c r="E5" s="3" t="s">
        <v>194</v>
      </c>
      <c r="F5" s="25" t="s">
        <v>198</v>
      </c>
      <c r="G5" s="3" t="s">
        <v>127</v>
      </c>
      <c r="H5" s="3" t="s">
        <v>290</v>
      </c>
      <c r="I5" s="3" t="s">
        <v>187</v>
      </c>
      <c r="K5" s="3"/>
      <c r="L5" s="3"/>
      <c r="M5" s="3"/>
      <c r="N5" s="3"/>
      <c r="O5" s="3"/>
      <c r="P5" s="3"/>
      <c r="Q5" s="3"/>
      <c r="R5" s="3"/>
      <c r="S5" s="3"/>
      <c r="T5" s="3"/>
      <c r="U5" s="3"/>
      <c r="V5" s="3"/>
      <c r="W5" s="3"/>
      <c r="X5" s="3"/>
    </row>
    <row r="6" spans="1:24">
      <c r="A6" s="2">
        <v>1</v>
      </c>
      <c r="C6" s="62">
        <v>920</v>
      </c>
      <c r="D6" t="s">
        <v>113</v>
      </c>
      <c r="E6" s="86">
        <v>388180572</v>
      </c>
      <c r="F6" s="1016" t="s">
        <v>128</v>
      </c>
      <c r="G6" s="64">
        <f>D37</f>
        <v>79001962.263313323</v>
      </c>
      <c r="H6" s="64">
        <f>E6-G6</f>
        <v>309178609.73668671</v>
      </c>
      <c r="I6" s="14"/>
      <c r="J6" s="522"/>
    </row>
    <row r="7" spans="1:24">
      <c r="A7" s="2">
        <f>A6+1</f>
        <v>2</v>
      </c>
      <c r="C7" s="62">
        <v>921</v>
      </c>
      <c r="D7" t="s">
        <v>114</v>
      </c>
      <c r="E7" s="86">
        <v>194110998</v>
      </c>
      <c r="F7" s="1016" t="s">
        <v>129</v>
      </c>
      <c r="G7" s="64">
        <f t="shared" ref="G7:G19" si="0">D38</f>
        <v>81746.869999999952</v>
      </c>
      <c r="H7" s="64">
        <f t="shared" ref="H7:H19" si="1">E7-G7</f>
        <v>194029251.13</v>
      </c>
      <c r="I7" s="14"/>
      <c r="J7" s="522"/>
    </row>
    <row r="8" spans="1:24">
      <c r="A8" s="2">
        <f>A7+1</f>
        <v>3</v>
      </c>
      <c r="C8" s="62">
        <v>922</v>
      </c>
      <c r="D8" t="s">
        <v>115</v>
      </c>
      <c r="E8" s="86">
        <v>-117633265</v>
      </c>
      <c r="F8" s="1016" t="s">
        <v>130</v>
      </c>
      <c r="G8" s="64">
        <f t="shared" si="0"/>
        <v>-32115774</v>
      </c>
      <c r="H8" s="64">
        <f t="shared" si="1"/>
        <v>-85517491</v>
      </c>
      <c r="I8" s="120" t="s">
        <v>2029</v>
      </c>
      <c r="J8" s="522"/>
    </row>
    <row r="9" spans="1:24">
      <c r="A9" s="2">
        <f t="shared" ref="A9:A20" si="2">A8+1</f>
        <v>4</v>
      </c>
      <c r="B9" s="2"/>
      <c r="C9" s="62">
        <v>923</v>
      </c>
      <c r="D9" t="s">
        <v>116</v>
      </c>
      <c r="E9" s="86">
        <v>97403016</v>
      </c>
      <c r="F9" s="1016" t="s">
        <v>131</v>
      </c>
      <c r="G9" s="64">
        <f t="shared" si="0"/>
        <v>14967703.915100001</v>
      </c>
      <c r="H9" s="64">
        <f t="shared" si="1"/>
        <v>82435312.084899992</v>
      </c>
      <c r="I9" s="14"/>
      <c r="J9" s="522"/>
    </row>
    <row r="10" spans="1:24">
      <c r="A10" s="2">
        <f t="shared" si="2"/>
        <v>5</v>
      </c>
      <c r="B10" s="2"/>
      <c r="C10" s="62">
        <v>924</v>
      </c>
      <c r="D10" t="s">
        <v>117</v>
      </c>
      <c r="E10" s="86">
        <v>13240374</v>
      </c>
      <c r="F10" s="1016" t="s">
        <v>132</v>
      </c>
      <c r="G10" s="64">
        <f t="shared" si="0"/>
        <v>0</v>
      </c>
      <c r="H10" s="64">
        <f t="shared" si="1"/>
        <v>13240374</v>
      </c>
      <c r="I10" s="14"/>
      <c r="J10" s="522"/>
    </row>
    <row r="11" spans="1:24">
      <c r="A11" s="2">
        <f t="shared" si="2"/>
        <v>6</v>
      </c>
      <c r="B11" s="2"/>
      <c r="C11" s="62">
        <v>925</v>
      </c>
      <c r="D11" t="s">
        <v>118</v>
      </c>
      <c r="E11" s="86">
        <v>98359983</v>
      </c>
      <c r="F11" s="1016" t="s">
        <v>133</v>
      </c>
      <c r="G11" s="64">
        <f t="shared" si="0"/>
        <v>450</v>
      </c>
      <c r="H11" s="64">
        <f t="shared" si="1"/>
        <v>98359533</v>
      </c>
      <c r="I11" s="14"/>
      <c r="J11" s="522"/>
    </row>
    <row r="12" spans="1:24">
      <c r="A12" s="2">
        <f t="shared" si="2"/>
        <v>7</v>
      </c>
      <c r="B12" s="2"/>
      <c r="C12" s="62">
        <v>926</v>
      </c>
      <c r="D12" t="s">
        <v>119</v>
      </c>
      <c r="E12" s="86">
        <v>166400467</v>
      </c>
      <c r="F12" s="1016" t="s">
        <v>134</v>
      </c>
      <c r="G12" s="64">
        <f t="shared" si="0"/>
        <v>118018.72530747578</v>
      </c>
      <c r="H12" s="64">
        <f t="shared" si="1"/>
        <v>166282448.27469254</v>
      </c>
      <c r="I12" s="14"/>
      <c r="J12" s="522"/>
    </row>
    <row r="13" spans="1:24">
      <c r="A13" s="2">
        <f t="shared" si="2"/>
        <v>8</v>
      </c>
      <c r="B13" s="2"/>
      <c r="C13" s="62">
        <v>927</v>
      </c>
      <c r="D13" t="s">
        <v>120</v>
      </c>
      <c r="E13" s="86">
        <v>114123922</v>
      </c>
      <c r="F13" s="1016" t="s">
        <v>135</v>
      </c>
      <c r="G13" s="64">
        <f t="shared" si="0"/>
        <v>114123922</v>
      </c>
      <c r="H13" s="64">
        <f t="shared" si="1"/>
        <v>0</v>
      </c>
      <c r="I13" s="14"/>
      <c r="J13" s="522"/>
    </row>
    <row r="14" spans="1:24">
      <c r="A14" s="2">
        <f t="shared" si="2"/>
        <v>9</v>
      </c>
      <c r="B14" s="2"/>
      <c r="C14" s="62">
        <v>928</v>
      </c>
      <c r="D14" s="12" t="s">
        <v>121</v>
      </c>
      <c r="E14" s="86">
        <v>35110806</v>
      </c>
      <c r="F14" s="1016" t="s">
        <v>136</v>
      </c>
      <c r="G14" s="64">
        <f t="shared" si="0"/>
        <v>33351258.910000004</v>
      </c>
      <c r="H14" s="64">
        <f t="shared" si="1"/>
        <v>1759547.0899999961</v>
      </c>
      <c r="I14" s="14"/>
      <c r="J14" s="522"/>
    </row>
    <row r="15" spans="1:24">
      <c r="A15" s="2">
        <f t="shared" si="2"/>
        <v>10</v>
      </c>
      <c r="B15" s="2"/>
      <c r="C15" s="62">
        <v>929</v>
      </c>
      <c r="D15" t="s">
        <v>122</v>
      </c>
      <c r="E15" s="86">
        <v>0</v>
      </c>
      <c r="F15" s="1016" t="s">
        <v>137</v>
      </c>
      <c r="G15" s="64">
        <f t="shared" si="0"/>
        <v>0</v>
      </c>
      <c r="H15" s="64">
        <f t="shared" si="1"/>
        <v>0</v>
      </c>
      <c r="I15" s="14"/>
      <c r="J15" s="522"/>
    </row>
    <row r="16" spans="1:24">
      <c r="A16" s="2">
        <f t="shared" si="2"/>
        <v>11</v>
      </c>
      <c r="B16" s="2"/>
      <c r="C16" s="62">
        <v>930.1</v>
      </c>
      <c r="D16" t="s">
        <v>123</v>
      </c>
      <c r="E16" s="86">
        <v>8785032</v>
      </c>
      <c r="F16" s="1016" t="s">
        <v>138</v>
      </c>
      <c r="G16" s="64">
        <f t="shared" si="0"/>
        <v>0</v>
      </c>
      <c r="H16" s="64">
        <f t="shared" si="1"/>
        <v>8785032</v>
      </c>
      <c r="I16" s="14"/>
      <c r="J16" s="522"/>
    </row>
    <row r="17" spans="1:11">
      <c r="A17" s="2">
        <f t="shared" si="2"/>
        <v>12</v>
      </c>
      <c r="B17" s="2"/>
      <c r="C17" s="62">
        <v>930.2</v>
      </c>
      <c r="D17" t="s">
        <v>99</v>
      </c>
      <c r="E17" s="86">
        <v>18594127</v>
      </c>
      <c r="F17" s="1016" t="s">
        <v>139</v>
      </c>
      <c r="G17" s="64">
        <f t="shared" si="0"/>
        <v>15823899.380000001</v>
      </c>
      <c r="H17" s="64">
        <f t="shared" si="1"/>
        <v>2770227.6199999992</v>
      </c>
      <c r="I17" s="14"/>
      <c r="J17" s="522"/>
    </row>
    <row r="18" spans="1:11">
      <c r="A18" s="2">
        <f t="shared" si="2"/>
        <v>13</v>
      </c>
      <c r="B18" s="2"/>
      <c r="C18" s="62">
        <v>931</v>
      </c>
      <c r="D18" t="s">
        <v>124</v>
      </c>
      <c r="E18" s="86">
        <v>23119538</v>
      </c>
      <c r="F18" s="1016" t="s">
        <v>140</v>
      </c>
      <c r="G18" s="64">
        <f t="shared" si="0"/>
        <v>0</v>
      </c>
      <c r="H18" s="64">
        <f t="shared" si="1"/>
        <v>23119538</v>
      </c>
      <c r="I18" s="14"/>
      <c r="J18" s="522"/>
    </row>
    <row r="19" spans="1:11">
      <c r="A19" s="2">
        <f t="shared" si="2"/>
        <v>14</v>
      </c>
      <c r="B19" s="2"/>
      <c r="C19" s="62">
        <v>935</v>
      </c>
      <c r="D19" t="s">
        <v>125</v>
      </c>
      <c r="E19" s="87">
        <v>19035369</v>
      </c>
      <c r="F19" s="1016" t="s">
        <v>141</v>
      </c>
      <c r="G19" s="64">
        <f t="shared" si="0"/>
        <v>27068.07</v>
      </c>
      <c r="H19" s="118">
        <f t="shared" si="1"/>
        <v>19008300.93</v>
      </c>
      <c r="I19" s="14"/>
      <c r="J19" s="522"/>
    </row>
    <row r="20" spans="1:11">
      <c r="A20" s="2">
        <f t="shared" si="2"/>
        <v>15</v>
      </c>
      <c r="E20" s="7">
        <f>SUM(E6:E19)</f>
        <v>1058830939</v>
      </c>
      <c r="G20" s="85" t="s">
        <v>142</v>
      </c>
      <c r="H20" s="47">
        <f>SUM(H6:H19)</f>
        <v>833450682.86627924</v>
      </c>
      <c r="I20" s="14"/>
    </row>
    <row r="22" spans="1:11">
      <c r="F22" s="3" t="s">
        <v>194</v>
      </c>
      <c r="G22" s="3" t="s">
        <v>198</v>
      </c>
    </row>
    <row r="23" spans="1:11">
      <c r="A23" s="2">
        <f>A20+1</f>
        <v>16</v>
      </c>
      <c r="E23" s="1019" t="s">
        <v>2471</v>
      </c>
      <c r="F23" s="64">
        <f>H20</f>
        <v>833450682.86627924</v>
      </c>
      <c r="G23" s="46" t="str">
        <f>"Line "&amp;A20&amp;""</f>
        <v>Line 15</v>
      </c>
      <c r="H23" s="14"/>
      <c r="I23" s="14"/>
      <c r="J23" s="14"/>
      <c r="K23" s="14"/>
    </row>
    <row r="24" spans="1:11">
      <c r="A24" s="2">
        <f t="shared" ref="A24:A30" si="3">A23+1</f>
        <v>17</v>
      </c>
      <c r="E24" s="374" t="s">
        <v>323</v>
      </c>
      <c r="F24" s="118">
        <f>E10</f>
        <v>13240374</v>
      </c>
      <c r="G24" s="46" t="str">
        <f>"Line "&amp;A10&amp;""</f>
        <v>Line 5</v>
      </c>
      <c r="H24" s="14"/>
      <c r="I24" s="14"/>
      <c r="J24" s="14"/>
      <c r="K24" s="14"/>
    </row>
    <row r="25" spans="1:11">
      <c r="A25" s="2">
        <f t="shared" si="3"/>
        <v>18</v>
      </c>
      <c r="E25" s="374" t="s">
        <v>1554</v>
      </c>
      <c r="F25" s="64">
        <f>F23-F24</f>
        <v>820210308.86627924</v>
      </c>
      <c r="G25" s="46" t="str">
        <f>"Line "&amp;A23&amp;" - Line "&amp;A24&amp;""</f>
        <v>Line 16 - Line 17</v>
      </c>
      <c r="H25" s="14"/>
      <c r="I25" s="14"/>
      <c r="J25" s="14"/>
      <c r="K25" s="14"/>
    </row>
    <row r="26" spans="1:11">
      <c r="A26" s="2">
        <f t="shared" si="3"/>
        <v>19</v>
      </c>
      <c r="E26" s="85" t="s">
        <v>143</v>
      </c>
      <c r="F26" s="1079">
        <f>'27-Allocators'!G15</f>
        <v>6.0220089469584258E-2</v>
      </c>
      <c r="G26" s="46" t="str">
        <f>"27-Allocators, Line "&amp;'27-Allocators'!A15&amp;""</f>
        <v>27-Allocators, Line 9</v>
      </c>
      <c r="H26" s="14"/>
      <c r="I26" s="14"/>
      <c r="J26" s="14"/>
      <c r="K26" s="14"/>
    </row>
    <row r="27" spans="1:11">
      <c r="A27" s="2">
        <f t="shared" si="3"/>
        <v>20</v>
      </c>
      <c r="E27" s="374" t="s">
        <v>1555</v>
      </c>
      <c r="F27" s="64">
        <f>F25*F26</f>
        <v>49393138.183802672</v>
      </c>
      <c r="G27" s="46" t="str">
        <f>"Line "&amp;A25&amp;" * Line "&amp;A26&amp;""</f>
        <v>Line 18 * Line 19</v>
      </c>
      <c r="H27" s="14"/>
      <c r="I27" s="14"/>
      <c r="J27" s="14"/>
      <c r="K27" s="14"/>
    </row>
    <row r="28" spans="1:11">
      <c r="A28" s="2">
        <f t="shared" si="3"/>
        <v>21</v>
      </c>
      <c r="E28" s="374" t="s">
        <v>105</v>
      </c>
      <c r="F28" s="71">
        <f>'27-Allocators'!G28</f>
        <v>0.19064298583191411</v>
      </c>
      <c r="G28" s="120" t="str">
        <f>"27-Allocators, Line "&amp;'27-Allocators'!A28&amp;""</f>
        <v>27-Allocators, Line 22</v>
      </c>
      <c r="H28" s="14"/>
      <c r="I28" s="14"/>
      <c r="J28" s="14"/>
      <c r="K28" s="14"/>
    </row>
    <row r="29" spans="1:11">
      <c r="A29" s="2">
        <f t="shared" si="3"/>
        <v>22</v>
      </c>
      <c r="E29" s="374" t="s">
        <v>324</v>
      </c>
      <c r="F29" s="118">
        <f>H10*F28</f>
        <v>2524184.4328912441</v>
      </c>
      <c r="G29" s="46" t="str">
        <f>"Line "&amp;A10&amp;" Col 4 * Line "&amp;A28&amp;""</f>
        <v>Line 5 Col 4 * Line 21</v>
      </c>
      <c r="H29" s="14"/>
      <c r="I29" s="14"/>
      <c r="J29" s="14"/>
      <c r="K29" s="14"/>
    </row>
    <row r="30" spans="1:11">
      <c r="A30" s="2">
        <f t="shared" si="3"/>
        <v>23</v>
      </c>
      <c r="E30" s="374" t="s">
        <v>325</v>
      </c>
      <c r="F30" s="534">
        <f>F27+F29</f>
        <v>51917322.616693914</v>
      </c>
      <c r="G30" s="46" t="str">
        <f>"Line "&amp;A27&amp;" + Line "&amp;A29&amp;""</f>
        <v>Line 20 + Line 22</v>
      </c>
      <c r="H30" s="14"/>
      <c r="I30" s="14"/>
      <c r="J30" s="14"/>
      <c r="K30" s="14"/>
    </row>
    <row r="31" spans="1:11">
      <c r="E31" s="14"/>
      <c r="F31" s="14"/>
      <c r="G31" s="14"/>
      <c r="H31" s="14"/>
      <c r="I31" s="14"/>
      <c r="J31" s="14"/>
      <c r="K31" s="14"/>
    </row>
    <row r="32" spans="1:11">
      <c r="B32" s="1" t="s">
        <v>537</v>
      </c>
      <c r="E32" s="369" t="s">
        <v>394</v>
      </c>
      <c r="F32" s="369" t="s">
        <v>378</v>
      </c>
      <c r="G32" s="369" t="s">
        <v>379</v>
      </c>
      <c r="H32" s="369" t="s">
        <v>380</v>
      </c>
      <c r="I32" s="14"/>
      <c r="J32" s="14"/>
      <c r="K32" s="14"/>
    </row>
    <row r="33" spans="1:11">
      <c r="B33" s="1"/>
      <c r="E33" s="117" t="s">
        <v>531</v>
      </c>
      <c r="F33" s="369"/>
      <c r="G33" s="369"/>
      <c r="H33" s="369"/>
      <c r="I33" s="14"/>
      <c r="J33" s="14"/>
      <c r="K33" s="14"/>
    </row>
    <row r="34" spans="1:11">
      <c r="E34" s="117" t="s">
        <v>605</v>
      </c>
      <c r="F34" s="14"/>
      <c r="G34" s="14"/>
      <c r="H34" s="14"/>
      <c r="I34" s="14"/>
      <c r="J34" s="14"/>
      <c r="K34" s="14"/>
    </row>
    <row r="35" spans="1:11">
      <c r="D35" s="2" t="s">
        <v>530</v>
      </c>
      <c r="E35" s="117" t="s">
        <v>604</v>
      </c>
      <c r="F35" s="117" t="s">
        <v>532</v>
      </c>
      <c r="G35" s="117"/>
      <c r="H35" s="117"/>
      <c r="I35" s="14"/>
      <c r="J35" s="14"/>
      <c r="K35" s="14"/>
    </row>
    <row r="36" spans="1:11">
      <c r="C36" s="3" t="s">
        <v>126</v>
      </c>
      <c r="D36" s="91" t="s">
        <v>1221</v>
      </c>
      <c r="E36" s="131" t="s">
        <v>1422</v>
      </c>
      <c r="F36" s="131" t="s">
        <v>533</v>
      </c>
      <c r="G36" s="131" t="s">
        <v>2472</v>
      </c>
      <c r="H36" s="131" t="s">
        <v>534</v>
      </c>
      <c r="I36" s="131" t="s">
        <v>187</v>
      </c>
      <c r="J36" s="14"/>
      <c r="K36" s="14"/>
    </row>
    <row r="37" spans="1:11">
      <c r="A37" s="2">
        <f>A30+1</f>
        <v>24</v>
      </c>
      <c r="C37" s="62">
        <v>920</v>
      </c>
      <c r="D37" s="1309">
        <f>SUM(E37:H37)</f>
        <v>79001962.263313323</v>
      </c>
      <c r="E37" s="1224">
        <v>-10631360.48</v>
      </c>
      <c r="F37" s="114"/>
      <c r="G37" s="64">
        <f>G58</f>
        <v>89633322.743313327</v>
      </c>
      <c r="H37" s="114"/>
      <c r="I37" s="521" t="s">
        <v>2042</v>
      </c>
      <c r="J37" s="14"/>
    </row>
    <row r="38" spans="1:11">
      <c r="A38" s="2">
        <f>A37+1</f>
        <v>25</v>
      </c>
      <c r="C38" s="62">
        <v>921</v>
      </c>
      <c r="D38" s="1309">
        <f t="shared" ref="D38:D50" si="4">SUM(E38:H38)</f>
        <v>81746.869999999952</v>
      </c>
      <c r="E38" s="1224">
        <v>81746.869999999952</v>
      </c>
      <c r="F38" s="114"/>
      <c r="G38" s="114">
        <v>0</v>
      </c>
      <c r="H38" s="114"/>
      <c r="I38" s="16"/>
    </row>
    <row r="39" spans="1:11">
      <c r="A39" s="2">
        <f t="shared" ref="A39:A50" si="5">A38+1</f>
        <v>26</v>
      </c>
      <c r="C39" s="62">
        <v>922</v>
      </c>
      <c r="D39" s="1309">
        <f t="shared" si="4"/>
        <v>-32115774</v>
      </c>
      <c r="E39" s="1224">
        <v>-8585808</v>
      </c>
      <c r="F39" s="114"/>
      <c r="G39" s="692">
        <v>-23529966</v>
      </c>
      <c r="H39" s="114"/>
      <c r="I39" s="16"/>
    </row>
    <row r="40" spans="1:11">
      <c r="A40" s="2">
        <f t="shared" si="5"/>
        <v>27</v>
      </c>
      <c r="C40" s="62">
        <v>923</v>
      </c>
      <c r="D40" s="1309">
        <f t="shared" si="4"/>
        <v>14967703.915100001</v>
      </c>
      <c r="E40" s="1224">
        <v>14967703.915100001</v>
      </c>
      <c r="F40" s="114"/>
      <c r="G40" s="114">
        <v>0</v>
      </c>
      <c r="H40" s="114"/>
      <c r="I40" s="16"/>
      <c r="J40" s="3"/>
      <c r="K40" s="3"/>
    </row>
    <row r="41" spans="1:11">
      <c r="A41" s="2">
        <f t="shared" si="5"/>
        <v>28</v>
      </c>
      <c r="C41" s="62">
        <v>924</v>
      </c>
      <c r="D41" s="1309">
        <f t="shared" si="4"/>
        <v>0</v>
      </c>
      <c r="E41" s="1224">
        <v>0</v>
      </c>
      <c r="F41" s="114"/>
      <c r="G41" s="114">
        <v>0</v>
      </c>
      <c r="H41" s="114"/>
      <c r="I41" s="16"/>
      <c r="K41" s="7"/>
    </row>
    <row r="42" spans="1:11">
      <c r="A42" s="2">
        <f t="shared" si="5"/>
        <v>29</v>
      </c>
      <c r="C42" s="62">
        <v>925</v>
      </c>
      <c r="D42" s="1309">
        <f t="shared" si="4"/>
        <v>450</v>
      </c>
      <c r="E42" s="1224">
        <v>450</v>
      </c>
      <c r="F42" s="114"/>
      <c r="G42" s="114">
        <v>0</v>
      </c>
      <c r="H42" s="114"/>
      <c r="I42" s="13"/>
      <c r="K42" s="7"/>
    </row>
    <row r="43" spans="1:11">
      <c r="A43" s="2">
        <f t="shared" si="5"/>
        <v>30</v>
      </c>
      <c r="C43" s="62">
        <v>926</v>
      </c>
      <c r="D43" s="1310">
        <f t="shared" si="4"/>
        <v>118018.72530747578</v>
      </c>
      <c r="E43" s="1224">
        <v>22099324.725307476</v>
      </c>
      <c r="F43" s="114"/>
      <c r="G43" s="114">
        <v>0</v>
      </c>
      <c r="H43" s="64">
        <f>E70</f>
        <v>-21981306</v>
      </c>
      <c r="I43" s="13" t="s">
        <v>311</v>
      </c>
      <c r="K43" s="7"/>
    </row>
    <row r="44" spans="1:11">
      <c r="A44" s="2">
        <f t="shared" si="5"/>
        <v>31</v>
      </c>
      <c r="C44" s="62">
        <v>927</v>
      </c>
      <c r="D44" s="1309">
        <f t="shared" si="4"/>
        <v>114123922</v>
      </c>
      <c r="E44" s="820">
        <v>0</v>
      </c>
      <c r="F44" s="517">
        <f>E13</f>
        <v>114123922</v>
      </c>
      <c r="G44" s="64">
        <v>0</v>
      </c>
      <c r="H44" s="64">
        <v>0</v>
      </c>
      <c r="I44" s="16" t="s">
        <v>1047</v>
      </c>
      <c r="K44" s="7"/>
    </row>
    <row r="45" spans="1:11">
      <c r="A45" s="2">
        <f t="shared" si="5"/>
        <v>32</v>
      </c>
      <c r="C45" s="62">
        <v>928</v>
      </c>
      <c r="D45" s="1310">
        <f t="shared" si="4"/>
        <v>33351258.910000004</v>
      </c>
      <c r="E45" s="1224">
        <v>33351258.910000004</v>
      </c>
      <c r="F45" s="114"/>
      <c r="G45" s="114">
        <v>0</v>
      </c>
      <c r="H45" s="114"/>
      <c r="I45" s="16"/>
      <c r="K45" s="7"/>
    </row>
    <row r="46" spans="1:11">
      <c r="A46" s="2">
        <f t="shared" si="5"/>
        <v>33</v>
      </c>
      <c r="C46" s="62">
        <v>929</v>
      </c>
      <c r="D46" s="1309">
        <f t="shared" si="4"/>
        <v>0</v>
      </c>
      <c r="E46" s="1224">
        <v>0</v>
      </c>
      <c r="F46" s="114"/>
      <c r="G46" s="114">
        <v>0</v>
      </c>
      <c r="H46" s="114"/>
      <c r="I46" s="16"/>
      <c r="K46" s="7"/>
    </row>
    <row r="47" spans="1:11">
      <c r="A47" s="2">
        <f t="shared" si="5"/>
        <v>34</v>
      </c>
      <c r="C47" s="62">
        <v>930.1</v>
      </c>
      <c r="D47" s="1309">
        <f t="shared" si="4"/>
        <v>0</v>
      </c>
      <c r="E47" s="1224">
        <v>0</v>
      </c>
      <c r="F47" s="114"/>
      <c r="G47" s="114">
        <v>0</v>
      </c>
      <c r="H47" s="114"/>
      <c r="I47" s="16"/>
      <c r="K47" s="7"/>
    </row>
    <row r="48" spans="1:11">
      <c r="A48" s="2">
        <f t="shared" si="5"/>
        <v>35</v>
      </c>
      <c r="C48" s="62">
        <v>930.2</v>
      </c>
      <c r="D48" s="1310">
        <f t="shared" si="4"/>
        <v>15823899.380000001</v>
      </c>
      <c r="E48" s="1224">
        <v>15823899.380000001</v>
      </c>
      <c r="F48" s="114"/>
      <c r="G48" s="114">
        <v>0</v>
      </c>
      <c r="H48" s="114"/>
      <c r="I48" s="16"/>
      <c r="J48" s="527"/>
    </row>
    <row r="49" spans="1:10">
      <c r="A49" s="2">
        <f t="shared" si="5"/>
        <v>36</v>
      </c>
      <c r="C49" s="62">
        <v>931</v>
      </c>
      <c r="D49" s="1310">
        <f t="shared" si="4"/>
        <v>0</v>
      </c>
      <c r="E49" s="1224">
        <v>0</v>
      </c>
      <c r="F49" s="114"/>
      <c r="G49" s="114">
        <v>0</v>
      </c>
      <c r="H49" s="114"/>
      <c r="I49" s="16"/>
      <c r="J49" s="7"/>
    </row>
    <row r="50" spans="1:10">
      <c r="A50" s="2">
        <f t="shared" si="5"/>
        <v>37</v>
      </c>
      <c r="C50" s="62">
        <v>935</v>
      </c>
      <c r="D50" s="1309">
        <f t="shared" si="4"/>
        <v>27068.07</v>
      </c>
      <c r="E50" s="1224">
        <v>27068.07</v>
      </c>
      <c r="F50" s="114"/>
      <c r="G50" s="114">
        <v>0</v>
      </c>
      <c r="H50" s="114"/>
      <c r="I50" s="16"/>
    </row>
    <row r="51" spans="1:10">
      <c r="B51" s="44" t="s">
        <v>2473</v>
      </c>
      <c r="C51" s="14"/>
      <c r="D51" s="14"/>
      <c r="E51" s="14"/>
      <c r="F51" s="14"/>
      <c r="G51" s="14"/>
      <c r="H51" s="14"/>
    </row>
    <row r="52" spans="1:10">
      <c r="B52" s="44"/>
      <c r="C52" s="14" t="s">
        <v>2474</v>
      </c>
      <c r="D52" s="14"/>
      <c r="E52" s="14"/>
      <c r="F52" s="14"/>
      <c r="G52" s="14"/>
      <c r="H52" s="14"/>
    </row>
    <row r="53" spans="1:10">
      <c r="B53" s="44"/>
      <c r="C53" s="524" t="s">
        <v>2475</v>
      </c>
      <c r="D53" s="14"/>
      <c r="E53" s="14"/>
      <c r="F53" s="14"/>
      <c r="G53" s="117"/>
      <c r="H53" s="117"/>
    </row>
    <row r="54" spans="1:10">
      <c r="B54" s="44"/>
      <c r="C54" s="694" t="s">
        <v>2702</v>
      </c>
      <c r="D54" s="678"/>
      <c r="E54" s="678"/>
      <c r="F54" s="14"/>
      <c r="G54" s="117"/>
      <c r="H54" s="117"/>
    </row>
    <row r="55" spans="1:10">
      <c r="B55" s="44"/>
      <c r="C55" s="14"/>
      <c r="D55" s="14"/>
      <c r="E55" s="14"/>
      <c r="F55" s="14"/>
      <c r="G55" s="131" t="s">
        <v>194</v>
      </c>
      <c r="H55" s="131" t="s">
        <v>198</v>
      </c>
    </row>
    <row r="56" spans="1:10">
      <c r="A56" s="2"/>
      <c r="B56" s="645" t="s">
        <v>1928</v>
      </c>
      <c r="E56" s="14"/>
      <c r="F56" s="1019" t="s">
        <v>2476</v>
      </c>
      <c r="G56" s="557">
        <v>117649827.66</v>
      </c>
      <c r="H56" s="521" t="s">
        <v>33</v>
      </c>
    </row>
    <row r="57" spans="1:10">
      <c r="A57" s="2"/>
      <c r="B57" s="645" t="s">
        <v>1929</v>
      </c>
      <c r="C57" s="12"/>
      <c r="E57" s="14"/>
      <c r="F57" s="1019" t="s">
        <v>2477</v>
      </c>
      <c r="G57" s="109">
        <f>E61</f>
        <v>28016504.916686665</v>
      </c>
      <c r="H57" s="526" t="str">
        <f>"Note 2, "&amp;B61&amp;""</f>
        <v>Note 2, d</v>
      </c>
    </row>
    <row r="58" spans="1:10">
      <c r="A58" s="2"/>
      <c r="B58" s="645" t="s">
        <v>1930</v>
      </c>
      <c r="F58" s="520" t="s">
        <v>1934</v>
      </c>
      <c r="G58" s="64">
        <f>G56-G57</f>
        <v>89633322.743313327</v>
      </c>
    </row>
    <row r="59" spans="1:10">
      <c r="A59" s="2"/>
      <c r="C59" s="694" t="s">
        <v>2701</v>
      </c>
      <c r="D59" s="678"/>
      <c r="E59" s="678"/>
      <c r="G59" s="7"/>
    </row>
    <row r="60" spans="1:10">
      <c r="A60" s="2"/>
      <c r="D60" s="52" t="s">
        <v>1556</v>
      </c>
      <c r="E60" s="3" t="s">
        <v>194</v>
      </c>
      <c r="F60" s="63" t="s">
        <v>198</v>
      </c>
      <c r="G60" s="7"/>
    </row>
    <row r="61" spans="1:10">
      <c r="A61" s="2"/>
      <c r="B61" s="645" t="s">
        <v>1931</v>
      </c>
      <c r="D61" t="s">
        <v>1557</v>
      </c>
      <c r="E61" s="1263">
        <v>28016504.916686665</v>
      </c>
      <c r="F61" s="521" t="s">
        <v>2466</v>
      </c>
      <c r="G61" s="64"/>
      <c r="I61" s="14"/>
    </row>
    <row r="62" spans="1:10">
      <c r="A62" s="2"/>
      <c r="B62" s="117" t="s">
        <v>1932</v>
      </c>
      <c r="C62" s="14"/>
      <c r="D62" s="524" t="s">
        <v>392</v>
      </c>
      <c r="E62" s="1263">
        <v>14148856.680759618</v>
      </c>
      <c r="F62" s="521" t="s">
        <v>2466</v>
      </c>
      <c r="G62" s="64"/>
      <c r="I62" s="682"/>
    </row>
    <row r="63" spans="1:10">
      <c r="A63" s="2"/>
      <c r="B63" s="117" t="s">
        <v>1933</v>
      </c>
      <c r="C63" s="14"/>
      <c r="D63" s="524" t="s">
        <v>2911</v>
      </c>
      <c r="E63" s="1311">
        <v>35799236.865964532</v>
      </c>
      <c r="F63" s="521" t="s">
        <v>2466</v>
      </c>
      <c r="G63" s="64"/>
      <c r="I63" s="64"/>
    </row>
    <row r="64" spans="1:10">
      <c r="A64" s="2"/>
      <c r="B64" s="117" t="s">
        <v>1935</v>
      </c>
      <c r="C64" s="14"/>
      <c r="D64" s="374" t="s">
        <v>4</v>
      </c>
      <c r="E64" s="64">
        <f>SUM(E61:E63)</f>
        <v>77964598.463410825</v>
      </c>
      <c r="F64" s="46" t="str">
        <f>"Sum of "&amp;B61&amp;" to "&amp;B63&amp;""</f>
        <v>Sum of d to f</v>
      </c>
      <c r="G64" s="64"/>
      <c r="I64" s="14"/>
    </row>
    <row r="65" spans="1:10">
      <c r="F65" s="14"/>
      <c r="G65" s="14"/>
    </row>
    <row r="66" spans="1:10">
      <c r="B66" s="1231" t="s">
        <v>539</v>
      </c>
      <c r="C66" s="61"/>
      <c r="D66" s="61"/>
      <c r="E66" s="61"/>
      <c r="F66" s="590"/>
      <c r="G66" s="590"/>
    </row>
    <row r="67" spans="1:10">
      <c r="B67" s="61"/>
      <c r="C67" s="61"/>
      <c r="D67" s="61"/>
      <c r="E67" s="63" t="s">
        <v>194</v>
      </c>
      <c r="F67" s="1228" t="s">
        <v>262</v>
      </c>
      <c r="G67" s="590"/>
    </row>
    <row r="68" spans="1:10">
      <c r="A68" s="2"/>
      <c r="B68" s="204" t="s">
        <v>1928</v>
      </c>
      <c r="C68" s="61"/>
      <c r="D68" s="1229" t="s">
        <v>535</v>
      </c>
      <c r="E68" s="1267">
        <v>45759000</v>
      </c>
      <c r="F68" s="5" t="s">
        <v>541</v>
      </c>
      <c r="G68" s="590"/>
    </row>
    <row r="69" spans="1:10">
      <c r="A69" s="2"/>
      <c r="B69" s="204" t="s">
        <v>1929</v>
      </c>
      <c r="C69" s="61"/>
      <c r="D69" s="1229" t="s">
        <v>536</v>
      </c>
      <c r="E69" s="1230">
        <v>23777694</v>
      </c>
      <c r="F69" s="1048" t="s">
        <v>33</v>
      </c>
      <c r="G69" s="590"/>
    </row>
    <row r="70" spans="1:10">
      <c r="A70" s="2"/>
      <c r="B70" s="204" t="s">
        <v>1930</v>
      </c>
      <c r="C70" s="61"/>
      <c r="D70" s="1229" t="s">
        <v>538</v>
      </c>
      <c r="E70" s="1232">
        <f>E69-E68</f>
        <v>-21981306</v>
      </c>
      <c r="F70" s="1233" t="str">
        <f>""&amp;B69&amp;" - "&amp;B68&amp;""</f>
        <v>b - a</v>
      </c>
      <c r="G70" s="61"/>
    </row>
    <row r="71" spans="1:10">
      <c r="A71" s="514"/>
      <c r="B71" s="1" t="s">
        <v>1638</v>
      </c>
      <c r="D71" s="99"/>
      <c r="E71" s="148"/>
      <c r="F71" s="13"/>
    </row>
    <row r="72" spans="1:10">
      <c r="A72" s="514"/>
      <c r="B72" s="1"/>
      <c r="C72" t="str">
        <f>"Amount in Line "&amp;A44&amp;", column 2 equals amount in Line "&amp;A13&amp;", column 1 because all Franchise Requirements Expenses are excluded"</f>
        <v>Amount in Line 31, column 2 equals amount in Line 8, column 1 because all Franchise Requirements Expenses are excluded</v>
      </c>
      <c r="D72" s="99"/>
      <c r="E72" s="148"/>
      <c r="F72" s="13"/>
    </row>
    <row r="73" spans="1:10">
      <c r="A73" s="514"/>
      <c r="B73" s="1"/>
      <c r="C73" s="12" t="s">
        <v>1639</v>
      </c>
      <c r="D73" s="99"/>
      <c r="E73" s="148"/>
      <c r="F73" s="13"/>
    </row>
    <row r="75" spans="1:10">
      <c r="B75" s="1" t="s">
        <v>420</v>
      </c>
    </row>
    <row r="76" spans="1:10">
      <c r="C76" s="15" t="str">
        <f>"1) Enter amounts of A&amp;G expenses from FERC Form 1 in Lines "&amp;A6&amp;" to "&amp;A19&amp;"."</f>
        <v>1) Enter amounts of A&amp;G expenses from FERC Form 1 in Lines 1 to 14.</v>
      </c>
      <c r="D76" s="14"/>
      <c r="E76" s="14"/>
      <c r="F76" s="14"/>
      <c r="G76" s="14"/>
      <c r="H76" s="14"/>
      <c r="I76" s="14"/>
      <c r="J76" s="14"/>
    </row>
    <row r="77" spans="1:10">
      <c r="C77" s="524" t="s">
        <v>2478</v>
      </c>
      <c r="D77" s="14"/>
      <c r="E77" s="14"/>
      <c r="F77" s="14"/>
      <c r="G77" s="14" t="str">
        <f>"Column 3, Line "&amp;A37&amp;""</f>
        <v>Column 3, Line 24</v>
      </c>
      <c r="H77" s="14"/>
      <c r="I77" s="14"/>
      <c r="J77" s="14"/>
    </row>
    <row r="78" spans="1:10">
      <c r="C78" s="521" t="str">
        <f>"is calculated in Note 2.  The PBOPs exclusion in Column 4, Line "&amp;A43&amp;" is calculated in Note 3."</f>
        <v>is calculated in Note 2.  The PBOPs exclusion in Column 4, Line 30 is calculated in Note 3.</v>
      </c>
      <c r="D78" s="14"/>
      <c r="E78" s="14"/>
      <c r="F78" s="14"/>
      <c r="G78" s="15"/>
      <c r="H78" s="14"/>
      <c r="I78" s="14"/>
      <c r="J78" s="14"/>
    </row>
    <row r="79" spans="1:10">
      <c r="C79" s="521" t="s">
        <v>1908</v>
      </c>
      <c r="D79" s="14"/>
      <c r="E79" s="14"/>
      <c r="F79" s="14"/>
      <c r="G79" s="14"/>
      <c r="H79" s="14"/>
      <c r="I79" s="14"/>
      <c r="J79" s="14"/>
    </row>
    <row r="80" spans="1:10">
      <c r="C80" s="521" t="s">
        <v>2027</v>
      </c>
      <c r="D80" s="374"/>
      <c r="E80" s="517"/>
      <c r="F80" s="46"/>
      <c r="G80" s="14"/>
      <c r="H80" s="14"/>
      <c r="I80" s="14"/>
      <c r="J80" s="14"/>
    </row>
    <row r="81" spans="3:10">
      <c r="C81" s="521" t="s">
        <v>2023</v>
      </c>
      <c r="D81" s="374"/>
      <c r="E81" s="517"/>
      <c r="F81" s="46"/>
      <c r="G81" s="14"/>
      <c r="H81" s="14"/>
      <c r="I81" s="14"/>
      <c r="J81" s="14"/>
    </row>
    <row r="82" spans="3:10">
      <c r="C82" s="521" t="s">
        <v>2024</v>
      </c>
      <c r="D82" s="14"/>
      <c r="E82" s="14"/>
      <c r="F82" s="14"/>
      <c r="G82" s="14"/>
      <c r="H82" s="14"/>
      <c r="I82" s="14"/>
      <c r="J82" s="14"/>
    </row>
    <row r="83" spans="3:10">
      <c r="C83" s="46" t="s">
        <v>540</v>
      </c>
      <c r="D83" s="14"/>
      <c r="E83" s="14"/>
      <c r="F83" s="14"/>
      <c r="G83" s="14"/>
      <c r="H83" s="14"/>
      <c r="I83" s="14"/>
      <c r="J83" s="14"/>
    </row>
    <row r="84" spans="3:10">
      <c r="C84" s="521" t="s">
        <v>2025</v>
      </c>
      <c r="D84" s="14"/>
      <c r="E84" s="14"/>
      <c r="F84" s="14"/>
      <c r="G84" s="14"/>
      <c r="H84" s="14"/>
      <c r="I84" s="14"/>
      <c r="J84" s="14"/>
    </row>
    <row r="85" spans="3:10">
      <c r="C85" s="521" t="s">
        <v>1650</v>
      </c>
      <c r="D85" s="14"/>
      <c r="E85" s="14"/>
      <c r="F85" s="14"/>
      <c r="G85" s="14"/>
      <c r="H85" s="14"/>
      <c r="I85" s="14"/>
      <c r="J85" s="14"/>
    </row>
    <row r="86" spans="3:10">
      <c r="C86" s="521" t="s">
        <v>2026</v>
      </c>
      <c r="D86" s="14"/>
      <c r="E86" s="14"/>
      <c r="F86" s="14"/>
      <c r="G86" s="14"/>
      <c r="H86" s="14"/>
      <c r="I86" s="14"/>
      <c r="J86" s="14"/>
    </row>
    <row r="87" spans="3:10">
      <c r="C87" s="521" t="s">
        <v>2061</v>
      </c>
      <c r="D87" s="524"/>
      <c r="E87" s="1080"/>
      <c r="F87" s="1080"/>
      <c r="G87" s="1080"/>
      <c r="H87" s="14"/>
      <c r="I87" s="14"/>
      <c r="J87" s="14"/>
    </row>
    <row r="88" spans="3:10">
      <c r="C88" s="1022" t="s">
        <v>2059</v>
      </c>
      <c r="D88" s="524"/>
      <c r="E88" s="1080"/>
      <c r="F88" s="1080"/>
      <c r="G88" s="1080"/>
      <c r="H88" s="14"/>
      <c r="I88" s="14"/>
      <c r="J88" s="14"/>
    </row>
    <row r="89" spans="3:10">
      <c r="C89" s="1022" t="s">
        <v>2060</v>
      </c>
      <c r="D89" s="524"/>
      <c r="E89" s="1080"/>
      <c r="F89" s="1080"/>
      <c r="G89" s="1080"/>
      <c r="H89" s="14"/>
      <c r="I89" s="14"/>
      <c r="J89" s="14"/>
    </row>
    <row r="90" spans="3:10">
      <c r="C90" s="1022" t="s">
        <v>2062</v>
      </c>
      <c r="D90" s="524"/>
      <c r="E90" s="1080"/>
      <c r="F90" s="1080"/>
      <c r="G90" s="1080"/>
      <c r="H90" s="14"/>
      <c r="I90" s="14"/>
      <c r="J90" s="14"/>
    </row>
    <row r="91" spans="3:10">
      <c r="C91" s="521" t="s">
        <v>2232</v>
      </c>
      <c r="D91" s="524"/>
      <c r="E91" s="1080"/>
      <c r="F91" s="1080"/>
      <c r="G91" s="1080"/>
      <c r="H91" s="14"/>
      <c r="I91" s="14"/>
      <c r="J91" s="14"/>
    </row>
    <row r="92" spans="3:10">
      <c r="C92" s="1022" t="s">
        <v>2230</v>
      </c>
      <c r="D92" s="524"/>
      <c r="E92" s="1080"/>
      <c r="F92" s="1080"/>
      <c r="G92" s="1080"/>
      <c r="H92" s="14"/>
      <c r="I92" s="14"/>
      <c r="J92" s="14"/>
    </row>
    <row r="93" spans="3:10">
      <c r="C93" s="1022" t="s">
        <v>2231</v>
      </c>
      <c r="D93" s="524"/>
      <c r="E93" s="1080"/>
      <c r="F93" s="1080"/>
      <c r="G93" s="1080"/>
      <c r="H93" s="14"/>
      <c r="I93" s="14"/>
      <c r="J93" s="14"/>
    </row>
    <row r="94" spans="3:10">
      <c r="C94" s="1022" t="s">
        <v>2233</v>
      </c>
      <c r="D94" s="524"/>
      <c r="E94" s="1080"/>
      <c r="F94" s="1080"/>
      <c r="G94" s="1080"/>
      <c r="H94" s="14"/>
      <c r="I94" s="14"/>
      <c r="J94" s="14"/>
    </row>
    <row r="95" spans="3:10">
      <c r="C95" s="1022" t="s">
        <v>2234</v>
      </c>
      <c r="D95" s="524"/>
      <c r="E95" s="1080"/>
      <c r="F95" s="1080"/>
      <c r="G95" s="1080"/>
      <c r="H95" s="14"/>
      <c r="I95" s="14"/>
      <c r="J95" s="14"/>
    </row>
    <row r="96" spans="3:10">
      <c r="C96" s="521" t="s">
        <v>2235</v>
      </c>
      <c r="D96" s="524"/>
      <c r="E96" s="1080"/>
      <c r="F96" s="1080"/>
      <c r="G96" s="1080"/>
      <c r="H96" s="1080"/>
      <c r="I96" s="14"/>
      <c r="J96" s="14"/>
    </row>
    <row r="97" spans="3:10">
      <c r="C97" s="1022" t="s">
        <v>2236</v>
      </c>
      <c r="D97" s="524"/>
      <c r="E97" s="1080"/>
      <c r="F97" s="1080"/>
      <c r="G97" s="1080"/>
      <c r="H97" s="14"/>
      <c r="I97" s="14"/>
      <c r="J97" s="14"/>
    </row>
    <row r="98" spans="3:10">
      <c r="C98" s="1081" t="s">
        <v>2479</v>
      </c>
      <c r="D98" s="524"/>
      <c r="E98" s="1080"/>
      <c r="F98" s="1080"/>
      <c r="G98" s="1080"/>
      <c r="H98" s="14"/>
      <c r="I98" s="14"/>
      <c r="J98" s="14"/>
    </row>
    <row r="99" spans="3:10">
      <c r="C99" s="1081" t="s">
        <v>2480</v>
      </c>
      <c r="D99" s="524"/>
      <c r="E99" s="1080"/>
      <c r="F99" s="1080"/>
      <c r="G99" s="1080"/>
      <c r="H99" s="14"/>
      <c r="I99" s="14"/>
      <c r="J99" s="14"/>
    </row>
    <row r="100" spans="3:10">
      <c r="C100" s="1081" t="s">
        <v>2481</v>
      </c>
      <c r="D100" s="524"/>
      <c r="E100" s="1080"/>
      <c r="F100" s="1080"/>
      <c r="G100" s="1080"/>
      <c r="H100" s="14"/>
      <c r="I100" s="14"/>
      <c r="J100" s="14"/>
    </row>
    <row r="101" spans="3:10">
      <c r="C101" s="1081" t="s">
        <v>2480</v>
      </c>
      <c r="D101" s="524"/>
      <c r="E101" s="1080"/>
      <c r="F101" s="1080"/>
      <c r="G101" s="1080"/>
      <c r="H101" s="14"/>
      <c r="I101" s="14"/>
      <c r="J101" s="14"/>
    </row>
    <row r="102" spans="3:10">
      <c r="C102" s="1081" t="s">
        <v>2482</v>
      </c>
      <c r="D102" s="524"/>
      <c r="E102" s="1080"/>
      <c r="F102" s="1080"/>
      <c r="G102" s="1080"/>
      <c r="H102" s="14"/>
      <c r="I102" s="14"/>
      <c r="J102" s="14"/>
    </row>
    <row r="103" spans="3:10">
      <c r="C103" s="1022" t="s">
        <v>2483</v>
      </c>
      <c r="D103" s="524"/>
      <c r="E103" s="1080"/>
      <c r="F103" s="1080"/>
      <c r="G103" s="1080"/>
      <c r="H103" s="14"/>
      <c r="I103" s="14"/>
      <c r="J103" s="14"/>
    </row>
    <row r="104" spans="3:10">
      <c r="C104" s="1022" t="s">
        <v>2484</v>
      </c>
      <c r="D104" s="524"/>
      <c r="E104" s="1080"/>
      <c r="F104" s="1080"/>
      <c r="G104" s="1080"/>
      <c r="H104" s="14"/>
      <c r="I104" s="14"/>
      <c r="J104" s="14"/>
    </row>
    <row r="105" spans="3:10">
      <c r="C105" s="1082" t="s">
        <v>2485</v>
      </c>
      <c r="D105" s="678"/>
      <c r="E105" s="678"/>
      <c r="F105" s="678"/>
      <c r="G105" s="678"/>
      <c r="H105" s="678"/>
      <c r="I105" s="678"/>
      <c r="J105" s="678"/>
    </row>
    <row r="106" spans="3:10">
      <c r="C106" s="524" t="s">
        <v>2486</v>
      </c>
      <c r="D106" s="14"/>
      <c r="E106" s="14"/>
      <c r="F106" s="14"/>
      <c r="G106" s="14"/>
      <c r="H106" s="14"/>
      <c r="I106" s="14"/>
      <c r="J106" s="14"/>
    </row>
    <row r="107" spans="3:10">
      <c r="C107" s="1082" t="s">
        <v>2487</v>
      </c>
      <c r="D107" s="694"/>
      <c r="E107" s="694"/>
      <c r="F107" s="694"/>
      <c r="G107" s="694"/>
      <c r="H107" s="694"/>
      <c r="I107" s="694"/>
      <c r="J107" s="14"/>
    </row>
    <row r="108" spans="3:10">
      <c r="C108" s="15" t="str">
        <f>"4) Determine the PBOPs exclusion.  The authorized amount of PBOPs expense (line "&amp;B68&amp;") may only be revised"</f>
        <v>4) Determine the PBOPs exclusion.  The authorized amount of PBOPs expense (line a) may only be revised</v>
      </c>
      <c r="D108" s="14"/>
      <c r="E108" s="14"/>
      <c r="F108" s="14"/>
      <c r="G108" s="14"/>
      <c r="H108" s="14"/>
      <c r="I108" s="14"/>
      <c r="J108" s="14"/>
    </row>
    <row r="109" spans="3:10">
      <c r="C109" s="15" t="s">
        <v>1220</v>
      </c>
      <c r="D109" s="14"/>
      <c r="E109" s="14"/>
      <c r="F109" s="14"/>
      <c r="G109" s="14"/>
      <c r="H109" s="14"/>
      <c r="I109" s="14"/>
      <c r="J109" s="14"/>
    </row>
    <row r="110" spans="3:10">
      <c r="C110" s="15" t="s">
        <v>1241</v>
      </c>
      <c r="D110" s="14"/>
      <c r="E110" s="14"/>
      <c r="F110" s="14"/>
      <c r="G110" s="14"/>
      <c r="H110" s="14"/>
      <c r="I110" s="14"/>
      <c r="J110" s="14"/>
    </row>
    <row r="111" spans="3:10">
      <c r="C111" s="524" t="s">
        <v>1998</v>
      </c>
      <c r="D111" s="14"/>
      <c r="E111" s="14"/>
      <c r="F111" s="14"/>
      <c r="G111" s="14"/>
      <c r="H111" s="14"/>
      <c r="I111" s="1241" t="s">
        <v>2990</v>
      </c>
      <c r="J111" s="1258"/>
    </row>
    <row r="112" spans="3:10">
      <c r="C112" s="524" t="s">
        <v>2184</v>
      </c>
      <c r="D112" s="14"/>
      <c r="E112" s="14"/>
      <c r="F112" s="14"/>
      <c r="G112" s="14"/>
      <c r="H112" s="14"/>
      <c r="I112" s="14"/>
    </row>
  </sheetData>
  <phoneticPr fontId="25" type="noConversion"/>
  <pageMargins left="0.75" right="0.75" top="1" bottom="1" header="0.5" footer="0.5"/>
  <pageSetup scale="74" orientation="landscape" cellComments="asDisplayed" r:id="rId1"/>
  <headerFooter alignWithMargins="0">
    <oddHeader>&amp;CSchedule 20
Administrative and General Expenses
&amp;RTO11 Draft Annual Update
Attachment 1</oddHeader>
    <oddFooter>&amp;R&amp;A</oddFooter>
  </headerFooter>
  <rowBreaks count="2" manualBreakCount="2">
    <brk id="50" max="9" man="1"/>
    <brk id="74"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254"/>
  <sheetViews>
    <sheetView zoomScaleNormal="100" zoomScalePageLayoutView="80" workbookViewId="0">
      <selection activeCell="B1" sqref="B1"/>
    </sheetView>
  </sheetViews>
  <sheetFormatPr defaultRowHeight="12.75"/>
  <cols>
    <col min="1" max="1" width="6.28515625" style="234" customWidth="1"/>
    <col min="2" max="2" width="8.5703125" style="40" customWidth="1"/>
    <col min="3" max="3" width="9.85546875" style="234" customWidth="1"/>
    <col min="4" max="4" width="51.5703125" style="40" customWidth="1"/>
    <col min="5" max="5" width="16.28515625" style="368" customWidth="1"/>
    <col min="6" max="6" width="16.140625" style="368" customWidth="1"/>
    <col min="7" max="7" width="18.42578125" style="368" bestFit="1" customWidth="1"/>
    <col min="8" max="8" width="15.85546875" style="232" bestFit="1" customWidth="1"/>
    <col min="9" max="9" width="16.85546875" style="232" bestFit="1" customWidth="1"/>
    <col min="10" max="10" width="15.7109375" style="368" customWidth="1"/>
    <col min="11" max="11" width="6.5703125" style="329" customWidth="1"/>
    <col min="12" max="12" width="16.42578125" style="317" customWidth="1"/>
    <col min="13" max="13" width="17.140625" style="224" bestFit="1" customWidth="1"/>
    <col min="14" max="14" width="18.42578125" style="368" bestFit="1" customWidth="1"/>
    <col min="15" max="15" width="8.5703125" style="224" customWidth="1"/>
  </cols>
  <sheetData>
    <row r="1" spans="1:15">
      <c r="A1" s="349"/>
      <c r="B1" s="205" t="s">
        <v>614</v>
      </c>
      <c r="C1" s="206" t="s">
        <v>615</v>
      </c>
      <c r="D1" s="205" t="s">
        <v>616</v>
      </c>
      <c r="E1" s="206" t="s">
        <v>617</v>
      </c>
      <c r="F1" s="205" t="s">
        <v>618</v>
      </c>
      <c r="G1" s="206" t="s">
        <v>619</v>
      </c>
      <c r="H1" s="205" t="s">
        <v>620</v>
      </c>
      <c r="I1" s="206" t="s">
        <v>621</v>
      </c>
      <c r="J1" s="205" t="s">
        <v>622</v>
      </c>
      <c r="K1" s="206" t="s">
        <v>623</v>
      </c>
      <c r="L1" s="205" t="s">
        <v>624</v>
      </c>
      <c r="M1" s="206" t="s">
        <v>625</v>
      </c>
      <c r="N1" s="205" t="s">
        <v>626</v>
      </c>
      <c r="O1" s="206" t="s">
        <v>627</v>
      </c>
    </row>
    <row r="2" spans="1:15">
      <c r="A2" s="346"/>
      <c r="B2" s="347"/>
      <c r="C2" s="347"/>
      <c r="D2" s="347"/>
      <c r="E2" s="348"/>
      <c r="F2" s="348"/>
      <c r="G2" s="1452" t="s">
        <v>628</v>
      </c>
      <c r="H2" s="1453"/>
      <c r="I2" s="1454"/>
      <c r="J2" s="1452" t="s">
        <v>629</v>
      </c>
      <c r="K2" s="1453"/>
      <c r="L2" s="1453"/>
      <c r="M2" s="1454"/>
      <c r="N2" s="332" t="s">
        <v>630</v>
      </c>
      <c r="O2" s="346"/>
    </row>
    <row r="3" spans="1:15" ht="25.5">
      <c r="A3" s="207" t="s">
        <v>360</v>
      </c>
      <c r="B3" s="208" t="s">
        <v>631</v>
      </c>
      <c r="C3" s="209" t="s">
        <v>632</v>
      </c>
      <c r="D3" s="208" t="s">
        <v>633</v>
      </c>
      <c r="E3" s="308" t="s">
        <v>634</v>
      </c>
      <c r="F3" s="309" t="s">
        <v>635</v>
      </c>
      <c r="G3" s="309" t="s">
        <v>215</v>
      </c>
      <c r="H3" s="210" t="s">
        <v>478</v>
      </c>
      <c r="I3" s="210" t="s">
        <v>636</v>
      </c>
      <c r="J3" s="308" t="s">
        <v>215</v>
      </c>
      <c r="K3" s="328" t="s">
        <v>637</v>
      </c>
      <c r="L3" s="311" t="s">
        <v>638</v>
      </c>
      <c r="M3" s="211" t="s">
        <v>327</v>
      </c>
      <c r="N3" s="308" t="s">
        <v>215</v>
      </c>
      <c r="O3" s="211" t="s">
        <v>187</v>
      </c>
    </row>
    <row r="4" spans="1:15">
      <c r="A4" s="212" t="s">
        <v>639</v>
      </c>
      <c r="B4" s="213">
        <v>450</v>
      </c>
      <c r="C4" s="213" t="s">
        <v>640</v>
      </c>
      <c r="D4" s="214" t="s">
        <v>1336</v>
      </c>
      <c r="E4" s="1400">
        <v>6591989.8799999999</v>
      </c>
      <c r="F4" s="315" t="str">
        <f>$G$2</f>
        <v>Traditional OOR</v>
      </c>
      <c r="G4" s="1417">
        <f>IF(F4=$G$2,E4,0)</f>
        <v>6591989.8799999999</v>
      </c>
      <c r="H4" s="1418">
        <v>0</v>
      </c>
      <c r="I4" s="1418">
        <f>G4-H4</f>
        <v>6591989.8799999999</v>
      </c>
      <c r="J4" s="1417">
        <f>IF(F4=$J$2,E4,0)</f>
        <v>0</v>
      </c>
      <c r="K4" s="1417"/>
      <c r="L4" s="1400"/>
      <c r="M4" s="1419">
        <f>J4-L4</f>
        <v>0</v>
      </c>
      <c r="N4" s="1417">
        <f>IF(F4=$N$2,E4,0)</f>
        <v>0</v>
      </c>
      <c r="O4" s="215">
        <v>1</v>
      </c>
    </row>
    <row r="5" spans="1:15">
      <c r="A5" s="216" t="s">
        <v>641</v>
      </c>
      <c r="B5" s="213">
        <v>450</v>
      </c>
      <c r="C5" s="217" t="s">
        <v>642</v>
      </c>
      <c r="D5" s="214" t="s">
        <v>643</v>
      </c>
      <c r="E5" s="1400">
        <v>11085585.529999999</v>
      </c>
      <c r="F5" s="315" t="str">
        <f>$G$2</f>
        <v>Traditional OOR</v>
      </c>
      <c r="G5" s="1417">
        <f>IF(F5=$G$2,E5,0)</f>
        <v>11085585.529999999</v>
      </c>
      <c r="H5" s="1418">
        <v>0</v>
      </c>
      <c r="I5" s="1418">
        <f>G5-H5</f>
        <v>11085585.529999999</v>
      </c>
      <c r="J5" s="1417">
        <f>IF(F5=$J$2,E5,0)</f>
        <v>0</v>
      </c>
      <c r="K5" s="1417"/>
      <c r="L5" s="1400"/>
      <c r="M5" s="1419">
        <f>J5-L5</f>
        <v>0</v>
      </c>
      <c r="N5" s="1417">
        <f>IF(F5=$N$2,E5,0)</f>
        <v>0</v>
      </c>
      <c r="O5" s="218">
        <v>1</v>
      </c>
    </row>
    <row r="6" spans="1:15">
      <c r="A6" s="216" t="s">
        <v>644</v>
      </c>
      <c r="B6" s="213">
        <v>450</v>
      </c>
      <c r="C6" s="217" t="s">
        <v>645</v>
      </c>
      <c r="D6" s="214" t="s">
        <v>646</v>
      </c>
      <c r="E6" s="1401">
        <v>0</v>
      </c>
      <c r="F6" s="315" t="str">
        <f>$G$2</f>
        <v>Traditional OOR</v>
      </c>
      <c r="G6" s="1417">
        <f>IF(F6=$G$2,E6,0)</f>
        <v>0</v>
      </c>
      <c r="H6" s="1418">
        <v>0</v>
      </c>
      <c r="I6" s="1418">
        <f>G6-H6</f>
        <v>0</v>
      </c>
      <c r="J6" s="1417">
        <f>IF(F6=$J$2,E6,0)</f>
        <v>0</v>
      </c>
      <c r="K6" s="1417"/>
      <c r="L6" s="1400"/>
      <c r="M6" s="1419">
        <f>J6-L6</f>
        <v>0</v>
      </c>
      <c r="N6" s="1417">
        <f>IF(F6=$N$2,E6,0)</f>
        <v>0</v>
      </c>
      <c r="O6" s="218">
        <v>1</v>
      </c>
    </row>
    <row r="7" spans="1:15">
      <c r="A7" s="345"/>
      <c r="B7" s="341"/>
      <c r="C7" s="340"/>
      <c r="D7" s="342"/>
      <c r="E7" s="1401"/>
      <c r="F7" s="323"/>
      <c r="G7" s="1400"/>
      <c r="H7" s="1399"/>
      <c r="I7" s="1399"/>
      <c r="J7" s="1400"/>
      <c r="K7" s="1400"/>
      <c r="L7" s="1400"/>
      <c r="M7" s="1399"/>
      <c r="N7" s="1400"/>
      <c r="O7" s="320"/>
    </row>
    <row r="8" spans="1:15">
      <c r="A8" s="345"/>
      <c r="B8" s="341"/>
      <c r="C8" s="340"/>
      <c r="D8" s="342"/>
      <c r="E8" s="1401"/>
      <c r="F8" s="323"/>
      <c r="G8" s="1400"/>
      <c r="H8" s="1399"/>
      <c r="I8" s="1399"/>
      <c r="J8" s="1400"/>
      <c r="K8" s="1400"/>
      <c r="L8" s="1400"/>
      <c r="M8" s="1399"/>
      <c r="N8" s="1400"/>
      <c r="O8" s="320"/>
    </row>
    <row r="9" spans="1:15">
      <c r="A9" s="216">
        <v>2</v>
      </c>
      <c r="B9" s="1463" t="s">
        <v>647</v>
      </c>
      <c r="C9" s="1461"/>
      <c r="D9" s="1462"/>
      <c r="E9" s="1402">
        <f>SUM(E4:E8)</f>
        <v>17677575.41</v>
      </c>
      <c r="F9" s="335"/>
      <c r="G9" s="1402">
        <f>SUM(G4:G8)</f>
        <v>17677575.41</v>
      </c>
      <c r="H9" s="1420">
        <f>SUM(H4:H8)</f>
        <v>0</v>
      </c>
      <c r="I9" s="1405">
        <f>SUM(I4:I8)</f>
        <v>17677575.41</v>
      </c>
      <c r="J9" s="1402">
        <f>SUM(J4:J8)</f>
        <v>0</v>
      </c>
      <c r="K9" s="1421"/>
      <c r="L9" s="1402">
        <f>SUM(L4:L8)</f>
        <v>0</v>
      </c>
      <c r="M9" s="1402">
        <f>SUM(M4:M8)</f>
        <v>0</v>
      </c>
      <c r="N9" s="1402">
        <f>SUM(N4:N8)</f>
        <v>0</v>
      </c>
      <c r="O9" s="218"/>
    </row>
    <row r="10" spans="1:15" ht="12.75" customHeight="1">
      <c r="A10" s="216">
        <v>3</v>
      </c>
      <c r="B10" s="1455" t="s">
        <v>1374</v>
      </c>
      <c r="C10" s="1456"/>
      <c r="D10" s="1457"/>
      <c r="E10" s="1403">
        <v>17677575</v>
      </c>
      <c r="F10" s="326"/>
      <c r="G10" s="314"/>
      <c r="H10" s="326"/>
      <c r="I10" s="326"/>
      <c r="J10" s="314"/>
      <c r="K10" s="326"/>
      <c r="L10" s="314"/>
      <c r="M10" s="314"/>
      <c r="N10" s="314"/>
      <c r="O10" s="204"/>
    </row>
    <row r="11" spans="1:15">
      <c r="A11" s="219"/>
      <c r="B11" s="220"/>
      <c r="C11" s="221"/>
      <c r="D11" s="222"/>
      <c r="E11" s="314"/>
      <c r="F11" s="314"/>
      <c r="G11" s="314"/>
      <c r="H11" s="326"/>
      <c r="I11" s="326"/>
      <c r="J11" s="314"/>
      <c r="K11" s="326"/>
      <c r="L11" s="314"/>
      <c r="M11" s="314"/>
      <c r="N11" s="314"/>
      <c r="O11" s="204"/>
    </row>
    <row r="12" spans="1:15">
      <c r="A12" s="216" t="s">
        <v>648</v>
      </c>
      <c r="B12" s="213">
        <v>451</v>
      </c>
      <c r="C12" s="217" t="s">
        <v>649</v>
      </c>
      <c r="D12" s="214" t="s">
        <v>650</v>
      </c>
      <c r="E12" s="1404">
        <v>103089.37</v>
      </c>
      <c r="F12" s="315" t="str">
        <f t="shared" ref="F12:F17" si="0">$G$2</f>
        <v>Traditional OOR</v>
      </c>
      <c r="G12" s="1417">
        <f t="shared" ref="G12:G28" si="1">IF(F12=$G$2,E12,0)</f>
        <v>103089.37</v>
      </c>
      <c r="H12" s="1418">
        <v>0</v>
      </c>
      <c r="I12" s="1418">
        <f t="shared" ref="I12:I28" si="2">G12-H12</f>
        <v>103089.37</v>
      </c>
      <c r="J12" s="1417">
        <f t="shared" ref="J12:J28" si="3">IF(F12=$J$2,E12,0)</f>
        <v>0</v>
      </c>
      <c r="K12" s="1417"/>
      <c r="L12" s="1399"/>
      <c r="M12" s="1419">
        <f t="shared" ref="M12:M18" si="4">J12-L12</f>
        <v>0</v>
      </c>
      <c r="N12" s="1417">
        <f t="shared" ref="N12:N28" si="5">IF(F12=$N$2,E12,0)</f>
        <v>0</v>
      </c>
      <c r="O12" s="218">
        <v>1</v>
      </c>
    </row>
    <row r="13" spans="1:15">
      <c r="A13" s="216" t="s">
        <v>651</v>
      </c>
      <c r="B13" s="213">
        <v>451</v>
      </c>
      <c r="C13" s="217" t="s">
        <v>652</v>
      </c>
      <c r="D13" s="214" t="s">
        <v>653</v>
      </c>
      <c r="E13" s="1404">
        <v>534668.04</v>
      </c>
      <c r="F13" s="315" t="str">
        <f t="shared" si="0"/>
        <v>Traditional OOR</v>
      </c>
      <c r="G13" s="1417">
        <f t="shared" si="1"/>
        <v>534668.04</v>
      </c>
      <c r="H13" s="1418">
        <v>0</v>
      </c>
      <c r="I13" s="1418">
        <f t="shared" si="2"/>
        <v>534668.04</v>
      </c>
      <c r="J13" s="1417">
        <f t="shared" si="3"/>
        <v>0</v>
      </c>
      <c r="K13" s="1417"/>
      <c r="L13" s="1399"/>
      <c r="M13" s="1419">
        <f t="shared" si="4"/>
        <v>0</v>
      </c>
      <c r="N13" s="1417">
        <f t="shared" si="5"/>
        <v>0</v>
      </c>
      <c r="O13" s="218">
        <v>1</v>
      </c>
    </row>
    <row r="14" spans="1:15">
      <c r="A14" s="216" t="s">
        <v>654</v>
      </c>
      <c r="B14" s="213">
        <v>451</v>
      </c>
      <c r="C14" s="217" t="s">
        <v>655</v>
      </c>
      <c r="D14" s="214" t="s">
        <v>656</v>
      </c>
      <c r="E14" s="1404">
        <v>0</v>
      </c>
      <c r="F14" s="315" t="str">
        <f t="shared" si="0"/>
        <v>Traditional OOR</v>
      </c>
      <c r="G14" s="1417">
        <f t="shared" si="1"/>
        <v>0</v>
      </c>
      <c r="H14" s="1418">
        <v>0</v>
      </c>
      <c r="I14" s="1418">
        <f t="shared" si="2"/>
        <v>0</v>
      </c>
      <c r="J14" s="1417">
        <f t="shared" si="3"/>
        <v>0</v>
      </c>
      <c r="K14" s="1417"/>
      <c r="L14" s="1399"/>
      <c r="M14" s="1419">
        <f t="shared" si="4"/>
        <v>0</v>
      </c>
      <c r="N14" s="1417">
        <f t="shared" si="5"/>
        <v>0</v>
      </c>
      <c r="O14" s="218">
        <v>1</v>
      </c>
    </row>
    <row r="15" spans="1:15">
      <c r="A15" s="216" t="s">
        <v>657</v>
      </c>
      <c r="B15" s="213">
        <v>451</v>
      </c>
      <c r="C15" s="217" t="s">
        <v>658</v>
      </c>
      <c r="D15" s="214" t="s">
        <v>659</v>
      </c>
      <c r="E15" s="1404">
        <v>1510177.63</v>
      </c>
      <c r="F15" s="315" t="str">
        <f t="shared" si="0"/>
        <v>Traditional OOR</v>
      </c>
      <c r="G15" s="1417">
        <f t="shared" si="1"/>
        <v>1510177.63</v>
      </c>
      <c r="H15" s="1418">
        <v>0</v>
      </c>
      <c r="I15" s="1418">
        <f t="shared" si="2"/>
        <v>1510177.63</v>
      </c>
      <c r="J15" s="1417">
        <f t="shared" si="3"/>
        <v>0</v>
      </c>
      <c r="K15" s="1417"/>
      <c r="L15" s="1399"/>
      <c r="M15" s="1419">
        <f t="shared" si="4"/>
        <v>0</v>
      </c>
      <c r="N15" s="1417">
        <f t="shared" si="5"/>
        <v>0</v>
      </c>
      <c r="O15" s="218">
        <v>1</v>
      </c>
    </row>
    <row r="16" spans="1:15">
      <c r="A16" s="216" t="s">
        <v>660</v>
      </c>
      <c r="B16" s="213">
        <v>451</v>
      </c>
      <c r="C16" s="217" t="s">
        <v>661</v>
      </c>
      <c r="D16" s="214" t="s">
        <v>662</v>
      </c>
      <c r="E16" s="1404">
        <v>20452.18</v>
      </c>
      <c r="F16" s="315" t="str">
        <f t="shared" si="0"/>
        <v>Traditional OOR</v>
      </c>
      <c r="G16" s="1417">
        <f t="shared" si="1"/>
        <v>20452.18</v>
      </c>
      <c r="H16" s="1418">
        <v>0</v>
      </c>
      <c r="I16" s="1418">
        <f t="shared" si="2"/>
        <v>20452.18</v>
      </c>
      <c r="J16" s="1417">
        <f t="shared" si="3"/>
        <v>0</v>
      </c>
      <c r="K16" s="1417"/>
      <c r="L16" s="1399"/>
      <c r="M16" s="1419">
        <f t="shared" si="4"/>
        <v>0</v>
      </c>
      <c r="N16" s="1417">
        <f t="shared" si="5"/>
        <v>0</v>
      </c>
      <c r="O16" s="218">
        <v>1</v>
      </c>
    </row>
    <row r="17" spans="1:15">
      <c r="A17" s="216" t="s">
        <v>663</v>
      </c>
      <c r="B17" s="213">
        <v>451</v>
      </c>
      <c r="C17" s="217" t="s">
        <v>664</v>
      </c>
      <c r="D17" s="214" t="s">
        <v>665</v>
      </c>
      <c r="E17" s="1404">
        <v>736.17</v>
      </c>
      <c r="F17" s="315" t="str">
        <f t="shared" si="0"/>
        <v>Traditional OOR</v>
      </c>
      <c r="G17" s="1417">
        <f t="shared" si="1"/>
        <v>736.17</v>
      </c>
      <c r="H17" s="1418">
        <v>0</v>
      </c>
      <c r="I17" s="1418">
        <f t="shared" si="2"/>
        <v>736.17</v>
      </c>
      <c r="J17" s="1417">
        <f t="shared" si="3"/>
        <v>0</v>
      </c>
      <c r="K17" s="1417"/>
      <c r="L17" s="1399"/>
      <c r="M17" s="1419">
        <f t="shared" si="4"/>
        <v>0</v>
      </c>
      <c r="N17" s="1417">
        <f t="shared" si="5"/>
        <v>0</v>
      </c>
      <c r="O17" s="218">
        <v>1</v>
      </c>
    </row>
    <row r="18" spans="1:15">
      <c r="A18" s="216" t="s">
        <v>666</v>
      </c>
      <c r="B18" s="213">
        <v>451</v>
      </c>
      <c r="C18" s="217" t="s">
        <v>667</v>
      </c>
      <c r="D18" s="214" t="s">
        <v>668</v>
      </c>
      <c r="E18" s="1404">
        <v>107.82</v>
      </c>
      <c r="F18" s="315" t="str">
        <f>$G$2</f>
        <v>Traditional OOR</v>
      </c>
      <c r="G18" s="1417">
        <f t="shared" si="1"/>
        <v>107.82</v>
      </c>
      <c r="H18" s="1418">
        <v>0</v>
      </c>
      <c r="I18" s="1418">
        <f t="shared" si="2"/>
        <v>107.82</v>
      </c>
      <c r="J18" s="1417">
        <f t="shared" si="3"/>
        <v>0</v>
      </c>
      <c r="K18" s="1417"/>
      <c r="L18" s="1399"/>
      <c r="M18" s="1419">
        <f t="shared" si="4"/>
        <v>0</v>
      </c>
      <c r="N18" s="1417">
        <f t="shared" si="5"/>
        <v>0</v>
      </c>
      <c r="O18" s="218">
        <v>1</v>
      </c>
    </row>
    <row r="19" spans="1:15">
      <c r="A19" s="216" t="s">
        <v>669</v>
      </c>
      <c r="B19" s="213">
        <v>451</v>
      </c>
      <c r="C19" s="217" t="s">
        <v>670</v>
      </c>
      <c r="D19" s="214" t="s">
        <v>671</v>
      </c>
      <c r="E19" s="1404">
        <v>49.57</v>
      </c>
      <c r="F19" s="315" t="str">
        <f>$J$2</f>
        <v>GRSM</v>
      </c>
      <c r="G19" s="1417">
        <f t="shared" si="1"/>
        <v>0</v>
      </c>
      <c r="H19" s="1418">
        <v>0</v>
      </c>
      <c r="I19" s="1418">
        <f t="shared" si="2"/>
        <v>0</v>
      </c>
      <c r="J19" s="1417">
        <f t="shared" si="3"/>
        <v>49.57</v>
      </c>
      <c r="K19" s="1415" t="s">
        <v>672</v>
      </c>
      <c r="L19" s="1399">
        <v>-25.43</v>
      </c>
      <c r="M19" s="1419">
        <f>J19-L19</f>
        <v>75</v>
      </c>
      <c r="N19" s="1417">
        <f t="shared" si="5"/>
        <v>0</v>
      </c>
      <c r="O19" s="218">
        <v>2</v>
      </c>
    </row>
    <row r="20" spans="1:15">
      <c r="A20" s="216" t="s">
        <v>673</v>
      </c>
      <c r="B20" s="213">
        <v>451</v>
      </c>
      <c r="C20" s="217" t="s">
        <v>674</v>
      </c>
      <c r="D20" s="214" t="s">
        <v>675</v>
      </c>
      <c r="E20" s="1404">
        <v>229441.43</v>
      </c>
      <c r="F20" s="315" t="str">
        <f>$N$2</f>
        <v>Other Ratemaking</v>
      </c>
      <c r="G20" s="1417">
        <f t="shared" si="1"/>
        <v>0</v>
      </c>
      <c r="H20" s="1418">
        <v>0</v>
      </c>
      <c r="I20" s="1418">
        <f t="shared" si="2"/>
        <v>0</v>
      </c>
      <c r="J20" s="1417">
        <f t="shared" si="3"/>
        <v>0</v>
      </c>
      <c r="K20" s="1417"/>
      <c r="L20" s="1399"/>
      <c r="M20" s="1419">
        <f>J20-L20</f>
        <v>0</v>
      </c>
      <c r="N20" s="1417">
        <f t="shared" si="5"/>
        <v>229441.43</v>
      </c>
      <c r="O20" s="218">
        <v>6</v>
      </c>
    </row>
    <row r="21" spans="1:15">
      <c r="A21" s="212" t="s">
        <v>2558</v>
      </c>
      <c r="B21" s="213">
        <v>451</v>
      </c>
      <c r="C21" s="213">
        <v>4182120</v>
      </c>
      <c r="D21" s="229" t="s">
        <v>2559</v>
      </c>
      <c r="E21" s="1404">
        <v>3003.16</v>
      </c>
      <c r="F21" s="315" t="str">
        <f>$G$2</f>
        <v>Traditional OOR</v>
      </c>
      <c r="G21" s="1417">
        <f t="shared" si="1"/>
        <v>3003.16</v>
      </c>
      <c r="H21" s="1418">
        <v>0</v>
      </c>
      <c r="I21" s="1418">
        <f t="shared" si="2"/>
        <v>3003.16</v>
      </c>
      <c r="J21" s="1417">
        <f t="shared" si="3"/>
        <v>0</v>
      </c>
      <c r="K21" s="1417"/>
      <c r="L21" s="1399"/>
      <c r="M21" s="1418">
        <f t="shared" ref="M21:M28" si="6">J21-L21</f>
        <v>0</v>
      </c>
      <c r="N21" s="1417">
        <f t="shared" si="5"/>
        <v>0</v>
      </c>
      <c r="O21" s="215">
        <v>1</v>
      </c>
    </row>
    <row r="22" spans="1:15">
      <c r="A22" s="212" t="s">
        <v>2560</v>
      </c>
      <c r="B22" s="213">
        <v>451</v>
      </c>
      <c r="C22" s="213">
        <v>4192152</v>
      </c>
      <c r="D22" s="229" t="s">
        <v>2561</v>
      </c>
      <c r="E22" s="1404">
        <v>3040</v>
      </c>
      <c r="F22" s="315" t="str">
        <f>$N$2</f>
        <v>Other Ratemaking</v>
      </c>
      <c r="G22" s="1417">
        <f t="shared" si="1"/>
        <v>0</v>
      </c>
      <c r="H22" s="1418">
        <v>0</v>
      </c>
      <c r="I22" s="1418">
        <f t="shared" si="2"/>
        <v>0</v>
      </c>
      <c r="J22" s="1417">
        <f t="shared" si="3"/>
        <v>0</v>
      </c>
      <c r="K22" s="1417"/>
      <c r="L22" s="1399"/>
      <c r="M22" s="1418">
        <f t="shared" si="6"/>
        <v>0</v>
      </c>
      <c r="N22" s="1417">
        <f t="shared" si="5"/>
        <v>3040</v>
      </c>
      <c r="O22" s="215">
        <v>1</v>
      </c>
    </row>
    <row r="23" spans="1:15">
      <c r="A23" s="212" t="s">
        <v>2562</v>
      </c>
      <c r="B23" s="213">
        <v>451</v>
      </c>
      <c r="C23" s="213">
        <v>4192155</v>
      </c>
      <c r="D23" s="229" t="s">
        <v>2563</v>
      </c>
      <c r="E23" s="1404">
        <v>242820</v>
      </c>
      <c r="F23" s="315" t="str">
        <f>$N$2</f>
        <v>Other Ratemaking</v>
      </c>
      <c r="G23" s="1417">
        <f t="shared" si="1"/>
        <v>0</v>
      </c>
      <c r="H23" s="1418">
        <v>0</v>
      </c>
      <c r="I23" s="1418">
        <f t="shared" si="2"/>
        <v>0</v>
      </c>
      <c r="J23" s="1417">
        <f t="shared" si="3"/>
        <v>0</v>
      </c>
      <c r="K23" s="1417"/>
      <c r="L23" s="1399"/>
      <c r="M23" s="1418">
        <f t="shared" si="6"/>
        <v>0</v>
      </c>
      <c r="N23" s="1417">
        <f t="shared" si="5"/>
        <v>242820</v>
      </c>
      <c r="O23" s="215">
        <v>1</v>
      </c>
    </row>
    <row r="24" spans="1:15">
      <c r="A24" s="212" t="s">
        <v>2564</v>
      </c>
      <c r="B24" s="213">
        <v>451</v>
      </c>
      <c r="C24" s="213">
        <v>4192158</v>
      </c>
      <c r="D24" s="229" t="s">
        <v>2565</v>
      </c>
      <c r="E24" s="1404">
        <v>85500</v>
      </c>
      <c r="F24" s="315" t="str">
        <f>$N$2</f>
        <v>Other Ratemaking</v>
      </c>
      <c r="G24" s="1417">
        <f t="shared" si="1"/>
        <v>0</v>
      </c>
      <c r="H24" s="1418">
        <v>0</v>
      </c>
      <c r="I24" s="1418">
        <f t="shared" si="2"/>
        <v>0</v>
      </c>
      <c r="J24" s="1417">
        <f t="shared" si="3"/>
        <v>0</v>
      </c>
      <c r="K24" s="1417"/>
      <c r="L24" s="1399"/>
      <c r="M24" s="1418">
        <f t="shared" si="6"/>
        <v>0</v>
      </c>
      <c r="N24" s="1417">
        <f t="shared" si="5"/>
        <v>85500</v>
      </c>
      <c r="O24" s="215">
        <v>1</v>
      </c>
    </row>
    <row r="25" spans="1:15">
      <c r="A25" s="212" t="s">
        <v>2566</v>
      </c>
      <c r="B25" s="213">
        <v>451</v>
      </c>
      <c r="C25" s="213">
        <v>4192160</v>
      </c>
      <c r="D25" s="229" t="s">
        <v>2567</v>
      </c>
      <c r="E25" s="1404">
        <v>1647415</v>
      </c>
      <c r="F25" s="315" t="str">
        <f>$N$2</f>
        <v>Other Ratemaking</v>
      </c>
      <c r="G25" s="1417">
        <f t="shared" si="1"/>
        <v>0</v>
      </c>
      <c r="H25" s="1418">
        <v>0</v>
      </c>
      <c r="I25" s="1418">
        <f t="shared" si="2"/>
        <v>0</v>
      </c>
      <c r="J25" s="1417">
        <f t="shared" si="3"/>
        <v>0</v>
      </c>
      <c r="K25" s="1417"/>
      <c r="L25" s="1399"/>
      <c r="M25" s="1418">
        <f t="shared" si="6"/>
        <v>0</v>
      </c>
      <c r="N25" s="1417">
        <f t="shared" si="5"/>
        <v>1647415</v>
      </c>
      <c r="O25" s="215">
        <v>1</v>
      </c>
    </row>
    <row r="26" spans="1:15" s="1189" customFormat="1">
      <c r="A26" s="212" t="s">
        <v>2758</v>
      </c>
      <c r="B26" s="213">
        <v>451</v>
      </c>
      <c r="C26" s="213">
        <v>4192135</v>
      </c>
      <c r="D26" s="1210" t="s">
        <v>2759</v>
      </c>
      <c r="E26" s="1404">
        <v>6784262.3600000003</v>
      </c>
      <c r="F26" s="632" t="str">
        <f>$G$2</f>
        <v>Traditional OOR</v>
      </c>
      <c r="G26" s="1417">
        <f t="shared" si="1"/>
        <v>6784262.3600000003</v>
      </c>
      <c r="H26" s="1418">
        <v>0</v>
      </c>
      <c r="I26" s="1418">
        <f t="shared" si="2"/>
        <v>6784262.3600000003</v>
      </c>
      <c r="J26" s="1417">
        <f t="shared" si="3"/>
        <v>0</v>
      </c>
      <c r="K26" s="1417"/>
      <c r="L26" s="1399"/>
      <c r="M26" s="1418">
        <f t="shared" si="6"/>
        <v>0</v>
      </c>
      <c r="N26" s="1417">
        <f t="shared" si="5"/>
        <v>0</v>
      </c>
      <c r="O26" s="215">
        <v>1</v>
      </c>
    </row>
    <row r="27" spans="1:15" s="1189" customFormat="1">
      <c r="A27" s="212" t="s">
        <v>2760</v>
      </c>
      <c r="B27" s="213">
        <v>451</v>
      </c>
      <c r="C27" s="213">
        <v>4192145</v>
      </c>
      <c r="D27" s="1210" t="s">
        <v>2761</v>
      </c>
      <c r="E27" s="1404">
        <v>3312222.61</v>
      </c>
      <c r="F27" s="632" t="str">
        <f>$G$2</f>
        <v>Traditional OOR</v>
      </c>
      <c r="G27" s="1417">
        <f t="shared" si="1"/>
        <v>3312222.61</v>
      </c>
      <c r="H27" s="1418">
        <v>0</v>
      </c>
      <c r="I27" s="1418">
        <f t="shared" si="2"/>
        <v>3312222.61</v>
      </c>
      <c r="J27" s="1417">
        <f t="shared" si="3"/>
        <v>0</v>
      </c>
      <c r="K27" s="1417"/>
      <c r="L27" s="1399"/>
      <c r="M27" s="1418">
        <f t="shared" si="6"/>
        <v>0</v>
      </c>
      <c r="N27" s="1417">
        <f t="shared" si="5"/>
        <v>0</v>
      </c>
      <c r="O27" s="215">
        <v>1</v>
      </c>
    </row>
    <row r="28" spans="1:15" s="1189" customFormat="1">
      <c r="A28" s="212" t="s">
        <v>2762</v>
      </c>
      <c r="B28" s="213">
        <v>451</v>
      </c>
      <c r="C28" s="213">
        <v>4192150</v>
      </c>
      <c r="D28" s="1210" t="s">
        <v>2763</v>
      </c>
      <c r="E28" s="1404">
        <v>14042</v>
      </c>
      <c r="F28" s="632" t="str">
        <f>$G$2</f>
        <v>Traditional OOR</v>
      </c>
      <c r="G28" s="1417">
        <f t="shared" si="1"/>
        <v>14042</v>
      </c>
      <c r="H28" s="1418">
        <v>0</v>
      </c>
      <c r="I28" s="1418">
        <f t="shared" si="2"/>
        <v>14042</v>
      </c>
      <c r="J28" s="1417">
        <f t="shared" si="3"/>
        <v>0</v>
      </c>
      <c r="K28" s="1417"/>
      <c r="L28" s="1399"/>
      <c r="M28" s="1418">
        <f t="shared" si="6"/>
        <v>0</v>
      </c>
      <c r="N28" s="1417">
        <f t="shared" si="5"/>
        <v>0</v>
      </c>
      <c r="O28" s="215">
        <v>1</v>
      </c>
    </row>
    <row r="29" spans="1:15">
      <c r="A29" s="345"/>
      <c r="B29" s="341"/>
      <c r="C29" s="341"/>
      <c r="D29" s="829"/>
      <c r="E29" s="1400"/>
      <c r="F29" s="319"/>
      <c r="G29" s="1400"/>
      <c r="H29" s="1399"/>
      <c r="I29" s="1399"/>
      <c r="J29" s="1400"/>
      <c r="K29" s="1400"/>
      <c r="L29" s="1399"/>
      <c r="M29" s="1399"/>
      <c r="N29" s="1400"/>
      <c r="O29" s="320"/>
    </row>
    <row r="30" spans="1:15">
      <c r="A30" s="345"/>
      <c r="B30" s="341"/>
      <c r="C30" s="340"/>
      <c r="D30" s="829"/>
      <c r="E30" s="1400"/>
      <c r="F30" s="319"/>
      <c r="G30" s="1400"/>
      <c r="H30" s="1399"/>
      <c r="I30" s="1399"/>
      <c r="J30" s="1400"/>
      <c r="K30" s="1400"/>
      <c r="L30" s="1399"/>
      <c r="M30" s="1399"/>
      <c r="N30" s="1400"/>
      <c r="O30" s="320"/>
    </row>
    <row r="31" spans="1:15">
      <c r="A31" s="216">
        <v>5</v>
      </c>
      <c r="B31" s="1463" t="s">
        <v>676</v>
      </c>
      <c r="C31" s="1461"/>
      <c r="D31" s="1462"/>
      <c r="E31" s="1402">
        <f>SUM(E12:E30)</f>
        <v>14491027.34</v>
      </c>
      <c r="F31" s="335"/>
      <c r="G31" s="1402">
        <f>SUM(G12:G30)</f>
        <v>12282761.34</v>
      </c>
      <c r="H31" s="1420">
        <f>SUM(H12:H30)</f>
        <v>0</v>
      </c>
      <c r="I31" s="1405">
        <f>SUM(I12:I30)</f>
        <v>12282761.34</v>
      </c>
      <c r="J31" s="1402">
        <f>SUM(J12:J30)</f>
        <v>49.57</v>
      </c>
      <c r="K31" s="1421"/>
      <c r="L31" s="1402">
        <f>SUM(L12:L30)</f>
        <v>-25.43</v>
      </c>
      <c r="M31" s="1402">
        <f>SUM(M12:M30)</f>
        <v>75</v>
      </c>
      <c r="N31" s="1402">
        <f>SUM(N12:N30)</f>
        <v>2208216.4299999997</v>
      </c>
      <c r="O31" s="218"/>
    </row>
    <row r="32" spans="1:15" ht="25.5" customHeight="1">
      <c r="A32" s="216">
        <v>6</v>
      </c>
      <c r="B32" s="1455" t="s">
        <v>1375</v>
      </c>
      <c r="C32" s="1456"/>
      <c r="D32" s="1457"/>
      <c r="E32" s="1403">
        <v>14491027</v>
      </c>
      <c r="F32" s="326"/>
      <c r="G32" s="314"/>
      <c r="H32" s="223"/>
      <c r="I32" s="223"/>
      <c r="J32" s="314"/>
      <c r="K32" s="326"/>
      <c r="L32" s="314"/>
      <c r="M32" s="314"/>
      <c r="N32" s="314"/>
    </row>
    <row r="33" spans="1:15">
      <c r="A33" s="225"/>
      <c r="B33" s="220"/>
      <c r="C33" s="221"/>
      <c r="D33" s="222"/>
      <c r="E33" s="314"/>
      <c r="F33" s="314"/>
      <c r="G33" s="314"/>
      <c r="H33" s="223"/>
      <c r="I33" s="223"/>
      <c r="J33" s="314"/>
      <c r="K33" s="326"/>
      <c r="L33" s="314"/>
      <c r="M33" s="314"/>
      <c r="N33" s="314"/>
    </row>
    <row r="34" spans="1:15">
      <c r="A34" s="216" t="s">
        <v>677</v>
      </c>
      <c r="B34" s="213">
        <v>453</v>
      </c>
      <c r="C34" s="217" t="s">
        <v>680</v>
      </c>
      <c r="D34" s="214" t="s">
        <v>681</v>
      </c>
      <c r="E34" s="1404">
        <v>0</v>
      </c>
      <c r="F34" s="315" t="str">
        <f>$G$2</f>
        <v>Traditional OOR</v>
      </c>
      <c r="G34" s="1417">
        <f>IF(F34=$G$2,E34,0)</f>
        <v>0</v>
      </c>
      <c r="H34" s="1418">
        <v>0</v>
      </c>
      <c r="I34" s="1418">
        <f>G34-H34</f>
        <v>0</v>
      </c>
      <c r="J34" s="1417">
        <f>IF(F34=$J$2,E34,0)</f>
        <v>0</v>
      </c>
      <c r="K34" s="1417"/>
      <c r="L34" s="1399"/>
      <c r="M34" s="1419">
        <f>J34-L34</f>
        <v>0</v>
      </c>
      <c r="N34" s="1417">
        <f>IF(F34=$N$2,E34,0)</f>
        <v>0</v>
      </c>
      <c r="O34" s="218">
        <v>3</v>
      </c>
    </row>
    <row r="35" spans="1:15">
      <c r="A35" s="216" t="s">
        <v>678</v>
      </c>
      <c r="B35" s="213">
        <v>453</v>
      </c>
      <c r="C35" s="217" t="s">
        <v>682</v>
      </c>
      <c r="D35" s="214" t="s">
        <v>683</v>
      </c>
      <c r="E35" s="1404">
        <v>0</v>
      </c>
      <c r="F35" s="315" t="str">
        <f>$G$2</f>
        <v>Traditional OOR</v>
      </c>
      <c r="G35" s="1417">
        <f>IF(F35=$G$2,E35,0)</f>
        <v>0</v>
      </c>
      <c r="H35" s="1418">
        <v>0</v>
      </c>
      <c r="I35" s="1418">
        <f>G35-H35</f>
        <v>0</v>
      </c>
      <c r="J35" s="1417">
        <f>IF(F35=$J$2,E35,0)</f>
        <v>0</v>
      </c>
      <c r="K35" s="1417"/>
      <c r="L35" s="1399"/>
      <c r="M35" s="1419">
        <f>J35-L35</f>
        <v>0</v>
      </c>
      <c r="N35" s="1417">
        <f>IF(F35=$N$2,E35,0)</f>
        <v>0</v>
      </c>
      <c r="O35" s="218">
        <v>3</v>
      </c>
    </row>
    <row r="36" spans="1:15">
      <c r="A36" s="216" t="s">
        <v>679</v>
      </c>
      <c r="B36" s="213">
        <v>453</v>
      </c>
      <c r="C36" s="216" t="s">
        <v>1563</v>
      </c>
      <c r="D36" s="214" t="s">
        <v>1562</v>
      </c>
      <c r="E36" s="1404">
        <v>0</v>
      </c>
      <c r="F36" s="315" t="str">
        <f>$G$2</f>
        <v>Traditional OOR</v>
      </c>
      <c r="G36" s="1417">
        <f>IF(F36=$G$2,E36,0)</f>
        <v>0</v>
      </c>
      <c r="H36" s="1418">
        <v>0</v>
      </c>
      <c r="I36" s="1418">
        <f>G36-H36</f>
        <v>0</v>
      </c>
      <c r="J36" s="1417">
        <f>IF(F36=$J$2,E36,0)</f>
        <v>0</v>
      </c>
      <c r="K36" s="1417"/>
      <c r="L36" s="1399"/>
      <c r="M36" s="1419">
        <f>J36-L36</f>
        <v>0</v>
      </c>
      <c r="N36" s="1417">
        <f>IF(F36=$N$2,E36,0)</f>
        <v>0</v>
      </c>
      <c r="O36" s="218">
        <v>3</v>
      </c>
    </row>
    <row r="37" spans="1:15">
      <c r="A37" s="345"/>
      <c r="B37" s="341"/>
      <c r="C37" s="340"/>
      <c r="D37" s="342"/>
      <c r="E37" s="1400"/>
      <c r="F37" s="319"/>
      <c r="G37" s="1400"/>
      <c r="H37" s="1399"/>
      <c r="I37" s="1399"/>
      <c r="J37" s="1400"/>
      <c r="K37" s="1400"/>
      <c r="L37" s="1399"/>
      <c r="M37" s="1399"/>
      <c r="N37" s="1400"/>
      <c r="O37" s="320"/>
    </row>
    <row r="38" spans="1:15">
      <c r="A38" s="345"/>
      <c r="B38" s="341"/>
      <c r="C38" s="340"/>
      <c r="D38" s="342"/>
      <c r="E38" s="1400"/>
      <c r="F38" s="319"/>
      <c r="G38" s="1400"/>
      <c r="H38" s="1399"/>
      <c r="I38" s="1399"/>
      <c r="J38" s="1400"/>
      <c r="K38" s="1400"/>
      <c r="L38" s="1399"/>
      <c r="M38" s="1399"/>
      <c r="N38" s="1400"/>
      <c r="O38" s="320"/>
    </row>
    <row r="39" spans="1:15">
      <c r="A39" s="216">
        <v>8</v>
      </c>
      <c r="B39" s="1463" t="s">
        <v>684</v>
      </c>
      <c r="C39" s="1461"/>
      <c r="D39" s="1462"/>
      <c r="E39" s="1405">
        <f>SUM(E34:E38)</f>
        <v>0</v>
      </c>
      <c r="F39" s="335"/>
      <c r="G39" s="1405">
        <f>SUM(G34:G38)</f>
        <v>0</v>
      </c>
      <c r="H39" s="1420">
        <f>SUM(H34:H38)</f>
        <v>0</v>
      </c>
      <c r="I39" s="1405">
        <f>SUM(I34:I38)</f>
        <v>0</v>
      </c>
      <c r="J39" s="1405">
        <f>SUM(J34:J38)</f>
        <v>0</v>
      </c>
      <c r="K39" s="1421"/>
      <c r="L39" s="1405">
        <f>SUM(L34:L38)</f>
        <v>0</v>
      </c>
      <c r="M39" s="1405">
        <f>SUM(M34:M38)</f>
        <v>0</v>
      </c>
      <c r="N39" s="1405">
        <f>SUM(N34:N38)</f>
        <v>0</v>
      </c>
      <c r="O39" s="206"/>
    </row>
    <row r="40" spans="1:15" ht="25.5" customHeight="1">
      <c r="A40" s="216">
        <v>9</v>
      </c>
      <c r="B40" s="1458" t="s">
        <v>1376</v>
      </c>
      <c r="C40" s="1459"/>
      <c r="D40" s="1459"/>
      <c r="E40" s="1406">
        <v>0</v>
      </c>
      <c r="F40" s="326"/>
      <c r="G40" s="314"/>
      <c r="H40" s="223"/>
      <c r="I40" s="227"/>
      <c r="J40" s="314"/>
      <c r="K40" s="326"/>
      <c r="L40" s="314"/>
      <c r="M40" s="314"/>
      <c r="N40" s="314"/>
      <c r="O40" s="204"/>
    </row>
    <row r="41" spans="1:15">
      <c r="A41" s="219"/>
      <c r="B41" s="220"/>
      <c r="C41" s="221"/>
      <c r="D41" s="222"/>
      <c r="E41" s="1407"/>
      <c r="F41" s="314"/>
      <c r="G41" s="314"/>
      <c r="H41" s="223"/>
      <c r="I41" s="227"/>
      <c r="J41" s="314"/>
      <c r="K41" s="326"/>
      <c r="L41" s="314"/>
      <c r="M41" s="314"/>
      <c r="N41" s="314"/>
      <c r="O41" s="204"/>
    </row>
    <row r="42" spans="1:15">
      <c r="A42" s="216" t="s">
        <v>685</v>
      </c>
      <c r="B42" s="213">
        <v>454</v>
      </c>
      <c r="C42" s="214" t="s">
        <v>689</v>
      </c>
      <c r="D42" s="214" t="s">
        <v>690</v>
      </c>
      <c r="E42" s="1404">
        <v>438695</v>
      </c>
      <c r="F42" s="315" t="str">
        <f t="shared" ref="F42:F47" si="7">$G$2</f>
        <v>Traditional OOR</v>
      </c>
      <c r="G42" s="1417">
        <f>IF(F42=$G$2,E42,0)</f>
        <v>438695</v>
      </c>
      <c r="H42" s="1418">
        <v>0</v>
      </c>
      <c r="I42" s="1418">
        <f t="shared" ref="I42:I52" si="8">G42-H42</f>
        <v>438695</v>
      </c>
      <c r="J42" s="1417">
        <f t="shared" ref="J42:J67" si="9">IF(F42=$J$2,E42,0)</f>
        <v>0</v>
      </c>
      <c r="K42" s="1417"/>
      <c r="L42" s="1287"/>
      <c r="M42" s="1418">
        <f t="shared" ref="M42:M47" si="10">J42-L42</f>
        <v>0</v>
      </c>
      <c r="N42" s="1417">
        <f t="shared" ref="N42:N67" si="11">IF(F42=$N$2,E42,0)</f>
        <v>0</v>
      </c>
      <c r="O42" s="215">
        <v>4</v>
      </c>
    </row>
    <row r="43" spans="1:15">
      <c r="A43" s="216" t="s">
        <v>686</v>
      </c>
      <c r="B43" s="213">
        <v>454</v>
      </c>
      <c r="C43" s="217" t="s">
        <v>692</v>
      </c>
      <c r="D43" s="214" t="s">
        <v>693</v>
      </c>
      <c r="E43" s="1404">
        <v>3225685.9</v>
      </c>
      <c r="F43" s="315" t="str">
        <f t="shared" si="7"/>
        <v>Traditional OOR</v>
      </c>
      <c r="G43" s="1417">
        <f t="shared" ref="G43:G67" si="12">IF(F43=$G$2,E43,0)</f>
        <v>3225685.9</v>
      </c>
      <c r="H43" s="1418">
        <v>0</v>
      </c>
      <c r="I43" s="1418">
        <f t="shared" si="8"/>
        <v>3225685.9</v>
      </c>
      <c r="J43" s="1417">
        <f t="shared" si="9"/>
        <v>0</v>
      </c>
      <c r="K43" s="1417"/>
      <c r="L43" s="1287"/>
      <c r="M43" s="1419">
        <f t="shared" si="10"/>
        <v>0</v>
      </c>
      <c r="N43" s="1417">
        <f t="shared" si="11"/>
        <v>0</v>
      </c>
      <c r="O43" s="218">
        <v>4</v>
      </c>
    </row>
    <row r="44" spans="1:15">
      <c r="A44" s="216" t="s">
        <v>687</v>
      </c>
      <c r="B44" s="213">
        <v>454</v>
      </c>
      <c r="C44" s="217" t="s">
        <v>695</v>
      </c>
      <c r="D44" s="214" t="s">
        <v>696</v>
      </c>
      <c r="E44" s="1404">
        <v>361040</v>
      </c>
      <c r="F44" s="315" t="str">
        <f t="shared" si="7"/>
        <v>Traditional OOR</v>
      </c>
      <c r="G44" s="1417">
        <f t="shared" si="12"/>
        <v>361040</v>
      </c>
      <c r="H44" s="1418">
        <v>0</v>
      </c>
      <c r="I44" s="1418">
        <f t="shared" si="8"/>
        <v>361040</v>
      </c>
      <c r="J44" s="1417">
        <f t="shared" si="9"/>
        <v>0</v>
      </c>
      <c r="K44" s="1417"/>
      <c r="L44" s="1287"/>
      <c r="M44" s="1419">
        <f t="shared" si="10"/>
        <v>0</v>
      </c>
      <c r="N44" s="1417">
        <f t="shared" si="11"/>
        <v>0</v>
      </c>
      <c r="O44" s="218">
        <v>4</v>
      </c>
    </row>
    <row r="45" spans="1:15">
      <c r="A45" s="216" t="s">
        <v>688</v>
      </c>
      <c r="B45" s="213">
        <v>454</v>
      </c>
      <c r="C45" s="217" t="s">
        <v>698</v>
      </c>
      <c r="D45" s="214" t="s">
        <v>699</v>
      </c>
      <c r="E45" s="1404">
        <v>0</v>
      </c>
      <c r="F45" s="315" t="str">
        <f t="shared" si="7"/>
        <v>Traditional OOR</v>
      </c>
      <c r="G45" s="1417">
        <f t="shared" si="12"/>
        <v>0</v>
      </c>
      <c r="H45" s="1418">
        <v>0</v>
      </c>
      <c r="I45" s="1418">
        <f t="shared" si="8"/>
        <v>0</v>
      </c>
      <c r="J45" s="1417">
        <f t="shared" si="9"/>
        <v>0</v>
      </c>
      <c r="K45" s="1417"/>
      <c r="L45" s="1287"/>
      <c r="M45" s="1419">
        <f t="shared" si="10"/>
        <v>0</v>
      </c>
      <c r="N45" s="1417">
        <f t="shared" si="11"/>
        <v>0</v>
      </c>
      <c r="O45" s="218">
        <v>4</v>
      </c>
    </row>
    <row r="46" spans="1:15">
      <c r="A46" s="216" t="s">
        <v>691</v>
      </c>
      <c r="B46" s="213">
        <v>454</v>
      </c>
      <c r="C46" s="217" t="s">
        <v>701</v>
      </c>
      <c r="D46" s="214" t="s">
        <v>702</v>
      </c>
      <c r="E46" s="1404">
        <v>0</v>
      </c>
      <c r="F46" s="315" t="str">
        <f t="shared" si="7"/>
        <v>Traditional OOR</v>
      </c>
      <c r="G46" s="1417">
        <f t="shared" si="12"/>
        <v>0</v>
      </c>
      <c r="H46" s="1418">
        <v>0</v>
      </c>
      <c r="I46" s="1418">
        <f t="shared" si="8"/>
        <v>0</v>
      </c>
      <c r="J46" s="1417">
        <f t="shared" si="9"/>
        <v>0</v>
      </c>
      <c r="K46" s="1417"/>
      <c r="L46" s="1287"/>
      <c r="M46" s="1419">
        <f t="shared" si="10"/>
        <v>0</v>
      </c>
      <c r="N46" s="1417">
        <f t="shared" si="11"/>
        <v>0</v>
      </c>
      <c r="O46" s="218">
        <v>4</v>
      </c>
    </row>
    <row r="47" spans="1:15">
      <c r="A47" s="216" t="s">
        <v>694</v>
      </c>
      <c r="B47" s="213">
        <v>454</v>
      </c>
      <c r="C47" s="228">
        <v>4184120</v>
      </c>
      <c r="D47" s="214" t="s">
        <v>1560</v>
      </c>
      <c r="E47" s="1404">
        <v>644500</v>
      </c>
      <c r="F47" s="315" t="str">
        <f t="shared" si="7"/>
        <v>Traditional OOR</v>
      </c>
      <c r="G47" s="1417">
        <f>IF(F47=$G$2,E47,0)</f>
        <v>644500</v>
      </c>
      <c r="H47" s="1418">
        <v>0</v>
      </c>
      <c r="I47" s="1418">
        <f>G47-H47</f>
        <v>644500</v>
      </c>
      <c r="J47" s="1417">
        <f t="shared" si="9"/>
        <v>0</v>
      </c>
      <c r="K47" s="1417"/>
      <c r="L47" s="1287"/>
      <c r="M47" s="1419">
        <f t="shared" si="10"/>
        <v>0</v>
      </c>
      <c r="N47" s="1417">
        <f t="shared" si="11"/>
        <v>0</v>
      </c>
      <c r="O47" s="218">
        <v>4</v>
      </c>
    </row>
    <row r="48" spans="1:15">
      <c r="A48" s="216" t="s">
        <v>697</v>
      </c>
      <c r="B48" s="213">
        <v>454</v>
      </c>
      <c r="C48" s="217" t="s">
        <v>704</v>
      </c>
      <c r="D48" s="214" t="s">
        <v>705</v>
      </c>
      <c r="E48" s="1404">
        <v>139669.91</v>
      </c>
      <c r="F48" s="315" t="str">
        <f>$J$2</f>
        <v>GRSM</v>
      </c>
      <c r="G48" s="1417">
        <f t="shared" si="12"/>
        <v>0</v>
      </c>
      <c r="H48" s="1418">
        <v>0</v>
      </c>
      <c r="I48" s="1418">
        <f t="shared" si="8"/>
        <v>0</v>
      </c>
      <c r="J48" s="1417">
        <f t="shared" si="9"/>
        <v>139669.91</v>
      </c>
      <c r="K48" s="1415" t="s">
        <v>672</v>
      </c>
      <c r="L48" s="1408">
        <v>33253.360000000001</v>
      </c>
      <c r="M48" s="1419">
        <f>J48-L48</f>
        <v>106416.55</v>
      </c>
      <c r="N48" s="1417">
        <f t="shared" si="11"/>
        <v>0</v>
      </c>
      <c r="O48" s="218">
        <v>2</v>
      </c>
    </row>
    <row r="49" spans="1:15">
      <c r="A49" s="216" t="s">
        <v>700</v>
      </c>
      <c r="B49" s="213">
        <v>454</v>
      </c>
      <c r="C49" s="217" t="s">
        <v>707</v>
      </c>
      <c r="D49" s="214" t="s">
        <v>708</v>
      </c>
      <c r="E49" s="1404">
        <v>47912</v>
      </c>
      <c r="F49" s="315" t="str">
        <f>$J$2</f>
        <v>GRSM</v>
      </c>
      <c r="G49" s="1417">
        <f t="shared" si="12"/>
        <v>0</v>
      </c>
      <c r="H49" s="1418">
        <v>0</v>
      </c>
      <c r="I49" s="1418">
        <f t="shared" si="8"/>
        <v>0</v>
      </c>
      <c r="J49" s="1417">
        <f t="shared" si="9"/>
        <v>47912</v>
      </c>
      <c r="K49" s="1415" t="s">
        <v>672</v>
      </c>
      <c r="L49" s="1408">
        <v>2798.13</v>
      </c>
      <c r="M49" s="1419">
        <f t="shared" ref="M49:M67" si="13">J49-L49</f>
        <v>45113.87</v>
      </c>
      <c r="N49" s="1417">
        <f t="shared" si="11"/>
        <v>0</v>
      </c>
      <c r="O49" s="218">
        <v>2</v>
      </c>
    </row>
    <row r="50" spans="1:15">
      <c r="A50" s="216" t="s">
        <v>703</v>
      </c>
      <c r="B50" s="213">
        <v>454</v>
      </c>
      <c r="C50" s="217" t="s">
        <v>710</v>
      </c>
      <c r="D50" s="214" t="s">
        <v>711</v>
      </c>
      <c r="E50" s="1404">
        <v>329</v>
      </c>
      <c r="F50" s="315" t="str">
        <f>$J$2</f>
        <v>GRSM</v>
      </c>
      <c r="G50" s="1417">
        <f t="shared" si="12"/>
        <v>0</v>
      </c>
      <c r="H50" s="1418">
        <v>0</v>
      </c>
      <c r="I50" s="1418">
        <f t="shared" si="8"/>
        <v>0</v>
      </c>
      <c r="J50" s="1417">
        <f t="shared" si="9"/>
        <v>329</v>
      </c>
      <c r="K50" s="1415" t="s">
        <v>672</v>
      </c>
      <c r="L50" s="1408">
        <v>0</v>
      </c>
      <c r="M50" s="1419">
        <f t="shared" si="13"/>
        <v>329</v>
      </c>
      <c r="N50" s="1417">
        <f t="shared" si="11"/>
        <v>0</v>
      </c>
      <c r="O50" s="218">
        <v>2</v>
      </c>
    </row>
    <row r="51" spans="1:15">
      <c r="A51" s="216" t="s">
        <v>706</v>
      </c>
      <c r="B51" s="213">
        <v>454</v>
      </c>
      <c r="C51" s="228" t="s">
        <v>713</v>
      </c>
      <c r="D51" s="214" t="s">
        <v>714</v>
      </c>
      <c r="E51" s="1404">
        <v>23039.69</v>
      </c>
      <c r="F51" s="315" t="str">
        <f>$J$2</f>
        <v>GRSM</v>
      </c>
      <c r="G51" s="1417">
        <f t="shared" si="12"/>
        <v>0</v>
      </c>
      <c r="H51" s="1418">
        <v>0</v>
      </c>
      <c r="I51" s="1418">
        <f t="shared" si="8"/>
        <v>0</v>
      </c>
      <c r="J51" s="1417">
        <f t="shared" si="9"/>
        <v>23039.69</v>
      </c>
      <c r="K51" s="1415" t="s">
        <v>672</v>
      </c>
      <c r="L51" s="1408">
        <v>6724.06</v>
      </c>
      <c r="M51" s="1419">
        <f t="shared" si="13"/>
        <v>16315.629999999997</v>
      </c>
      <c r="N51" s="1417">
        <f t="shared" si="11"/>
        <v>0</v>
      </c>
      <c r="O51" s="215">
        <v>2</v>
      </c>
    </row>
    <row r="52" spans="1:15">
      <c r="A52" s="216" t="s">
        <v>709</v>
      </c>
      <c r="B52" s="213">
        <v>454</v>
      </c>
      <c r="C52" s="214" t="s">
        <v>716</v>
      </c>
      <c r="D52" s="214" t="s">
        <v>1372</v>
      </c>
      <c r="E52" s="1404">
        <v>-98991.84</v>
      </c>
      <c r="F52" s="315" t="str">
        <f>$G$2</f>
        <v>Traditional OOR</v>
      </c>
      <c r="G52" s="1417">
        <f t="shared" si="12"/>
        <v>-98991.84</v>
      </c>
      <c r="H52" s="1418">
        <v>0</v>
      </c>
      <c r="I52" s="1418">
        <f t="shared" si="8"/>
        <v>-98991.84</v>
      </c>
      <c r="J52" s="1417">
        <f t="shared" si="9"/>
        <v>0</v>
      </c>
      <c r="K52" s="1417"/>
      <c r="L52" s="1422"/>
      <c r="M52" s="1419">
        <f t="shared" si="13"/>
        <v>0</v>
      </c>
      <c r="N52" s="1417">
        <f t="shared" si="11"/>
        <v>0</v>
      </c>
      <c r="O52" s="215">
        <v>4</v>
      </c>
    </row>
    <row r="53" spans="1:15">
      <c r="A53" s="216" t="s">
        <v>712</v>
      </c>
      <c r="B53" s="213">
        <v>454</v>
      </c>
      <c r="C53" s="217" t="s">
        <v>718</v>
      </c>
      <c r="D53" s="214" t="s">
        <v>719</v>
      </c>
      <c r="E53" s="1404">
        <v>1446707.25</v>
      </c>
      <c r="F53" s="315" t="str">
        <f>$N$2</f>
        <v>Other Ratemaking</v>
      </c>
      <c r="G53" s="1417">
        <f>I53+H53</f>
        <v>85630.602127499995</v>
      </c>
      <c r="H53" s="1418">
        <f>E53*$D$246</f>
        <v>85630.602127499995</v>
      </c>
      <c r="I53" s="1418">
        <v>0</v>
      </c>
      <c r="J53" s="1417">
        <f t="shared" si="9"/>
        <v>0</v>
      </c>
      <c r="K53" s="1417"/>
      <c r="L53" s="1287"/>
      <c r="M53" s="1419">
        <f t="shared" si="13"/>
        <v>0</v>
      </c>
      <c r="N53" s="1417">
        <f>IF(F53=$N$2,E53-H53,0)</f>
        <v>1361076.6478725001</v>
      </c>
      <c r="O53" s="218" t="s">
        <v>720</v>
      </c>
    </row>
    <row r="54" spans="1:15">
      <c r="A54" s="216" t="s">
        <v>715</v>
      </c>
      <c r="B54" s="213">
        <v>454</v>
      </c>
      <c r="C54" s="217" t="s">
        <v>722</v>
      </c>
      <c r="D54" s="214" t="s">
        <v>723</v>
      </c>
      <c r="E54" s="1404">
        <v>0</v>
      </c>
      <c r="F54" s="315" t="str">
        <f>$G$2</f>
        <v>Traditional OOR</v>
      </c>
      <c r="G54" s="1417">
        <f t="shared" si="12"/>
        <v>0</v>
      </c>
      <c r="H54" s="1418">
        <f>E54*$D$246</f>
        <v>0</v>
      </c>
      <c r="I54" s="1418">
        <f>G54-H54</f>
        <v>0</v>
      </c>
      <c r="J54" s="1417">
        <f t="shared" si="9"/>
        <v>0</v>
      </c>
      <c r="K54" s="1417"/>
      <c r="L54" s="1287"/>
      <c r="M54" s="1419">
        <f t="shared" si="13"/>
        <v>0</v>
      </c>
      <c r="N54" s="1417">
        <f t="shared" si="11"/>
        <v>0</v>
      </c>
      <c r="O54" s="218">
        <v>7</v>
      </c>
    </row>
    <row r="55" spans="1:15">
      <c r="A55" s="216" t="s">
        <v>717</v>
      </c>
      <c r="B55" s="213">
        <v>454</v>
      </c>
      <c r="C55" s="214" t="s">
        <v>725</v>
      </c>
      <c r="D55" s="214" t="s">
        <v>726</v>
      </c>
      <c r="E55" s="1404">
        <v>1477775.64</v>
      </c>
      <c r="F55" s="315" t="str">
        <f>$N$2</f>
        <v>Other Ratemaking</v>
      </c>
      <c r="G55" s="1417">
        <f>I55+H55</f>
        <v>87469.540131599992</v>
      </c>
      <c r="H55" s="1418">
        <f>E55*$D$246</f>
        <v>87469.540131599992</v>
      </c>
      <c r="I55" s="1418">
        <v>0</v>
      </c>
      <c r="J55" s="1417">
        <f t="shared" si="9"/>
        <v>0</v>
      </c>
      <c r="K55" s="1417"/>
      <c r="L55" s="1287"/>
      <c r="M55" s="1418">
        <f t="shared" si="13"/>
        <v>0</v>
      </c>
      <c r="N55" s="1417">
        <f>IF(F55=$N$2,E55-H55,0)</f>
        <v>1390306.0998684</v>
      </c>
      <c r="O55" s="215" t="s">
        <v>720</v>
      </c>
    </row>
    <row r="56" spans="1:15">
      <c r="A56" s="216" t="s">
        <v>721</v>
      </c>
      <c r="B56" s="213">
        <v>454</v>
      </c>
      <c r="C56" s="217" t="s">
        <v>728</v>
      </c>
      <c r="D56" s="214" t="s">
        <v>729</v>
      </c>
      <c r="E56" s="1404">
        <v>0</v>
      </c>
      <c r="F56" s="315" t="str">
        <f t="shared" ref="F56:F61" si="14">$G$2</f>
        <v>Traditional OOR</v>
      </c>
      <c r="G56" s="1417">
        <f t="shared" si="12"/>
        <v>0</v>
      </c>
      <c r="H56" s="1418">
        <f>E56*$D$240</f>
        <v>0</v>
      </c>
      <c r="I56" s="1418">
        <f t="shared" ref="I56:I67" si="15">G56-H56</f>
        <v>0</v>
      </c>
      <c r="J56" s="1417">
        <f t="shared" si="9"/>
        <v>0</v>
      </c>
      <c r="K56" s="1417"/>
      <c r="L56" s="1287"/>
      <c r="M56" s="1419">
        <f t="shared" si="13"/>
        <v>0</v>
      </c>
      <c r="N56" s="1417">
        <f t="shared" si="11"/>
        <v>0</v>
      </c>
      <c r="O56" s="218">
        <v>7</v>
      </c>
    </row>
    <row r="57" spans="1:15">
      <c r="A57" s="216" t="s">
        <v>724</v>
      </c>
      <c r="B57" s="213">
        <v>454</v>
      </c>
      <c r="C57" s="217" t="s">
        <v>731</v>
      </c>
      <c r="D57" s="214" t="s">
        <v>732</v>
      </c>
      <c r="E57" s="1404">
        <v>0</v>
      </c>
      <c r="F57" s="315" t="str">
        <f t="shared" si="14"/>
        <v>Traditional OOR</v>
      </c>
      <c r="G57" s="1417">
        <f t="shared" si="12"/>
        <v>0</v>
      </c>
      <c r="H57" s="1418">
        <v>0</v>
      </c>
      <c r="I57" s="1418">
        <f t="shared" si="15"/>
        <v>0</v>
      </c>
      <c r="J57" s="1417">
        <f t="shared" si="9"/>
        <v>0</v>
      </c>
      <c r="K57" s="1417"/>
      <c r="L57" s="1287"/>
      <c r="M57" s="1419">
        <f t="shared" si="13"/>
        <v>0</v>
      </c>
      <c r="N57" s="1417">
        <f t="shared" si="11"/>
        <v>0</v>
      </c>
      <c r="O57" s="218">
        <v>1</v>
      </c>
    </row>
    <row r="58" spans="1:15">
      <c r="A58" s="216" t="s">
        <v>727</v>
      </c>
      <c r="B58" s="213">
        <v>454</v>
      </c>
      <c r="C58" s="217" t="s">
        <v>734</v>
      </c>
      <c r="D58" s="214" t="s">
        <v>735</v>
      </c>
      <c r="E58" s="1404">
        <v>10800313.99</v>
      </c>
      <c r="F58" s="315" t="str">
        <f t="shared" si="14"/>
        <v>Traditional OOR</v>
      </c>
      <c r="G58" s="1417">
        <f t="shared" si="12"/>
        <v>10800313.99</v>
      </c>
      <c r="H58" s="1418">
        <v>0</v>
      </c>
      <c r="I58" s="1418">
        <f t="shared" si="15"/>
        <v>10800313.99</v>
      </c>
      <c r="J58" s="1417">
        <f t="shared" si="9"/>
        <v>0</v>
      </c>
      <c r="K58" s="1417"/>
      <c r="L58" s="1287"/>
      <c r="M58" s="1419">
        <f t="shared" si="13"/>
        <v>0</v>
      </c>
      <c r="N58" s="1417">
        <f t="shared" si="11"/>
        <v>0</v>
      </c>
      <c r="O58" s="218">
        <v>4</v>
      </c>
    </row>
    <row r="59" spans="1:15">
      <c r="A59" s="216" t="s">
        <v>730</v>
      </c>
      <c r="B59" s="213">
        <v>454</v>
      </c>
      <c r="C59" s="217" t="s">
        <v>737</v>
      </c>
      <c r="D59" s="214" t="s">
        <v>738</v>
      </c>
      <c r="E59" s="1404">
        <v>451095.35</v>
      </c>
      <c r="F59" s="315" t="str">
        <f t="shared" si="14"/>
        <v>Traditional OOR</v>
      </c>
      <c r="G59" s="1417">
        <f t="shared" si="12"/>
        <v>451095.35</v>
      </c>
      <c r="H59" s="1418">
        <v>0</v>
      </c>
      <c r="I59" s="1418">
        <f>G59-H59</f>
        <v>451095.35</v>
      </c>
      <c r="J59" s="1417">
        <f t="shared" si="9"/>
        <v>0</v>
      </c>
      <c r="K59" s="1417"/>
      <c r="L59" s="1287"/>
      <c r="M59" s="1419">
        <f t="shared" si="13"/>
        <v>0</v>
      </c>
      <c r="N59" s="1417">
        <f t="shared" si="11"/>
        <v>0</v>
      </c>
      <c r="O59" s="218">
        <v>4</v>
      </c>
    </row>
    <row r="60" spans="1:15">
      <c r="A60" s="216" t="s">
        <v>733</v>
      </c>
      <c r="B60" s="213">
        <v>454</v>
      </c>
      <c r="C60" s="217" t="s">
        <v>740</v>
      </c>
      <c r="D60" s="214" t="s">
        <v>741</v>
      </c>
      <c r="E60" s="1404">
        <v>23006876.07</v>
      </c>
      <c r="F60" s="315" t="str">
        <f t="shared" si="14"/>
        <v>Traditional OOR</v>
      </c>
      <c r="G60" s="1417">
        <f t="shared" si="12"/>
        <v>23006876.07</v>
      </c>
      <c r="H60" s="1418">
        <v>0</v>
      </c>
      <c r="I60" s="1418">
        <f t="shared" si="15"/>
        <v>23006876.07</v>
      </c>
      <c r="J60" s="1417">
        <f t="shared" si="9"/>
        <v>0</v>
      </c>
      <c r="K60" s="1417"/>
      <c r="L60" s="1287"/>
      <c r="M60" s="1419">
        <f t="shared" si="13"/>
        <v>0</v>
      </c>
      <c r="N60" s="1417">
        <f t="shared" si="11"/>
        <v>0</v>
      </c>
      <c r="O60" s="218">
        <v>4</v>
      </c>
    </row>
    <row r="61" spans="1:15">
      <c r="A61" s="216" t="s">
        <v>736</v>
      </c>
      <c r="B61" s="213">
        <v>454</v>
      </c>
      <c r="C61" s="217" t="s">
        <v>743</v>
      </c>
      <c r="D61" s="214" t="s">
        <v>744</v>
      </c>
      <c r="E61" s="1404">
        <v>14543025.210000001</v>
      </c>
      <c r="F61" s="315" t="str">
        <f t="shared" si="14"/>
        <v>Traditional OOR</v>
      </c>
      <c r="G61" s="1417">
        <f t="shared" si="12"/>
        <v>14543025.210000001</v>
      </c>
      <c r="H61" s="1287">
        <v>4119173.88</v>
      </c>
      <c r="I61" s="1418">
        <f>G61-H61</f>
        <v>10423851.330000002</v>
      </c>
      <c r="J61" s="1417">
        <f t="shared" si="9"/>
        <v>0</v>
      </c>
      <c r="K61" s="1417"/>
      <c r="L61" s="1287"/>
      <c r="M61" s="1419">
        <f t="shared" si="13"/>
        <v>0</v>
      </c>
      <c r="N61" s="1417">
        <f t="shared" si="11"/>
        <v>0</v>
      </c>
      <c r="O61" s="218">
        <v>8</v>
      </c>
    </row>
    <row r="62" spans="1:15">
      <c r="A62" s="216" t="s">
        <v>739</v>
      </c>
      <c r="B62" s="213">
        <v>454</v>
      </c>
      <c r="C62" s="214" t="s">
        <v>746</v>
      </c>
      <c r="D62" s="214" t="s">
        <v>747</v>
      </c>
      <c r="E62" s="1404">
        <v>19957531.879999999</v>
      </c>
      <c r="F62" s="315" t="str">
        <f>$J$2</f>
        <v>GRSM</v>
      </c>
      <c r="G62" s="1417">
        <f t="shared" si="12"/>
        <v>0</v>
      </c>
      <c r="H62" s="1418">
        <v>0</v>
      </c>
      <c r="I62" s="1418">
        <f t="shared" si="15"/>
        <v>0</v>
      </c>
      <c r="J62" s="1417">
        <f t="shared" si="9"/>
        <v>19957531.879999999</v>
      </c>
      <c r="K62" s="1415" t="s">
        <v>672</v>
      </c>
      <c r="L62" s="1287">
        <v>4234467.01</v>
      </c>
      <c r="M62" s="1419">
        <f t="shared" si="13"/>
        <v>15723064.869999999</v>
      </c>
      <c r="N62" s="1417">
        <f t="shared" si="11"/>
        <v>0</v>
      </c>
      <c r="O62" s="215">
        <v>2</v>
      </c>
    </row>
    <row r="63" spans="1:15">
      <c r="A63" s="216" t="s">
        <v>742</v>
      </c>
      <c r="B63" s="213">
        <v>454</v>
      </c>
      <c r="C63" s="217" t="s">
        <v>748</v>
      </c>
      <c r="D63" s="214" t="s">
        <v>749</v>
      </c>
      <c r="E63" s="1404">
        <v>0</v>
      </c>
      <c r="F63" s="315" t="str">
        <f>$G$2</f>
        <v>Traditional OOR</v>
      </c>
      <c r="G63" s="1417">
        <f t="shared" si="12"/>
        <v>0</v>
      </c>
      <c r="H63" s="1418">
        <v>0</v>
      </c>
      <c r="I63" s="1418">
        <f t="shared" si="15"/>
        <v>0</v>
      </c>
      <c r="J63" s="1417">
        <f t="shared" si="9"/>
        <v>0</v>
      </c>
      <c r="K63" s="1417"/>
      <c r="L63" s="1287"/>
      <c r="M63" s="1419">
        <f t="shared" si="13"/>
        <v>0</v>
      </c>
      <c r="N63" s="1417">
        <f t="shared" si="11"/>
        <v>0</v>
      </c>
      <c r="O63" s="215">
        <v>4</v>
      </c>
    </row>
    <row r="64" spans="1:15">
      <c r="A64" s="216" t="s">
        <v>745</v>
      </c>
      <c r="B64" s="213">
        <v>454</v>
      </c>
      <c r="C64" s="212" t="s">
        <v>1563</v>
      </c>
      <c r="D64" s="214" t="s">
        <v>1562</v>
      </c>
      <c r="E64" s="1404">
        <v>0</v>
      </c>
      <c r="F64" s="315" t="str">
        <f>$G$2</f>
        <v>Traditional OOR</v>
      </c>
      <c r="G64" s="1417">
        <f t="shared" si="12"/>
        <v>0</v>
      </c>
      <c r="H64" s="1418">
        <v>0</v>
      </c>
      <c r="I64" s="1418">
        <f t="shared" si="15"/>
        <v>0</v>
      </c>
      <c r="J64" s="1417">
        <f t="shared" si="9"/>
        <v>0</v>
      </c>
      <c r="K64" s="1417"/>
      <c r="L64" s="1287"/>
      <c r="M64" s="1419">
        <f t="shared" si="13"/>
        <v>0</v>
      </c>
      <c r="N64" s="1417">
        <f t="shared" si="11"/>
        <v>0</v>
      </c>
      <c r="O64" s="215">
        <v>1</v>
      </c>
    </row>
    <row r="65" spans="1:15">
      <c r="A65" s="212" t="s">
        <v>2568</v>
      </c>
      <c r="B65" s="213">
        <v>454</v>
      </c>
      <c r="C65" s="213">
        <v>4206515</v>
      </c>
      <c r="D65" s="229" t="s">
        <v>2569</v>
      </c>
      <c r="E65" s="1404">
        <v>913396.89</v>
      </c>
      <c r="F65" s="315" t="str">
        <f>$J$2</f>
        <v>GRSM</v>
      </c>
      <c r="G65" s="1417">
        <f t="shared" si="12"/>
        <v>0</v>
      </c>
      <c r="H65" s="1418">
        <v>0</v>
      </c>
      <c r="I65" s="1423">
        <f t="shared" si="15"/>
        <v>0</v>
      </c>
      <c r="J65" s="1424">
        <f t="shared" si="9"/>
        <v>913396.89</v>
      </c>
      <c r="K65" s="1424" t="s">
        <v>672</v>
      </c>
      <c r="L65" s="1287">
        <v>391761.87</v>
      </c>
      <c r="M65" s="1418">
        <f t="shared" si="13"/>
        <v>521635.02</v>
      </c>
      <c r="N65" s="1417">
        <f t="shared" si="11"/>
        <v>0</v>
      </c>
      <c r="O65" s="215">
        <v>2</v>
      </c>
    </row>
    <row r="66" spans="1:15">
      <c r="A66" s="212" t="s">
        <v>2570</v>
      </c>
      <c r="B66" s="213">
        <v>454</v>
      </c>
      <c r="C66" s="213">
        <v>4184122</v>
      </c>
      <c r="D66" s="229" t="s">
        <v>2571</v>
      </c>
      <c r="E66" s="1404">
        <v>-180</v>
      </c>
      <c r="F66" s="315" t="str">
        <f>$G$2</f>
        <v>Traditional OOR</v>
      </c>
      <c r="G66" s="1417">
        <f t="shared" si="12"/>
        <v>-180</v>
      </c>
      <c r="H66" s="1418">
        <v>0</v>
      </c>
      <c r="I66" s="1423">
        <f t="shared" si="15"/>
        <v>-180</v>
      </c>
      <c r="J66" s="1424">
        <f t="shared" si="9"/>
        <v>0</v>
      </c>
      <c r="K66" s="1417"/>
      <c r="L66" s="1287"/>
      <c r="M66" s="1418">
        <f t="shared" si="13"/>
        <v>0</v>
      </c>
      <c r="N66" s="1417">
        <f t="shared" si="11"/>
        <v>0</v>
      </c>
      <c r="O66" s="215">
        <v>4</v>
      </c>
    </row>
    <row r="67" spans="1:15">
      <c r="A67" s="212" t="s">
        <v>2572</v>
      </c>
      <c r="B67" s="213">
        <v>454</v>
      </c>
      <c r="C67" s="213">
        <v>4184124</v>
      </c>
      <c r="D67" s="229" t="s">
        <v>2573</v>
      </c>
      <c r="E67" s="1404">
        <v>96480</v>
      </c>
      <c r="F67" s="315" t="str">
        <f>$G$2</f>
        <v>Traditional OOR</v>
      </c>
      <c r="G67" s="1417">
        <f t="shared" si="12"/>
        <v>96480</v>
      </c>
      <c r="H67" s="1418">
        <v>0</v>
      </c>
      <c r="I67" s="1423">
        <f t="shared" si="15"/>
        <v>96480</v>
      </c>
      <c r="J67" s="1424">
        <f t="shared" si="9"/>
        <v>0</v>
      </c>
      <c r="K67" s="1417"/>
      <c r="L67" s="1287"/>
      <c r="M67" s="1418">
        <f t="shared" si="13"/>
        <v>0</v>
      </c>
      <c r="N67" s="1417">
        <f t="shared" si="11"/>
        <v>0</v>
      </c>
      <c r="O67" s="215">
        <v>4</v>
      </c>
    </row>
    <row r="68" spans="1:15">
      <c r="A68" s="212"/>
      <c r="B68" s="213"/>
      <c r="C68" s="214"/>
      <c r="D68" s="229"/>
      <c r="E68" s="1400"/>
      <c r="F68" s="319"/>
      <c r="G68" s="1400"/>
      <c r="H68" s="1399"/>
      <c r="I68" s="1399"/>
      <c r="J68" s="1400"/>
      <c r="K68" s="1400"/>
      <c r="L68" s="1399"/>
      <c r="M68" s="1399"/>
      <c r="N68" s="1400"/>
      <c r="O68" s="320"/>
    </row>
    <row r="69" spans="1:15">
      <c r="A69" s="345"/>
      <c r="B69" s="341"/>
      <c r="C69" s="340"/>
      <c r="D69" s="342"/>
      <c r="E69" s="1400"/>
      <c r="F69" s="319"/>
      <c r="G69" s="1400"/>
      <c r="H69" s="1399"/>
      <c r="I69" s="1399"/>
      <c r="J69" s="1400"/>
      <c r="K69" s="1400"/>
      <c r="L69" s="1399"/>
      <c r="M69" s="1399"/>
      <c r="N69" s="1400"/>
      <c r="O69" s="320"/>
    </row>
    <row r="70" spans="1:15">
      <c r="A70" s="216">
        <v>11</v>
      </c>
      <c r="B70" s="1463" t="s">
        <v>750</v>
      </c>
      <c r="C70" s="1461"/>
      <c r="D70" s="1462"/>
      <c r="E70" s="1402">
        <f>SUM(E42:E69)</f>
        <v>77474901.939999998</v>
      </c>
      <c r="F70" s="335"/>
      <c r="G70" s="1402">
        <f>SUM(G42:G69)</f>
        <v>53641639.822259098</v>
      </c>
      <c r="H70" s="1405">
        <f>SUM(H42:H69)</f>
        <v>4292274.0222590994</v>
      </c>
      <c r="I70" s="1405">
        <f>SUM(I42:I69)</f>
        <v>49349365.799999997</v>
      </c>
      <c r="J70" s="1402">
        <f>SUM(J42:J69)</f>
        <v>21081879.370000001</v>
      </c>
      <c r="K70" s="1421"/>
      <c r="L70" s="1402">
        <f>SUM(L42:L69)</f>
        <v>4669004.43</v>
      </c>
      <c r="M70" s="1402">
        <f>SUM(M42:M69)</f>
        <v>16412874.939999999</v>
      </c>
      <c r="N70" s="1402">
        <f>SUM(N42:N69)</f>
        <v>2751382.7477409001</v>
      </c>
      <c r="O70" s="205"/>
    </row>
    <row r="71" spans="1:15" ht="24.75" customHeight="1">
      <c r="A71" s="216">
        <v>12</v>
      </c>
      <c r="B71" s="1455" t="s">
        <v>1377</v>
      </c>
      <c r="C71" s="1456"/>
      <c r="D71" s="1457"/>
      <c r="E71" s="1403">
        <v>77474902</v>
      </c>
      <c r="F71" s="326"/>
      <c r="G71" s="339"/>
      <c r="H71" s="326"/>
      <c r="I71" s="326"/>
      <c r="J71" s="314"/>
      <c r="K71" s="326"/>
      <c r="L71" s="314"/>
      <c r="M71" s="314"/>
      <c r="N71" s="314"/>
      <c r="O71" s="204"/>
    </row>
    <row r="72" spans="1:15">
      <c r="A72" s="219"/>
      <c r="B72" s="220"/>
      <c r="C72" s="221"/>
      <c r="D72" s="222"/>
      <c r="E72" s="1407"/>
      <c r="F72" s="314"/>
      <c r="G72" s="314"/>
      <c r="H72" s="326"/>
      <c r="I72" s="326"/>
      <c r="J72" s="314"/>
      <c r="K72" s="326"/>
      <c r="L72" s="314"/>
      <c r="M72" s="314"/>
      <c r="N72" s="314"/>
      <c r="O72" s="204"/>
    </row>
    <row r="73" spans="1:15">
      <c r="A73" s="216" t="s">
        <v>751</v>
      </c>
      <c r="B73" s="213">
        <v>456</v>
      </c>
      <c r="C73" s="217" t="s">
        <v>755</v>
      </c>
      <c r="D73" s="214" t="s">
        <v>756</v>
      </c>
      <c r="E73" s="1404">
        <v>3908190.83</v>
      </c>
      <c r="F73" s="315" t="str">
        <f t="shared" ref="F73:F81" si="16">$G$2</f>
        <v>Traditional OOR</v>
      </c>
      <c r="G73" s="1417">
        <f t="shared" ref="G73:G133" si="17">IF(F73=$G$2,E73,0)</f>
        <v>3908190.83</v>
      </c>
      <c r="H73" s="1418">
        <v>0</v>
      </c>
      <c r="I73" s="1418">
        <f t="shared" ref="I73:I133" si="18">G73-H73</f>
        <v>3908190.83</v>
      </c>
      <c r="J73" s="1417">
        <f t="shared" ref="J73:J128" si="19">IF(F73=$J$2,E73,0)</f>
        <v>0</v>
      </c>
      <c r="K73" s="1417"/>
      <c r="L73" s="1399"/>
      <c r="M73" s="1419">
        <f>J73-L73</f>
        <v>0</v>
      </c>
      <c r="N73" s="1417">
        <f t="shared" ref="N73:N128" si="20">IF(F73=$N$2,E73,0)</f>
        <v>0</v>
      </c>
      <c r="O73" s="218">
        <v>1</v>
      </c>
    </row>
    <row r="74" spans="1:15">
      <c r="A74" s="216" t="s">
        <v>752</v>
      </c>
      <c r="B74" s="213">
        <v>456</v>
      </c>
      <c r="C74" s="217" t="s">
        <v>757</v>
      </c>
      <c r="D74" s="214" t="s">
        <v>758</v>
      </c>
      <c r="E74" s="1404">
        <v>5367369.26</v>
      </c>
      <c r="F74" s="315" t="str">
        <f t="shared" si="16"/>
        <v>Traditional OOR</v>
      </c>
      <c r="G74" s="1417">
        <f t="shared" si="17"/>
        <v>5367369.26</v>
      </c>
      <c r="H74" s="1418">
        <v>0</v>
      </c>
      <c r="I74" s="1418">
        <f t="shared" si="18"/>
        <v>5367369.26</v>
      </c>
      <c r="J74" s="1417">
        <f t="shared" si="19"/>
        <v>0</v>
      </c>
      <c r="K74" s="1417"/>
      <c r="L74" s="1399"/>
      <c r="M74" s="1419">
        <f t="shared" ref="M74:M124" si="21">J74-L74</f>
        <v>0</v>
      </c>
      <c r="N74" s="1417">
        <f t="shared" si="20"/>
        <v>0</v>
      </c>
      <c r="O74" s="218">
        <v>4</v>
      </c>
    </row>
    <row r="75" spans="1:15">
      <c r="A75" s="216" t="s">
        <v>753</v>
      </c>
      <c r="B75" s="213">
        <v>456</v>
      </c>
      <c r="C75" s="217" t="s">
        <v>759</v>
      </c>
      <c r="D75" s="214" t="s">
        <v>760</v>
      </c>
      <c r="E75" s="1404">
        <v>380614.45</v>
      </c>
      <c r="F75" s="315" t="str">
        <f t="shared" si="16"/>
        <v>Traditional OOR</v>
      </c>
      <c r="G75" s="1417">
        <f t="shared" si="17"/>
        <v>380614.45</v>
      </c>
      <c r="H75" s="1418">
        <v>0</v>
      </c>
      <c r="I75" s="1418">
        <f t="shared" si="18"/>
        <v>380614.45</v>
      </c>
      <c r="J75" s="1417">
        <f t="shared" si="19"/>
        <v>0</v>
      </c>
      <c r="K75" s="1417"/>
      <c r="L75" s="1399"/>
      <c r="M75" s="1419">
        <f t="shared" si="21"/>
        <v>0</v>
      </c>
      <c r="N75" s="1417">
        <f t="shared" si="20"/>
        <v>0</v>
      </c>
      <c r="O75" s="218">
        <v>4</v>
      </c>
    </row>
    <row r="76" spans="1:15">
      <c r="A76" s="216" t="s">
        <v>754</v>
      </c>
      <c r="B76" s="213">
        <v>456</v>
      </c>
      <c r="C76" s="217" t="s">
        <v>762</v>
      </c>
      <c r="D76" s="214" t="s">
        <v>763</v>
      </c>
      <c r="E76" s="1404">
        <v>0</v>
      </c>
      <c r="F76" s="315" t="str">
        <f t="shared" si="16"/>
        <v>Traditional OOR</v>
      </c>
      <c r="G76" s="1417">
        <f t="shared" si="17"/>
        <v>0</v>
      </c>
      <c r="H76" s="1418">
        <v>0</v>
      </c>
      <c r="I76" s="1418">
        <f t="shared" si="18"/>
        <v>0</v>
      </c>
      <c r="J76" s="1417">
        <f t="shared" si="19"/>
        <v>0</v>
      </c>
      <c r="K76" s="1417"/>
      <c r="L76" s="1399"/>
      <c r="M76" s="1419">
        <f t="shared" si="21"/>
        <v>0</v>
      </c>
      <c r="N76" s="1417">
        <f t="shared" si="20"/>
        <v>0</v>
      </c>
      <c r="O76" s="218">
        <v>3</v>
      </c>
    </row>
    <row r="77" spans="1:15">
      <c r="A77" s="212" t="s">
        <v>761</v>
      </c>
      <c r="B77" s="213">
        <v>456</v>
      </c>
      <c r="C77" s="214" t="s">
        <v>765</v>
      </c>
      <c r="D77" s="214" t="s">
        <v>766</v>
      </c>
      <c r="E77" s="1404">
        <v>320</v>
      </c>
      <c r="F77" s="315" t="str">
        <f t="shared" si="16"/>
        <v>Traditional OOR</v>
      </c>
      <c r="G77" s="1417">
        <f t="shared" si="17"/>
        <v>320</v>
      </c>
      <c r="H77" s="1418">
        <v>0</v>
      </c>
      <c r="I77" s="1418">
        <f t="shared" si="18"/>
        <v>320</v>
      </c>
      <c r="J77" s="1417">
        <f t="shared" si="19"/>
        <v>0</v>
      </c>
      <c r="K77" s="1417"/>
      <c r="L77" s="1399"/>
      <c r="M77" s="1419">
        <f t="shared" si="21"/>
        <v>0</v>
      </c>
      <c r="N77" s="1417">
        <f t="shared" si="20"/>
        <v>0</v>
      </c>
      <c r="O77" s="218">
        <v>1</v>
      </c>
    </row>
    <row r="78" spans="1:15">
      <c r="A78" s="212" t="s">
        <v>764</v>
      </c>
      <c r="B78" s="213">
        <v>456</v>
      </c>
      <c r="C78" s="214" t="s">
        <v>768</v>
      </c>
      <c r="D78" s="214" t="s">
        <v>769</v>
      </c>
      <c r="E78" s="1404">
        <v>599291.03</v>
      </c>
      <c r="F78" s="315" t="str">
        <f t="shared" si="16"/>
        <v>Traditional OOR</v>
      </c>
      <c r="G78" s="1417">
        <f t="shared" si="17"/>
        <v>599291.03</v>
      </c>
      <c r="H78" s="1418">
        <v>0</v>
      </c>
      <c r="I78" s="1418">
        <f t="shared" si="18"/>
        <v>599291.03</v>
      </c>
      <c r="J78" s="1417">
        <f t="shared" si="19"/>
        <v>0</v>
      </c>
      <c r="K78" s="1417"/>
      <c r="L78" s="1399"/>
      <c r="M78" s="1419">
        <f t="shared" si="21"/>
        <v>0</v>
      </c>
      <c r="N78" s="1417">
        <f t="shared" si="20"/>
        <v>0</v>
      </c>
      <c r="O78" s="218">
        <v>1</v>
      </c>
    </row>
    <row r="79" spans="1:15">
      <c r="A79" s="212" t="s">
        <v>767</v>
      </c>
      <c r="B79" s="213">
        <v>456</v>
      </c>
      <c r="C79" s="214" t="s">
        <v>771</v>
      </c>
      <c r="D79" s="214" t="s">
        <v>772</v>
      </c>
      <c r="E79" s="1404">
        <v>0</v>
      </c>
      <c r="F79" s="315" t="str">
        <f t="shared" si="16"/>
        <v>Traditional OOR</v>
      </c>
      <c r="G79" s="1417">
        <f t="shared" si="17"/>
        <v>0</v>
      </c>
      <c r="H79" s="1418">
        <v>0</v>
      </c>
      <c r="I79" s="1418">
        <f t="shared" si="18"/>
        <v>0</v>
      </c>
      <c r="J79" s="1417">
        <f t="shared" si="19"/>
        <v>0</v>
      </c>
      <c r="K79" s="1417"/>
      <c r="L79" s="1399"/>
      <c r="M79" s="1419">
        <f t="shared" si="21"/>
        <v>0</v>
      </c>
      <c r="N79" s="1417">
        <f t="shared" si="20"/>
        <v>0</v>
      </c>
      <c r="O79" s="218">
        <v>3</v>
      </c>
    </row>
    <row r="80" spans="1:15">
      <c r="A80" s="212" t="s">
        <v>770</v>
      </c>
      <c r="B80" s="213">
        <v>456</v>
      </c>
      <c r="C80" s="213">
        <v>4186142</v>
      </c>
      <c r="D80" s="214" t="s">
        <v>1561</v>
      </c>
      <c r="E80" s="1404">
        <v>3427.67</v>
      </c>
      <c r="F80" s="315" t="str">
        <f t="shared" si="16"/>
        <v>Traditional OOR</v>
      </c>
      <c r="G80" s="1417">
        <f>IF(F80=$G$2,E80,0)</f>
        <v>3427.67</v>
      </c>
      <c r="H80" s="1418">
        <v>0</v>
      </c>
      <c r="I80" s="1418">
        <f>G80-H80</f>
        <v>3427.67</v>
      </c>
      <c r="J80" s="1417">
        <f t="shared" si="19"/>
        <v>0</v>
      </c>
      <c r="K80" s="1417"/>
      <c r="L80" s="1399"/>
      <c r="M80" s="1419">
        <f t="shared" si="21"/>
        <v>0</v>
      </c>
      <c r="N80" s="1417">
        <f t="shared" si="20"/>
        <v>0</v>
      </c>
      <c r="O80" s="218">
        <v>4</v>
      </c>
    </row>
    <row r="81" spans="1:15">
      <c r="A81" s="212" t="s">
        <v>773</v>
      </c>
      <c r="B81" s="213">
        <v>456</v>
      </c>
      <c r="C81" s="214" t="s">
        <v>774</v>
      </c>
      <c r="D81" s="214" t="s">
        <v>775</v>
      </c>
      <c r="E81" s="1404">
        <v>0</v>
      </c>
      <c r="F81" s="315" t="str">
        <f t="shared" si="16"/>
        <v>Traditional OOR</v>
      </c>
      <c r="G81" s="1417">
        <f t="shared" si="17"/>
        <v>0</v>
      </c>
      <c r="H81" s="1418">
        <f>E81*$D$240</f>
        <v>0</v>
      </c>
      <c r="I81" s="1418">
        <f t="shared" si="18"/>
        <v>0</v>
      </c>
      <c r="J81" s="1417">
        <f t="shared" si="19"/>
        <v>0</v>
      </c>
      <c r="K81" s="1417"/>
      <c r="L81" s="1399"/>
      <c r="M81" s="1419">
        <f t="shared" si="21"/>
        <v>0</v>
      </c>
      <c r="N81" s="1417">
        <f t="shared" si="20"/>
        <v>0</v>
      </c>
      <c r="O81" s="218">
        <v>7</v>
      </c>
    </row>
    <row r="82" spans="1:15">
      <c r="A82" s="212" t="s">
        <v>776</v>
      </c>
      <c r="B82" s="213">
        <v>456</v>
      </c>
      <c r="C82" s="214" t="s">
        <v>777</v>
      </c>
      <c r="D82" s="214" t="s">
        <v>778</v>
      </c>
      <c r="E82" s="1404">
        <v>225292.56</v>
      </c>
      <c r="F82" s="315" t="str">
        <f>$N$2</f>
        <v>Other Ratemaking</v>
      </c>
      <c r="G82" s="1417">
        <f>I82+H82</f>
        <v>13335.066626399999</v>
      </c>
      <c r="H82" s="1418">
        <f>E82*$D$246</f>
        <v>13335.066626399999</v>
      </c>
      <c r="I82" s="1418">
        <v>0</v>
      </c>
      <c r="J82" s="1417">
        <f t="shared" si="19"/>
        <v>0</v>
      </c>
      <c r="K82" s="1417"/>
      <c r="L82" s="1399"/>
      <c r="M82" s="1418">
        <f t="shared" si="21"/>
        <v>0</v>
      </c>
      <c r="N82" s="1417">
        <f>IF(F82=$N$2,E82-H82,0)</f>
        <v>211957.49337360001</v>
      </c>
      <c r="O82" s="215" t="s">
        <v>720</v>
      </c>
    </row>
    <row r="83" spans="1:15">
      <c r="A83" s="212" t="s">
        <v>779</v>
      </c>
      <c r="B83" s="213">
        <v>456</v>
      </c>
      <c r="C83" s="214" t="s">
        <v>780</v>
      </c>
      <c r="D83" s="214" t="s">
        <v>781</v>
      </c>
      <c r="E83" s="1404">
        <v>1687.98</v>
      </c>
      <c r="F83" s="315" t="str">
        <f t="shared" ref="F83:F88" si="22">$G$2</f>
        <v>Traditional OOR</v>
      </c>
      <c r="G83" s="1417">
        <f t="shared" si="17"/>
        <v>1687.98</v>
      </c>
      <c r="H83" s="1418">
        <v>0</v>
      </c>
      <c r="I83" s="1418">
        <f t="shared" si="18"/>
        <v>1687.98</v>
      </c>
      <c r="J83" s="1417">
        <f t="shared" si="19"/>
        <v>0</v>
      </c>
      <c r="K83" s="1417"/>
      <c r="L83" s="1399"/>
      <c r="M83" s="1419">
        <f t="shared" si="21"/>
        <v>0</v>
      </c>
      <c r="N83" s="1417">
        <f t="shared" si="20"/>
        <v>0</v>
      </c>
      <c r="O83" s="218">
        <v>4</v>
      </c>
    </row>
    <row r="84" spans="1:15">
      <c r="A84" s="212" t="s">
        <v>782</v>
      </c>
      <c r="B84" s="213">
        <v>456</v>
      </c>
      <c r="C84" s="214" t="s">
        <v>783</v>
      </c>
      <c r="D84" s="214" t="s">
        <v>784</v>
      </c>
      <c r="E84" s="1404">
        <v>16942.240000000002</v>
      </c>
      <c r="F84" s="315" t="str">
        <f t="shared" si="22"/>
        <v>Traditional OOR</v>
      </c>
      <c r="G84" s="1417">
        <f t="shared" si="17"/>
        <v>16942.240000000002</v>
      </c>
      <c r="H84" s="1418">
        <v>0</v>
      </c>
      <c r="I84" s="1418">
        <f t="shared" si="18"/>
        <v>16942.240000000002</v>
      </c>
      <c r="J84" s="1417">
        <f t="shared" si="19"/>
        <v>0</v>
      </c>
      <c r="K84" s="1417"/>
      <c r="L84" s="1399"/>
      <c r="M84" s="1419">
        <f t="shared" si="21"/>
        <v>0</v>
      </c>
      <c r="N84" s="1417">
        <f t="shared" si="20"/>
        <v>0</v>
      </c>
      <c r="O84" s="218">
        <v>4</v>
      </c>
    </row>
    <row r="85" spans="1:15">
      <c r="A85" s="212" t="s">
        <v>785</v>
      </c>
      <c r="B85" s="213">
        <v>456</v>
      </c>
      <c r="C85" s="214" t="s">
        <v>786</v>
      </c>
      <c r="D85" s="1083" t="s">
        <v>787</v>
      </c>
      <c r="E85" s="1404">
        <v>5119.24</v>
      </c>
      <c r="F85" s="315" t="str">
        <f t="shared" si="22"/>
        <v>Traditional OOR</v>
      </c>
      <c r="G85" s="1417">
        <f t="shared" si="17"/>
        <v>5119.24</v>
      </c>
      <c r="H85" s="1418">
        <v>0</v>
      </c>
      <c r="I85" s="1418">
        <f t="shared" si="18"/>
        <v>5119.24</v>
      </c>
      <c r="J85" s="1417">
        <f t="shared" si="19"/>
        <v>0</v>
      </c>
      <c r="K85" s="1417"/>
      <c r="L85" s="1399"/>
      <c r="M85" s="1419">
        <f t="shared" si="21"/>
        <v>0</v>
      </c>
      <c r="N85" s="1417">
        <f t="shared" si="20"/>
        <v>0</v>
      </c>
      <c r="O85" s="218">
        <v>4</v>
      </c>
    </row>
    <row r="86" spans="1:15">
      <c r="A86" s="212" t="s">
        <v>788</v>
      </c>
      <c r="B86" s="213">
        <v>456</v>
      </c>
      <c r="C86" s="214" t="s">
        <v>789</v>
      </c>
      <c r="D86" s="214" t="s">
        <v>790</v>
      </c>
      <c r="E86" s="1404">
        <v>1158.5</v>
      </c>
      <c r="F86" s="315" t="str">
        <f t="shared" si="22"/>
        <v>Traditional OOR</v>
      </c>
      <c r="G86" s="1417">
        <f t="shared" si="17"/>
        <v>1158.5</v>
      </c>
      <c r="H86" s="1418">
        <v>0</v>
      </c>
      <c r="I86" s="1418">
        <f t="shared" si="18"/>
        <v>1158.5</v>
      </c>
      <c r="J86" s="1417">
        <f t="shared" si="19"/>
        <v>0</v>
      </c>
      <c r="K86" s="1417"/>
      <c r="L86" s="1399"/>
      <c r="M86" s="1419">
        <f t="shared" si="21"/>
        <v>0</v>
      </c>
      <c r="N86" s="1417">
        <f t="shared" si="20"/>
        <v>0</v>
      </c>
      <c r="O86" s="218">
        <v>4</v>
      </c>
    </row>
    <row r="87" spans="1:15">
      <c r="A87" s="212" t="s">
        <v>791</v>
      </c>
      <c r="B87" s="213">
        <v>456</v>
      </c>
      <c r="C87" s="214" t="s">
        <v>792</v>
      </c>
      <c r="D87" s="214" t="s">
        <v>793</v>
      </c>
      <c r="E87" s="1404">
        <v>985.74</v>
      </c>
      <c r="F87" s="315" t="str">
        <f t="shared" si="22"/>
        <v>Traditional OOR</v>
      </c>
      <c r="G87" s="1417">
        <f t="shared" si="17"/>
        <v>985.74</v>
      </c>
      <c r="H87" s="1418">
        <v>0</v>
      </c>
      <c r="I87" s="1418">
        <f t="shared" si="18"/>
        <v>985.74</v>
      </c>
      <c r="J87" s="1417">
        <f t="shared" si="19"/>
        <v>0</v>
      </c>
      <c r="K87" s="1417"/>
      <c r="L87" s="1399"/>
      <c r="M87" s="1419">
        <f t="shared" si="21"/>
        <v>0</v>
      </c>
      <c r="N87" s="1417">
        <f t="shared" si="20"/>
        <v>0</v>
      </c>
      <c r="O87" s="218">
        <v>4</v>
      </c>
    </row>
    <row r="88" spans="1:15">
      <c r="A88" s="212" t="s">
        <v>794</v>
      </c>
      <c r="B88" s="213">
        <v>456</v>
      </c>
      <c r="C88" s="214" t="s">
        <v>795</v>
      </c>
      <c r="D88" s="214" t="s">
        <v>796</v>
      </c>
      <c r="E88" s="1404">
        <v>208656</v>
      </c>
      <c r="F88" s="315" t="str">
        <f t="shared" si="22"/>
        <v>Traditional OOR</v>
      </c>
      <c r="G88" s="1417">
        <f t="shared" si="17"/>
        <v>208656</v>
      </c>
      <c r="H88" s="1418">
        <v>0</v>
      </c>
      <c r="I88" s="1418">
        <f t="shared" si="18"/>
        <v>208656</v>
      </c>
      <c r="J88" s="1417">
        <f t="shared" si="19"/>
        <v>0</v>
      </c>
      <c r="K88" s="1417"/>
      <c r="L88" s="1399"/>
      <c r="M88" s="1419">
        <f t="shared" si="21"/>
        <v>0</v>
      </c>
      <c r="N88" s="1417">
        <f t="shared" si="20"/>
        <v>0</v>
      </c>
      <c r="O88" s="218">
        <v>4</v>
      </c>
    </row>
    <row r="89" spans="1:15">
      <c r="A89" s="212" t="s">
        <v>797</v>
      </c>
      <c r="B89" s="213">
        <v>456</v>
      </c>
      <c r="C89" s="214" t="s">
        <v>798</v>
      </c>
      <c r="D89" s="214" t="s">
        <v>799</v>
      </c>
      <c r="E89" s="1404">
        <v>1689974.34</v>
      </c>
      <c r="F89" s="315" t="str">
        <f t="shared" ref="F89:F102" si="23">$J$2</f>
        <v>GRSM</v>
      </c>
      <c r="G89" s="1417">
        <f t="shared" si="17"/>
        <v>0</v>
      </c>
      <c r="H89" s="1418">
        <v>0</v>
      </c>
      <c r="I89" s="1418">
        <f t="shared" si="18"/>
        <v>0</v>
      </c>
      <c r="J89" s="1417">
        <f t="shared" si="19"/>
        <v>1689974.34</v>
      </c>
      <c r="K89" s="1415" t="s">
        <v>672</v>
      </c>
      <c r="L89" s="1409">
        <v>158573.17000000001</v>
      </c>
      <c r="M89" s="1419">
        <f t="shared" si="21"/>
        <v>1531401.1700000002</v>
      </c>
      <c r="N89" s="1417">
        <f t="shared" si="20"/>
        <v>0</v>
      </c>
      <c r="O89" s="218">
        <v>2</v>
      </c>
    </row>
    <row r="90" spans="1:15">
      <c r="A90" s="212" t="s">
        <v>800</v>
      </c>
      <c r="B90" s="213">
        <v>456</v>
      </c>
      <c r="C90" s="214" t="s">
        <v>801</v>
      </c>
      <c r="D90" s="214" t="s">
        <v>802</v>
      </c>
      <c r="E90" s="1404">
        <v>148679.19</v>
      </c>
      <c r="F90" s="315" t="str">
        <f t="shared" si="23"/>
        <v>GRSM</v>
      </c>
      <c r="G90" s="1417">
        <f t="shared" si="17"/>
        <v>0</v>
      </c>
      <c r="H90" s="1418">
        <v>0</v>
      </c>
      <c r="I90" s="1418">
        <f t="shared" si="18"/>
        <v>0</v>
      </c>
      <c r="J90" s="1417">
        <f t="shared" si="19"/>
        <v>148679.19</v>
      </c>
      <c r="K90" s="1415" t="s">
        <v>672</v>
      </c>
      <c r="L90" s="1409">
        <v>23099.94</v>
      </c>
      <c r="M90" s="1419">
        <f t="shared" si="21"/>
        <v>125579.25</v>
      </c>
      <c r="N90" s="1417">
        <f t="shared" si="20"/>
        <v>0</v>
      </c>
      <c r="O90" s="218">
        <v>2</v>
      </c>
    </row>
    <row r="91" spans="1:15">
      <c r="A91" s="212" t="s">
        <v>803</v>
      </c>
      <c r="B91" s="213">
        <v>456</v>
      </c>
      <c r="C91" s="214" t="s">
        <v>804</v>
      </c>
      <c r="D91" s="214" t="s">
        <v>805</v>
      </c>
      <c r="E91" s="1404">
        <v>42095</v>
      </c>
      <c r="F91" s="315" t="str">
        <f t="shared" si="23"/>
        <v>GRSM</v>
      </c>
      <c r="G91" s="1417">
        <f t="shared" si="17"/>
        <v>0</v>
      </c>
      <c r="H91" s="1418">
        <v>0</v>
      </c>
      <c r="I91" s="1418">
        <f t="shared" si="18"/>
        <v>0</v>
      </c>
      <c r="J91" s="1417">
        <f t="shared" si="19"/>
        <v>42095</v>
      </c>
      <c r="K91" s="1415" t="s">
        <v>672</v>
      </c>
      <c r="L91" s="1399">
        <v>6697.23</v>
      </c>
      <c r="M91" s="1419">
        <f t="shared" si="21"/>
        <v>35397.770000000004</v>
      </c>
      <c r="N91" s="1417">
        <f t="shared" si="20"/>
        <v>0</v>
      </c>
      <c r="O91" s="218">
        <v>2</v>
      </c>
    </row>
    <row r="92" spans="1:15">
      <c r="A92" s="212" t="s">
        <v>806</v>
      </c>
      <c r="B92" s="213">
        <v>456</v>
      </c>
      <c r="C92" s="214" t="s">
        <v>807</v>
      </c>
      <c r="D92" s="214" t="s">
        <v>808</v>
      </c>
      <c r="E92" s="1404">
        <v>0</v>
      </c>
      <c r="F92" s="315" t="str">
        <f t="shared" si="23"/>
        <v>GRSM</v>
      </c>
      <c r="G92" s="1417">
        <f t="shared" si="17"/>
        <v>0</v>
      </c>
      <c r="H92" s="1418">
        <v>0</v>
      </c>
      <c r="I92" s="1418">
        <f t="shared" si="18"/>
        <v>0</v>
      </c>
      <c r="J92" s="1417">
        <f t="shared" si="19"/>
        <v>0</v>
      </c>
      <c r="K92" s="1415" t="s">
        <v>672</v>
      </c>
      <c r="L92" s="1399"/>
      <c r="M92" s="1419">
        <f t="shared" si="21"/>
        <v>0</v>
      </c>
      <c r="N92" s="1417">
        <f t="shared" si="20"/>
        <v>0</v>
      </c>
      <c r="O92" s="215">
        <v>2</v>
      </c>
    </row>
    <row r="93" spans="1:15">
      <c r="A93" s="212" t="s">
        <v>809</v>
      </c>
      <c r="B93" s="213">
        <v>456</v>
      </c>
      <c r="C93" s="214" t="s">
        <v>810</v>
      </c>
      <c r="D93" s="214" t="s">
        <v>811</v>
      </c>
      <c r="E93" s="1404">
        <v>0</v>
      </c>
      <c r="F93" s="315" t="str">
        <f t="shared" si="23"/>
        <v>GRSM</v>
      </c>
      <c r="G93" s="1417">
        <f t="shared" si="17"/>
        <v>0</v>
      </c>
      <c r="H93" s="1418">
        <v>0</v>
      </c>
      <c r="I93" s="1418">
        <f t="shared" si="18"/>
        <v>0</v>
      </c>
      <c r="J93" s="1417">
        <f t="shared" si="19"/>
        <v>0</v>
      </c>
      <c r="K93" s="1415" t="s">
        <v>672</v>
      </c>
      <c r="L93" s="1399"/>
      <c r="M93" s="1419">
        <f t="shared" si="21"/>
        <v>0</v>
      </c>
      <c r="N93" s="1417">
        <f t="shared" si="20"/>
        <v>0</v>
      </c>
      <c r="O93" s="218">
        <v>2</v>
      </c>
    </row>
    <row r="94" spans="1:15">
      <c r="A94" s="212" t="s">
        <v>812</v>
      </c>
      <c r="B94" s="213">
        <v>456</v>
      </c>
      <c r="C94" s="214" t="s">
        <v>813</v>
      </c>
      <c r="D94" s="214" t="s">
        <v>814</v>
      </c>
      <c r="E94" s="1404">
        <v>3115</v>
      </c>
      <c r="F94" s="315" t="str">
        <f t="shared" si="23"/>
        <v>GRSM</v>
      </c>
      <c r="G94" s="1417">
        <f t="shared" si="17"/>
        <v>0</v>
      </c>
      <c r="H94" s="1418">
        <v>0</v>
      </c>
      <c r="I94" s="1418">
        <f t="shared" si="18"/>
        <v>0</v>
      </c>
      <c r="J94" s="1417">
        <f t="shared" si="19"/>
        <v>3115</v>
      </c>
      <c r="K94" s="1415" t="s">
        <v>672</v>
      </c>
      <c r="L94" s="1399">
        <v>1050</v>
      </c>
      <c r="M94" s="1419">
        <f t="shared" si="21"/>
        <v>2065</v>
      </c>
      <c r="N94" s="1417">
        <f t="shared" si="20"/>
        <v>0</v>
      </c>
      <c r="O94" s="218">
        <v>2</v>
      </c>
    </row>
    <row r="95" spans="1:15">
      <c r="A95" s="212" t="s">
        <v>815</v>
      </c>
      <c r="B95" s="213">
        <v>456</v>
      </c>
      <c r="C95" s="214" t="s">
        <v>816</v>
      </c>
      <c r="D95" s="214" t="s">
        <v>817</v>
      </c>
      <c r="E95" s="1404">
        <v>13940</v>
      </c>
      <c r="F95" s="315" t="str">
        <f t="shared" si="23"/>
        <v>GRSM</v>
      </c>
      <c r="G95" s="1417">
        <f t="shared" si="17"/>
        <v>0</v>
      </c>
      <c r="H95" s="1418">
        <v>0</v>
      </c>
      <c r="I95" s="1418">
        <f t="shared" si="18"/>
        <v>0</v>
      </c>
      <c r="J95" s="1417">
        <f t="shared" si="19"/>
        <v>13940</v>
      </c>
      <c r="K95" s="1415" t="s">
        <v>672</v>
      </c>
      <c r="L95" s="1399">
        <v>5603.61</v>
      </c>
      <c r="M95" s="1419">
        <f t="shared" si="21"/>
        <v>8336.39</v>
      </c>
      <c r="N95" s="1417">
        <f t="shared" si="20"/>
        <v>0</v>
      </c>
      <c r="O95" s="215">
        <v>2</v>
      </c>
    </row>
    <row r="96" spans="1:15">
      <c r="A96" s="212" t="s">
        <v>818</v>
      </c>
      <c r="B96" s="213">
        <v>456</v>
      </c>
      <c r="C96" s="213">
        <v>4186536</v>
      </c>
      <c r="D96" s="229" t="s">
        <v>819</v>
      </c>
      <c r="E96" s="1404">
        <v>0</v>
      </c>
      <c r="F96" s="315" t="str">
        <f t="shared" si="23"/>
        <v>GRSM</v>
      </c>
      <c r="G96" s="1417">
        <f t="shared" si="17"/>
        <v>0</v>
      </c>
      <c r="H96" s="1418">
        <v>0</v>
      </c>
      <c r="I96" s="1418">
        <f t="shared" si="18"/>
        <v>0</v>
      </c>
      <c r="J96" s="1417">
        <f t="shared" si="19"/>
        <v>0</v>
      </c>
      <c r="K96" s="1415" t="s">
        <v>672</v>
      </c>
      <c r="L96" s="1399"/>
      <c r="M96" s="1419">
        <f t="shared" si="21"/>
        <v>0</v>
      </c>
      <c r="N96" s="1417">
        <f t="shared" si="20"/>
        <v>0</v>
      </c>
      <c r="O96" s="215">
        <v>2</v>
      </c>
    </row>
    <row r="97" spans="1:15">
      <c r="A97" s="212" t="s">
        <v>820</v>
      </c>
      <c r="B97" s="213">
        <v>456</v>
      </c>
      <c r="C97" s="213">
        <v>4186538</v>
      </c>
      <c r="D97" s="229" t="s">
        <v>821</v>
      </c>
      <c r="E97" s="1404">
        <v>0</v>
      </c>
      <c r="F97" s="315" t="str">
        <f t="shared" si="23"/>
        <v>GRSM</v>
      </c>
      <c r="G97" s="1417">
        <f t="shared" si="17"/>
        <v>0</v>
      </c>
      <c r="H97" s="1418">
        <v>0</v>
      </c>
      <c r="I97" s="1418">
        <f t="shared" si="18"/>
        <v>0</v>
      </c>
      <c r="J97" s="1417">
        <f t="shared" si="19"/>
        <v>0</v>
      </c>
      <c r="K97" s="1415" t="s">
        <v>672</v>
      </c>
      <c r="L97" s="1399"/>
      <c r="M97" s="1419">
        <f t="shared" si="21"/>
        <v>0</v>
      </c>
      <c r="N97" s="1417">
        <f t="shared" si="20"/>
        <v>0</v>
      </c>
      <c r="O97" s="215">
        <v>2</v>
      </c>
    </row>
    <row r="98" spans="1:15">
      <c r="A98" s="212" t="s">
        <v>822</v>
      </c>
      <c r="B98" s="213">
        <v>456</v>
      </c>
      <c r="C98" s="214" t="s">
        <v>823</v>
      </c>
      <c r="D98" s="214" t="s">
        <v>824</v>
      </c>
      <c r="E98" s="1404">
        <v>0</v>
      </c>
      <c r="F98" s="315" t="str">
        <f t="shared" si="23"/>
        <v>GRSM</v>
      </c>
      <c r="G98" s="1417">
        <f t="shared" si="17"/>
        <v>0</v>
      </c>
      <c r="H98" s="1418">
        <v>0</v>
      </c>
      <c r="I98" s="1418">
        <f t="shared" si="18"/>
        <v>0</v>
      </c>
      <c r="J98" s="1417">
        <f t="shared" si="19"/>
        <v>0</v>
      </c>
      <c r="K98" s="1415" t="s">
        <v>614</v>
      </c>
      <c r="L98" s="1399"/>
      <c r="M98" s="1419">
        <f t="shared" si="21"/>
        <v>0</v>
      </c>
      <c r="N98" s="1417">
        <f t="shared" si="20"/>
        <v>0</v>
      </c>
      <c r="O98" s="215">
        <v>2</v>
      </c>
    </row>
    <row r="99" spans="1:15">
      <c r="A99" s="212" t="s">
        <v>825</v>
      </c>
      <c r="B99" s="213">
        <v>456</v>
      </c>
      <c r="C99" s="214" t="s">
        <v>826</v>
      </c>
      <c r="D99" s="214" t="s">
        <v>827</v>
      </c>
      <c r="E99" s="1404">
        <v>0</v>
      </c>
      <c r="F99" s="315" t="str">
        <f t="shared" si="23"/>
        <v>GRSM</v>
      </c>
      <c r="G99" s="1417">
        <f t="shared" si="17"/>
        <v>0</v>
      </c>
      <c r="H99" s="1418">
        <v>0</v>
      </c>
      <c r="I99" s="1418">
        <f t="shared" si="18"/>
        <v>0</v>
      </c>
      <c r="J99" s="1417">
        <f t="shared" si="19"/>
        <v>0</v>
      </c>
      <c r="K99" s="1415" t="s">
        <v>614</v>
      </c>
      <c r="L99" s="1399"/>
      <c r="M99" s="1419">
        <f>J99-L99</f>
        <v>0</v>
      </c>
      <c r="N99" s="1417">
        <f t="shared" si="20"/>
        <v>0</v>
      </c>
      <c r="O99" s="215">
        <v>2</v>
      </c>
    </row>
    <row r="100" spans="1:15">
      <c r="A100" s="212" t="s">
        <v>828</v>
      </c>
      <c r="B100" s="213">
        <v>456</v>
      </c>
      <c r="C100" s="214" t="s">
        <v>829</v>
      </c>
      <c r="D100" s="214" t="s">
        <v>830</v>
      </c>
      <c r="E100" s="1404">
        <v>0</v>
      </c>
      <c r="F100" s="315" t="str">
        <f t="shared" si="23"/>
        <v>GRSM</v>
      </c>
      <c r="G100" s="1417">
        <f t="shared" si="17"/>
        <v>0</v>
      </c>
      <c r="H100" s="1418">
        <v>0</v>
      </c>
      <c r="I100" s="1418">
        <f t="shared" si="18"/>
        <v>0</v>
      </c>
      <c r="J100" s="1417">
        <f t="shared" si="19"/>
        <v>0</v>
      </c>
      <c r="K100" s="1415" t="s">
        <v>614</v>
      </c>
      <c r="L100" s="1399"/>
      <c r="M100" s="1419">
        <f t="shared" si="21"/>
        <v>0</v>
      </c>
      <c r="N100" s="1417">
        <f t="shared" si="20"/>
        <v>0</v>
      </c>
      <c r="O100" s="215">
        <v>2</v>
      </c>
    </row>
    <row r="101" spans="1:15">
      <c r="A101" s="212" t="s">
        <v>831</v>
      </c>
      <c r="B101" s="213">
        <v>456</v>
      </c>
      <c r="C101" s="214" t="s">
        <v>832</v>
      </c>
      <c r="D101" s="214" t="s">
        <v>833</v>
      </c>
      <c r="E101" s="1404">
        <v>0</v>
      </c>
      <c r="F101" s="315" t="str">
        <f t="shared" si="23"/>
        <v>GRSM</v>
      </c>
      <c r="G101" s="1417">
        <f t="shared" si="17"/>
        <v>0</v>
      </c>
      <c r="H101" s="1418">
        <v>0</v>
      </c>
      <c r="I101" s="1418">
        <f t="shared" si="18"/>
        <v>0</v>
      </c>
      <c r="J101" s="1417">
        <f>IF(F101=$J$2,E101,0)</f>
        <v>0</v>
      </c>
      <c r="K101" s="1415" t="s">
        <v>614</v>
      </c>
      <c r="L101" s="1399"/>
      <c r="M101" s="1419">
        <f t="shared" si="21"/>
        <v>0</v>
      </c>
      <c r="N101" s="1417">
        <f t="shared" si="20"/>
        <v>0</v>
      </c>
      <c r="O101" s="218">
        <v>2</v>
      </c>
    </row>
    <row r="102" spans="1:15">
      <c r="A102" s="212" t="s">
        <v>834</v>
      </c>
      <c r="B102" s="213">
        <v>456</v>
      </c>
      <c r="C102" s="214" t="s">
        <v>835</v>
      </c>
      <c r="D102" s="214" t="s">
        <v>836</v>
      </c>
      <c r="E102" s="1404">
        <v>0</v>
      </c>
      <c r="F102" s="315" t="str">
        <f t="shared" si="23"/>
        <v>GRSM</v>
      </c>
      <c r="G102" s="1417">
        <f t="shared" si="17"/>
        <v>0</v>
      </c>
      <c r="H102" s="1418">
        <v>0</v>
      </c>
      <c r="I102" s="1418">
        <f t="shared" si="18"/>
        <v>0</v>
      </c>
      <c r="J102" s="1417">
        <f t="shared" si="19"/>
        <v>0</v>
      </c>
      <c r="K102" s="1415" t="s">
        <v>614</v>
      </c>
      <c r="L102" s="1409"/>
      <c r="M102" s="1418">
        <f t="shared" si="21"/>
        <v>0</v>
      </c>
      <c r="N102" s="1417">
        <f t="shared" si="20"/>
        <v>0</v>
      </c>
      <c r="O102" s="215">
        <v>2</v>
      </c>
    </row>
    <row r="103" spans="1:15">
      <c r="A103" s="212" t="s">
        <v>837</v>
      </c>
      <c r="B103" s="213">
        <v>456</v>
      </c>
      <c r="C103" s="214" t="s">
        <v>838</v>
      </c>
      <c r="D103" s="214" t="s">
        <v>839</v>
      </c>
      <c r="E103" s="1404">
        <v>1741.5</v>
      </c>
      <c r="F103" s="315" t="str">
        <f>$N$2</f>
        <v>Other Ratemaking</v>
      </c>
      <c r="G103" s="1417">
        <f t="shared" si="17"/>
        <v>0</v>
      </c>
      <c r="H103" s="1418">
        <v>0</v>
      </c>
      <c r="I103" s="1418">
        <f t="shared" si="18"/>
        <v>0</v>
      </c>
      <c r="J103" s="1417">
        <f t="shared" si="19"/>
        <v>0</v>
      </c>
      <c r="K103" s="1417"/>
      <c r="L103" s="1399"/>
      <c r="M103" s="1419">
        <f t="shared" si="21"/>
        <v>0</v>
      </c>
      <c r="N103" s="1417">
        <f t="shared" si="20"/>
        <v>1741.5</v>
      </c>
      <c r="O103" s="218">
        <v>6</v>
      </c>
    </row>
    <row r="104" spans="1:15">
      <c r="A104" s="212" t="s">
        <v>840</v>
      </c>
      <c r="B104" s="213">
        <v>456</v>
      </c>
      <c r="C104" s="214" t="s">
        <v>841</v>
      </c>
      <c r="D104" s="214" t="s">
        <v>842</v>
      </c>
      <c r="E104" s="1404">
        <v>34805984.520000003</v>
      </c>
      <c r="F104" s="315" t="str">
        <f>$G$2</f>
        <v>Traditional OOR</v>
      </c>
      <c r="G104" s="1417">
        <f t="shared" si="17"/>
        <v>34805984.520000003</v>
      </c>
      <c r="H104" s="1418">
        <v>0</v>
      </c>
      <c r="I104" s="1418">
        <f t="shared" si="18"/>
        <v>34805984.520000003</v>
      </c>
      <c r="J104" s="1417">
        <f t="shared" si="19"/>
        <v>0</v>
      </c>
      <c r="K104" s="1417"/>
      <c r="L104" s="1399"/>
      <c r="M104" s="1419">
        <f t="shared" si="21"/>
        <v>0</v>
      </c>
      <c r="N104" s="1417">
        <f t="shared" si="20"/>
        <v>0</v>
      </c>
      <c r="O104" s="218">
        <v>4</v>
      </c>
    </row>
    <row r="105" spans="1:15">
      <c r="A105" s="212" t="s">
        <v>843</v>
      </c>
      <c r="B105" s="213">
        <v>456</v>
      </c>
      <c r="C105" s="214" t="s">
        <v>844</v>
      </c>
      <c r="D105" s="1083" t="s">
        <v>1968</v>
      </c>
      <c r="E105" s="1404">
        <v>-47805279.350000001</v>
      </c>
      <c r="F105" s="315" t="str">
        <f t="shared" ref="F105:F110" si="24">$N$2</f>
        <v>Other Ratemaking</v>
      </c>
      <c r="G105" s="1417">
        <f t="shared" si="17"/>
        <v>0</v>
      </c>
      <c r="H105" s="1418">
        <v>0</v>
      </c>
      <c r="I105" s="1418">
        <f t="shared" si="18"/>
        <v>0</v>
      </c>
      <c r="J105" s="1417">
        <f t="shared" si="19"/>
        <v>0</v>
      </c>
      <c r="K105" s="1417"/>
      <c r="L105" s="1399"/>
      <c r="M105" s="1419">
        <f t="shared" si="21"/>
        <v>0</v>
      </c>
      <c r="N105" s="1417">
        <f t="shared" si="20"/>
        <v>-47805279.350000001</v>
      </c>
      <c r="O105" s="218">
        <v>6</v>
      </c>
    </row>
    <row r="106" spans="1:15">
      <c r="A106" s="212" t="s">
        <v>845</v>
      </c>
      <c r="B106" s="213">
        <v>456</v>
      </c>
      <c r="C106" s="214" t="s">
        <v>846</v>
      </c>
      <c r="D106" s="1083" t="s">
        <v>1969</v>
      </c>
      <c r="E106" s="1404">
        <v>-29298543.199999999</v>
      </c>
      <c r="F106" s="315" t="str">
        <f t="shared" si="24"/>
        <v>Other Ratemaking</v>
      </c>
      <c r="G106" s="1417">
        <f t="shared" si="17"/>
        <v>0</v>
      </c>
      <c r="H106" s="1418">
        <v>0</v>
      </c>
      <c r="I106" s="1418">
        <f t="shared" si="18"/>
        <v>0</v>
      </c>
      <c r="J106" s="1417">
        <f t="shared" si="19"/>
        <v>0</v>
      </c>
      <c r="K106" s="1417"/>
      <c r="L106" s="1399"/>
      <c r="M106" s="1419">
        <f t="shared" si="21"/>
        <v>0</v>
      </c>
      <c r="N106" s="1417">
        <f t="shared" si="20"/>
        <v>-29298543.199999999</v>
      </c>
      <c r="O106" s="218">
        <v>6</v>
      </c>
    </row>
    <row r="107" spans="1:15">
      <c r="A107" s="212" t="s">
        <v>847</v>
      </c>
      <c r="B107" s="213">
        <v>456</v>
      </c>
      <c r="C107" s="214" t="s">
        <v>848</v>
      </c>
      <c r="D107" s="214" t="s">
        <v>849</v>
      </c>
      <c r="E107" s="1404">
        <v>47805731.729999997</v>
      </c>
      <c r="F107" s="315" t="str">
        <f t="shared" si="24"/>
        <v>Other Ratemaking</v>
      </c>
      <c r="G107" s="1417">
        <f t="shared" si="17"/>
        <v>0</v>
      </c>
      <c r="H107" s="1418">
        <v>0</v>
      </c>
      <c r="I107" s="1418">
        <f t="shared" si="18"/>
        <v>0</v>
      </c>
      <c r="J107" s="1417">
        <f t="shared" si="19"/>
        <v>0</v>
      </c>
      <c r="K107" s="1417"/>
      <c r="L107" s="1399"/>
      <c r="M107" s="1419">
        <f t="shared" si="21"/>
        <v>0</v>
      </c>
      <c r="N107" s="1417">
        <f t="shared" si="20"/>
        <v>47805731.729999997</v>
      </c>
      <c r="O107" s="218">
        <v>6</v>
      </c>
    </row>
    <row r="108" spans="1:15">
      <c r="A108" s="212" t="s">
        <v>850</v>
      </c>
      <c r="B108" s="213">
        <v>456</v>
      </c>
      <c r="C108" s="214" t="s">
        <v>851</v>
      </c>
      <c r="D108" s="214" t="s">
        <v>852</v>
      </c>
      <c r="E108" s="1404">
        <v>29298543.199999999</v>
      </c>
      <c r="F108" s="315" t="str">
        <f t="shared" si="24"/>
        <v>Other Ratemaking</v>
      </c>
      <c r="G108" s="1417">
        <f t="shared" si="17"/>
        <v>0</v>
      </c>
      <c r="H108" s="1418">
        <v>0</v>
      </c>
      <c r="I108" s="1418">
        <f t="shared" si="18"/>
        <v>0</v>
      </c>
      <c r="J108" s="1417">
        <f t="shared" si="19"/>
        <v>0</v>
      </c>
      <c r="K108" s="1417"/>
      <c r="L108" s="1399"/>
      <c r="M108" s="1419">
        <f t="shared" si="21"/>
        <v>0</v>
      </c>
      <c r="N108" s="1417">
        <f t="shared" si="20"/>
        <v>29298543.199999999</v>
      </c>
      <c r="O108" s="218">
        <v>6</v>
      </c>
    </row>
    <row r="109" spans="1:15">
      <c r="A109" s="212" t="s">
        <v>853</v>
      </c>
      <c r="B109" s="213">
        <v>456</v>
      </c>
      <c r="C109" s="214" t="s">
        <v>854</v>
      </c>
      <c r="D109" s="1083" t="s">
        <v>1970</v>
      </c>
      <c r="E109" s="1404">
        <v>42542364.060000002</v>
      </c>
      <c r="F109" s="315" t="str">
        <f t="shared" si="24"/>
        <v>Other Ratemaking</v>
      </c>
      <c r="G109" s="1417">
        <f t="shared" si="17"/>
        <v>0</v>
      </c>
      <c r="H109" s="1418">
        <v>0</v>
      </c>
      <c r="I109" s="1418">
        <f t="shared" si="18"/>
        <v>0</v>
      </c>
      <c r="J109" s="1417">
        <f t="shared" si="19"/>
        <v>0</v>
      </c>
      <c r="K109" s="1417"/>
      <c r="L109" s="1399"/>
      <c r="M109" s="1419">
        <f t="shared" si="21"/>
        <v>0</v>
      </c>
      <c r="N109" s="1417">
        <f t="shared" si="20"/>
        <v>42542364.060000002</v>
      </c>
      <c r="O109" s="218">
        <v>6</v>
      </c>
    </row>
    <row r="110" spans="1:15">
      <c r="A110" s="212" t="s">
        <v>855</v>
      </c>
      <c r="B110" s="213">
        <v>456</v>
      </c>
      <c r="C110" s="214" t="s">
        <v>856</v>
      </c>
      <c r="D110" s="214" t="s">
        <v>857</v>
      </c>
      <c r="E110" s="1404">
        <v>-42542364.060000002</v>
      </c>
      <c r="F110" s="315" t="str">
        <f t="shared" si="24"/>
        <v>Other Ratemaking</v>
      </c>
      <c r="G110" s="1417">
        <f t="shared" si="17"/>
        <v>0</v>
      </c>
      <c r="H110" s="1418">
        <v>0</v>
      </c>
      <c r="I110" s="1418">
        <f t="shared" si="18"/>
        <v>0</v>
      </c>
      <c r="J110" s="1417">
        <f t="shared" si="19"/>
        <v>0</v>
      </c>
      <c r="K110" s="1417"/>
      <c r="L110" s="1399"/>
      <c r="M110" s="1419">
        <f t="shared" si="21"/>
        <v>0</v>
      </c>
      <c r="N110" s="1417">
        <f t="shared" si="20"/>
        <v>-42542364.060000002</v>
      </c>
      <c r="O110" s="218">
        <v>6</v>
      </c>
    </row>
    <row r="111" spans="1:15">
      <c r="A111" s="212" t="s">
        <v>858</v>
      </c>
      <c r="B111" s="213">
        <v>456</v>
      </c>
      <c r="C111" s="214" t="s">
        <v>859</v>
      </c>
      <c r="D111" s="214" t="s">
        <v>860</v>
      </c>
      <c r="E111" s="1404">
        <v>0</v>
      </c>
      <c r="F111" s="315" t="str">
        <f>$J$2</f>
        <v>GRSM</v>
      </c>
      <c r="G111" s="1417">
        <f t="shared" si="17"/>
        <v>0</v>
      </c>
      <c r="H111" s="1418">
        <v>0</v>
      </c>
      <c r="I111" s="1418">
        <f t="shared" si="18"/>
        <v>0</v>
      </c>
      <c r="J111" s="1417">
        <f t="shared" si="19"/>
        <v>0</v>
      </c>
      <c r="K111" s="1415" t="s">
        <v>614</v>
      </c>
      <c r="L111" s="1399"/>
      <c r="M111" s="1419">
        <f t="shared" si="21"/>
        <v>0</v>
      </c>
      <c r="N111" s="1417">
        <f t="shared" si="20"/>
        <v>0</v>
      </c>
      <c r="O111" s="218">
        <v>2</v>
      </c>
    </row>
    <row r="112" spans="1:15">
      <c r="A112" s="212" t="s">
        <v>861</v>
      </c>
      <c r="B112" s="213">
        <v>456</v>
      </c>
      <c r="C112" s="214" t="s">
        <v>862</v>
      </c>
      <c r="D112" s="214" t="s">
        <v>863</v>
      </c>
      <c r="E112" s="1408">
        <v>0</v>
      </c>
      <c r="F112" s="315" t="str">
        <f>$J$2</f>
        <v>GRSM</v>
      </c>
      <c r="G112" s="1417">
        <f t="shared" si="17"/>
        <v>0</v>
      </c>
      <c r="H112" s="1418">
        <v>0</v>
      </c>
      <c r="I112" s="1418">
        <f t="shared" si="18"/>
        <v>0</v>
      </c>
      <c r="J112" s="1417">
        <f t="shared" si="19"/>
        <v>0</v>
      </c>
      <c r="K112" s="1415" t="s">
        <v>614</v>
      </c>
      <c r="L112" s="1409"/>
      <c r="M112" s="1419">
        <f t="shared" si="21"/>
        <v>0</v>
      </c>
      <c r="N112" s="1417">
        <f t="shared" si="20"/>
        <v>0</v>
      </c>
      <c r="O112" s="218">
        <v>2</v>
      </c>
    </row>
    <row r="113" spans="1:15">
      <c r="A113" s="212" t="s">
        <v>864</v>
      </c>
      <c r="B113" s="213">
        <v>456</v>
      </c>
      <c r="C113" s="214" t="s">
        <v>865</v>
      </c>
      <c r="D113" s="214" t="s">
        <v>866</v>
      </c>
      <c r="E113" s="1404">
        <v>0</v>
      </c>
      <c r="F113" s="315" t="str">
        <f>$N$2</f>
        <v>Other Ratemaking</v>
      </c>
      <c r="G113" s="1417">
        <f t="shared" si="17"/>
        <v>0</v>
      </c>
      <c r="H113" s="1418">
        <v>0</v>
      </c>
      <c r="I113" s="1418">
        <f t="shared" si="18"/>
        <v>0</v>
      </c>
      <c r="J113" s="1417">
        <f t="shared" si="19"/>
        <v>0</v>
      </c>
      <c r="K113" s="1417"/>
      <c r="L113" s="1399"/>
      <c r="M113" s="1419">
        <f t="shared" si="21"/>
        <v>0</v>
      </c>
      <c r="N113" s="1417">
        <f t="shared" si="20"/>
        <v>0</v>
      </c>
      <c r="O113" s="218">
        <v>6</v>
      </c>
    </row>
    <row r="114" spans="1:15">
      <c r="A114" s="212" t="s">
        <v>867</v>
      </c>
      <c r="B114" s="213">
        <v>456</v>
      </c>
      <c r="C114" s="214" t="s">
        <v>868</v>
      </c>
      <c r="D114" s="214" t="s">
        <v>869</v>
      </c>
      <c r="E114" s="1404">
        <v>282615.28999999998</v>
      </c>
      <c r="F114" s="315" t="str">
        <f t="shared" ref="F114:F124" si="25">$G$2</f>
        <v>Traditional OOR</v>
      </c>
      <c r="G114" s="1417">
        <f t="shared" si="17"/>
        <v>282615.28999999998</v>
      </c>
      <c r="H114" s="1418">
        <v>0</v>
      </c>
      <c r="I114" s="1418">
        <f t="shared" si="18"/>
        <v>282615.28999999998</v>
      </c>
      <c r="J114" s="1417">
        <f t="shared" si="19"/>
        <v>0</v>
      </c>
      <c r="K114" s="1417"/>
      <c r="L114" s="1399"/>
      <c r="M114" s="1419">
        <f t="shared" si="21"/>
        <v>0</v>
      </c>
      <c r="N114" s="1417">
        <f t="shared" si="20"/>
        <v>0</v>
      </c>
      <c r="O114" s="218">
        <v>1</v>
      </c>
    </row>
    <row r="115" spans="1:15">
      <c r="A115" s="212" t="s">
        <v>870</v>
      </c>
      <c r="B115" s="213">
        <v>456</v>
      </c>
      <c r="C115" s="214" t="s">
        <v>871</v>
      </c>
      <c r="D115" s="214" t="s">
        <v>872</v>
      </c>
      <c r="E115" s="1404">
        <v>0</v>
      </c>
      <c r="F115" s="315" t="str">
        <f t="shared" si="25"/>
        <v>Traditional OOR</v>
      </c>
      <c r="G115" s="1417">
        <f t="shared" si="17"/>
        <v>0</v>
      </c>
      <c r="H115" s="1418">
        <v>0</v>
      </c>
      <c r="I115" s="1418">
        <f t="shared" si="18"/>
        <v>0</v>
      </c>
      <c r="J115" s="1417">
        <f t="shared" si="19"/>
        <v>0</v>
      </c>
      <c r="K115" s="1417"/>
      <c r="L115" s="1399"/>
      <c r="M115" s="1419">
        <f t="shared" si="21"/>
        <v>0</v>
      </c>
      <c r="N115" s="1417">
        <f t="shared" si="20"/>
        <v>0</v>
      </c>
      <c r="O115" s="218">
        <v>1</v>
      </c>
    </row>
    <row r="116" spans="1:15">
      <c r="A116" s="212" t="s">
        <v>873</v>
      </c>
      <c r="B116" s="213">
        <v>456</v>
      </c>
      <c r="C116" s="214" t="s">
        <v>874</v>
      </c>
      <c r="D116" s="214" t="s">
        <v>875</v>
      </c>
      <c r="E116" s="1404">
        <v>4022307.1</v>
      </c>
      <c r="F116" s="315" t="str">
        <f t="shared" si="25"/>
        <v>Traditional OOR</v>
      </c>
      <c r="G116" s="1417">
        <f t="shared" si="17"/>
        <v>4022307.1</v>
      </c>
      <c r="H116" s="1418">
        <v>0</v>
      </c>
      <c r="I116" s="1418">
        <f t="shared" si="18"/>
        <v>4022307.1</v>
      </c>
      <c r="J116" s="1417">
        <f t="shared" si="19"/>
        <v>0</v>
      </c>
      <c r="K116" s="1417"/>
      <c r="L116" s="1399"/>
      <c r="M116" s="1419">
        <f t="shared" si="21"/>
        <v>0</v>
      </c>
      <c r="N116" s="1417">
        <f t="shared" si="20"/>
        <v>0</v>
      </c>
      <c r="O116" s="218">
        <v>4</v>
      </c>
    </row>
    <row r="117" spans="1:15">
      <c r="A117" s="212" t="s">
        <v>876</v>
      </c>
      <c r="B117" s="213">
        <v>456</v>
      </c>
      <c r="C117" s="214" t="s">
        <v>877</v>
      </c>
      <c r="D117" s="214" t="s">
        <v>878</v>
      </c>
      <c r="E117" s="1404">
        <v>145396</v>
      </c>
      <c r="F117" s="315" t="str">
        <f t="shared" si="25"/>
        <v>Traditional OOR</v>
      </c>
      <c r="G117" s="1417">
        <f t="shared" si="17"/>
        <v>145396</v>
      </c>
      <c r="H117" s="1418">
        <v>0</v>
      </c>
      <c r="I117" s="1418">
        <f t="shared" si="18"/>
        <v>145396</v>
      </c>
      <c r="J117" s="1417">
        <f t="shared" si="19"/>
        <v>0</v>
      </c>
      <c r="K117" s="1417"/>
      <c r="L117" s="1399"/>
      <c r="M117" s="1419">
        <f t="shared" si="21"/>
        <v>0</v>
      </c>
      <c r="N117" s="1417">
        <f t="shared" si="20"/>
        <v>0</v>
      </c>
      <c r="O117" s="218">
        <v>4</v>
      </c>
    </row>
    <row r="118" spans="1:15">
      <c r="A118" s="212" t="s">
        <v>879</v>
      </c>
      <c r="B118" s="213">
        <v>456</v>
      </c>
      <c r="C118" s="214" t="s">
        <v>880</v>
      </c>
      <c r="D118" s="214" t="s">
        <v>881</v>
      </c>
      <c r="E118" s="1404">
        <v>-8</v>
      </c>
      <c r="F118" s="315" t="str">
        <f t="shared" si="25"/>
        <v>Traditional OOR</v>
      </c>
      <c r="G118" s="1417">
        <f t="shared" si="17"/>
        <v>-8</v>
      </c>
      <c r="H118" s="1418">
        <v>0</v>
      </c>
      <c r="I118" s="1418">
        <f t="shared" si="18"/>
        <v>-8</v>
      </c>
      <c r="J118" s="1417">
        <f t="shared" si="19"/>
        <v>0</v>
      </c>
      <c r="K118" s="1417"/>
      <c r="L118" s="1399"/>
      <c r="M118" s="1419">
        <f t="shared" si="21"/>
        <v>0</v>
      </c>
      <c r="N118" s="1417">
        <f t="shared" si="20"/>
        <v>0</v>
      </c>
      <c r="O118" s="218">
        <v>4</v>
      </c>
    </row>
    <row r="119" spans="1:15">
      <c r="A119" s="212" t="s">
        <v>882</v>
      </c>
      <c r="B119" s="213">
        <v>456</v>
      </c>
      <c r="C119" s="214" t="s">
        <v>883</v>
      </c>
      <c r="D119" s="214" t="s">
        <v>884</v>
      </c>
      <c r="E119" s="1404">
        <v>0</v>
      </c>
      <c r="F119" s="315" t="str">
        <f t="shared" si="25"/>
        <v>Traditional OOR</v>
      </c>
      <c r="G119" s="1417">
        <f t="shared" si="17"/>
        <v>0</v>
      </c>
      <c r="H119" s="1418">
        <v>0</v>
      </c>
      <c r="I119" s="1418">
        <f t="shared" si="18"/>
        <v>0</v>
      </c>
      <c r="J119" s="1417">
        <f t="shared" si="19"/>
        <v>0</v>
      </c>
      <c r="K119" s="1417"/>
      <c r="L119" s="1399"/>
      <c r="M119" s="1419">
        <f t="shared" si="21"/>
        <v>0</v>
      </c>
      <c r="N119" s="1417">
        <f t="shared" si="20"/>
        <v>0</v>
      </c>
      <c r="O119" s="218">
        <v>1</v>
      </c>
    </row>
    <row r="120" spans="1:15">
      <c r="A120" s="212" t="s">
        <v>885</v>
      </c>
      <c r="B120" s="213">
        <v>456</v>
      </c>
      <c r="C120" s="214" t="s">
        <v>886</v>
      </c>
      <c r="D120" s="214" t="s">
        <v>887</v>
      </c>
      <c r="E120" s="1404">
        <v>-68.760000000000005</v>
      </c>
      <c r="F120" s="315" t="str">
        <f t="shared" si="25"/>
        <v>Traditional OOR</v>
      </c>
      <c r="G120" s="1417">
        <f t="shared" si="17"/>
        <v>-68.760000000000005</v>
      </c>
      <c r="H120" s="1418">
        <v>0</v>
      </c>
      <c r="I120" s="1418">
        <f t="shared" si="18"/>
        <v>-68.760000000000005</v>
      </c>
      <c r="J120" s="1417">
        <f t="shared" si="19"/>
        <v>0</v>
      </c>
      <c r="K120" s="1417"/>
      <c r="L120" s="1399"/>
      <c r="M120" s="1419">
        <f t="shared" si="21"/>
        <v>0</v>
      </c>
      <c r="N120" s="1417">
        <f t="shared" si="20"/>
        <v>0</v>
      </c>
      <c r="O120" s="218">
        <v>4</v>
      </c>
    </row>
    <row r="121" spans="1:15">
      <c r="A121" s="212" t="s">
        <v>888</v>
      </c>
      <c r="B121" s="213">
        <v>456</v>
      </c>
      <c r="C121" s="214" t="s">
        <v>889</v>
      </c>
      <c r="D121" s="214" t="s">
        <v>890</v>
      </c>
      <c r="E121" s="1404">
        <v>2207512.15</v>
      </c>
      <c r="F121" s="315" t="str">
        <f t="shared" si="25"/>
        <v>Traditional OOR</v>
      </c>
      <c r="G121" s="1417">
        <f t="shared" si="17"/>
        <v>2207512.15</v>
      </c>
      <c r="H121" s="1287">
        <v>26518.32</v>
      </c>
      <c r="I121" s="1418">
        <f t="shared" si="18"/>
        <v>2180993.83</v>
      </c>
      <c r="J121" s="1417">
        <f t="shared" si="19"/>
        <v>0</v>
      </c>
      <c r="K121" s="1417"/>
      <c r="L121" s="1399"/>
      <c r="M121" s="1419">
        <f t="shared" si="21"/>
        <v>0</v>
      </c>
      <c r="N121" s="1417">
        <f t="shared" si="20"/>
        <v>0</v>
      </c>
      <c r="O121" s="215">
        <v>8</v>
      </c>
    </row>
    <row r="122" spans="1:15">
      <c r="A122" s="212" t="s">
        <v>891</v>
      </c>
      <c r="B122" s="213">
        <v>456</v>
      </c>
      <c r="C122" s="214" t="s">
        <v>892</v>
      </c>
      <c r="D122" s="214" t="s">
        <v>893</v>
      </c>
      <c r="E122" s="1404">
        <v>11751029.09</v>
      </c>
      <c r="F122" s="315" t="str">
        <f t="shared" si="25"/>
        <v>Traditional OOR</v>
      </c>
      <c r="G122" s="1417">
        <f t="shared" si="17"/>
        <v>11751029.09</v>
      </c>
      <c r="H122" s="1418">
        <v>0</v>
      </c>
      <c r="I122" s="1418">
        <f t="shared" si="18"/>
        <v>11751029.09</v>
      </c>
      <c r="J122" s="1417">
        <f t="shared" si="19"/>
        <v>0</v>
      </c>
      <c r="K122" s="1417"/>
      <c r="L122" s="1399"/>
      <c r="M122" s="1419">
        <f t="shared" si="21"/>
        <v>0</v>
      </c>
      <c r="N122" s="1417">
        <f t="shared" si="20"/>
        <v>0</v>
      </c>
      <c r="O122" s="218">
        <v>4</v>
      </c>
    </row>
    <row r="123" spans="1:15">
      <c r="A123" s="212" t="s">
        <v>894</v>
      </c>
      <c r="B123" s="213">
        <v>456</v>
      </c>
      <c r="C123" s="214" t="s">
        <v>895</v>
      </c>
      <c r="D123" s="214" t="s">
        <v>896</v>
      </c>
      <c r="E123" s="1404">
        <v>2579.4</v>
      </c>
      <c r="F123" s="315" t="str">
        <f t="shared" si="25"/>
        <v>Traditional OOR</v>
      </c>
      <c r="G123" s="1417">
        <f t="shared" si="17"/>
        <v>2579.4</v>
      </c>
      <c r="H123" s="1418">
        <v>0</v>
      </c>
      <c r="I123" s="1418">
        <f t="shared" si="18"/>
        <v>2579.4</v>
      </c>
      <c r="J123" s="1417">
        <f t="shared" si="19"/>
        <v>0</v>
      </c>
      <c r="K123" s="1417"/>
      <c r="L123" s="1399"/>
      <c r="M123" s="1419">
        <f t="shared" si="21"/>
        <v>0</v>
      </c>
      <c r="N123" s="1417">
        <f t="shared" si="20"/>
        <v>0</v>
      </c>
      <c r="O123" s="218">
        <v>4</v>
      </c>
    </row>
    <row r="124" spans="1:15">
      <c r="A124" s="212" t="s">
        <v>897</v>
      </c>
      <c r="B124" s="213">
        <v>456</v>
      </c>
      <c r="C124" s="214" t="s">
        <v>898</v>
      </c>
      <c r="D124" s="214" t="s">
        <v>899</v>
      </c>
      <c r="E124" s="1404">
        <v>30028.74</v>
      </c>
      <c r="F124" s="315" t="str">
        <f t="shared" si="25"/>
        <v>Traditional OOR</v>
      </c>
      <c r="G124" s="1417">
        <f t="shared" si="17"/>
        <v>30028.74</v>
      </c>
      <c r="H124" s="1418">
        <v>0</v>
      </c>
      <c r="I124" s="1418">
        <f t="shared" si="18"/>
        <v>30028.74</v>
      </c>
      <c r="J124" s="1417">
        <f t="shared" si="19"/>
        <v>0</v>
      </c>
      <c r="K124" s="1417"/>
      <c r="L124" s="1399"/>
      <c r="M124" s="1419">
        <f t="shared" si="21"/>
        <v>0</v>
      </c>
      <c r="N124" s="1417">
        <f t="shared" si="20"/>
        <v>0</v>
      </c>
      <c r="O124" s="218">
        <v>6</v>
      </c>
    </row>
    <row r="125" spans="1:15">
      <c r="A125" s="1084" t="s">
        <v>1952</v>
      </c>
      <c r="B125" s="213">
        <v>456</v>
      </c>
      <c r="C125" s="214" t="s">
        <v>900</v>
      </c>
      <c r="D125" s="1083" t="s">
        <v>1971</v>
      </c>
      <c r="E125" s="1404">
        <v>0</v>
      </c>
      <c r="F125" s="315" t="str">
        <f>$J$2</f>
        <v>GRSM</v>
      </c>
      <c r="G125" s="1417">
        <f t="shared" si="17"/>
        <v>0</v>
      </c>
      <c r="H125" s="1418">
        <v>0</v>
      </c>
      <c r="I125" s="1418">
        <f t="shared" si="18"/>
        <v>0</v>
      </c>
      <c r="J125" s="1417">
        <f t="shared" si="19"/>
        <v>0</v>
      </c>
      <c r="K125" s="1415" t="s">
        <v>672</v>
      </c>
      <c r="L125" s="1399"/>
      <c r="M125" s="1419">
        <f>J125-L125</f>
        <v>0</v>
      </c>
      <c r="N125" s="1417">
        <f t="shared" si="20"/>
        <v>0</v>
      </c>
      <c r="O125" s="218">
        <v>2</v>
      </c>
    </row>
    <row r="126" spans="1:15">
      <c r="A126" s="1084" t="s">
        <v>1953</v>
      </c>
      <c r="B126" s="213">
        <v>456</v>
      </c>
      <c r="C126" s="212" t="s">
        <v>1563</v>
      </c>
      <c r="D126" s="214" t="s">
        <v>1562</v>
      </c>
      <c r="E126" s="1404">
        <v>0</v>
      </c>
      <c r="F126" s="315" t="str">
        <f>$G$2</f>
        <v>Traditional OOR</v>
      </c>
      <c r="G126" s="1417">
        <f t="shared" si="17"/>
        <v>0</v>
      </c>
      <c r="H126" s="1418">
        <v>0</v>
      </c>
      <c r="I126" s="1418">
        <f t="shared" si="18"/>
        <v>0</v>
      </c>
      <c r="J126" s="1417">
        <f t="shared" si="19"/>
        <v>0</v>
      </c>
      <c r="K126" s="1417"/>
      <c r="L126" s="1399"/>
      <c r="M126" s="1419">
        <f>J126-L126</f>
        <v>0</v>
      </c>
      <c r="N126" s="1417">
        <f t="shared" si="20"/>
        <v>0</v>
      </c>
      <c r="O126" s="218">
        <v>1</v>
      </c>
    </row>
    <row r="127" spans="1:15">
      <c r="A127" s="1084" t="s">
        <v>2576</v>
      </c>
      <c r="B127" s="213">
        <v>456</v>
      </c>
      <c r="C127" s="213">
        <v>4186911</v>
      </c>
      <c r="D127" s="229" t="s">
        <v>2574</v>
      </c>
      <c r="E127" s="1404">
        <v>3603425.43</v>
      </c>
      <c r="F127" s="315" t="str">
        <f>$N$2</f>
        <v>Other Ratemaking</v>
      </c>
      <c r="G127" s="1417">
        <f t="shared" si="17"/>
        <v>0</v>
      </c>
      <c r="H127" s="1418">
        <v>0</v>
      </c>
      <c r="I127" s="1418">
        <f t="shared" si="18"/>
        <v>0</v>
      </c>
      <c r="J127" s="1417">
        <f t="shared" si="19"/>
        <v>0</v>
      </c>
      <c r="K127" s="1417"/>
      <c r="L127" s="1399"/>
      <c r="M127" s="1418">
        <f t="shared" ref="M127:M128" si="26">J127-L127</f>
        <v>0</v>
      </c>
      <c r="N127" s="1417">
        <f t="shared" si="20"/>
        <v>3603425.43</v>
      </c>
      <c r="O127" s="215">
        <v>6</v>
      </c>
    </row>
    <row r="128" spans="1:15">
      <c r="A128" s="1084" t="s">
        <v>2577</v>
      </c>
      <c r="B128" s="213">
        <v>456</v>
      </c>
      <c r="C128" s="213">
        <v>4186925</v>
      </c>
      <c r="D128" s="229" t="s">
        <v>2575</v>
      </c>
      <c r="E128" s="1404">
        <v>390808662.54000002</v>
      </c>
      <c r="F128" s="315" t="str">
        <f>$N$2</f>
        <v>Other Ratemaking</v>
      </c>
      <c r="G128" s="1417">
        <f t="shared" si="17"/>
        <v>0</v>
      </c>
      <c r="H128" s="1418">
        <v>0</v>
      </c>
      <c r="I128" s="1418">
        <f t="shared" si="18"/>
        <v>0</v>
      </c>
      <c r="J128" s="1417">
        <f t="shared" si="19"/>
        <v>0</v>
      </c>
      <c r="K128" s="1417"/>
      <c r="L128" s="1399"/>
      <c r="M128" s="1418">
        <f t="shared" si="26"/>
        <v>0</v>
      </c>
      <c r="N128" s="1417">
        <f t="shared" si="20"/>
        <v>390808662.54000002</v>
      </c>
      <c r="O128" s="215">
        <v>6</v>
      </c>
    </row>
    <row r="129" spans="1:15">
      <c r="A129" s="1284" t="s">
        <v>2850</v>
      </c>
      <c r="B129" s="1285">
        <v>456</v>
      </c>
      <c r="C129" s="1285">
        <v>4186174</v>
      </c>
      <c r="D129" s="1286" t="s">
        <v>2851</v>
      </c>
      <c r="E129" s="1404">
        <v>68.760000000000005</v>
      </c>
      <c r="F129" s="1212" t="str">
        <f>$G$2</f>
        <v>Traditional OOR</v>
      </c>
      <c r="G129" s="1404">
        <f t="shared" si="17"/>
        <v>68.760000000000005</v>
      </c>
      <c r="H129" s="1287">
        <v>0</v>
      </c>
      <c r="I129" s="1287">
        <f>G129-H129</f>
        <v>68.760000000000005</v>
      </c>
      <c r="J129" s="1404">
        <f>IF(F129=$J$2,E129,0)</f>
        <v>0</v>
      </c>
      <c r="K129" s="1404"/>
      <c r="L129" s="1287"/>
      <c r="M129" s="1287">
        <f>J129-L129</f>
        <v>0</v>
      </c>
      <c r="N129" s="1404">
        <f>IF(F129=$N$2,E129,0)</f>
        <v>0</v>
      </c>
      <c r="O129" s="1288">
        <v>1</v>
      </c>
    </row>
    <row r="130" spans="1:15">
      <c r="A130" s="1284" t="s">
        <v>2852</v>
      </c>
      <c r="B130" s="1285">
        <v>456</v>
      </c>
      <c r="C130" s="1285">
        <v>4186740</v>
      </c>
      <c r="D130" s="1286" t="s">
        <v>2853</v>
      </c>
      <c r="E130" s="1404">
        <v>142597.57999999999</v>
      </c>
      <c r="F130" s="319" t="str">
        <f>$J$2</f>
        <v>GRSM</v>
      </c>
      <c r="G130" s="1404">
        <f t="shared" si="17"/>
        <v>0</v>
      </c>
      <c r="H130" s="1287">
        <v>0</v>
      </c>
      <c r="I130" s="1287">
        <f>G130-H130</f>
        <v>0</v>
      </c>
      <c r="J130" s="1404">
        <f>IF(F130=$J$2,E130,0)</f>
        <v>142597.57999999999</v>
      </c>
      <c r="K130" s="1404" t="s">
        <v>614</v>
      </c>
      <c r="L130" s="1287">
        <v>33569.43</v>
      </c>
      <c r="M130" s="1287">
        <f>J130-L130</f>
        <v>109028.15</v>
      </c>
      <c r="N130" s="1404">
        <f>IF(F130=$N$2,E130,0)</f>
        <v>0</v>
      </c>
      <c r="O130" s="1288">
        <v>1</v>
      </c>
    </row>
    <row r="131" spans="1:15" s="1189" customFormat="1">
      <c r="A131" s="1284" t="s">
        <v>3009</v>
      </c>
      <c r="B131" s="1285">
        <v>456</v>
      </c>
      <c r="C131" s="1285">
        <v>4186116</v>
      </c>
      <c r="D131" s="1286" t="s">
        <v>3012</v>
      </c>
      <c r="E131" s="1404">
        <v>22470.99</v>
      </c>
      <c r="F131" s="1212" t="str">
        <f>$N$2</f>
        <v>Other Ratemaking</v>
      </c>
      <c r="G131" s="1404">
        <f t="shared" si="17"/>
        <v>0</v>
      </c>
      <c r="H131" s="1287">
        <v>0</v>
      </c>
      <c r="I131" s="1287">
        <f t="shared" si="18"/>
        <v>0</v>
      </c>
      <c r="J131" s="1404">
        <f t="shared" ref="J131:J133" si="27">IF(F131=$J$2,E131,0)</f>
        <v>0</v>
      </c>
      <c r="K131" s="1404"/>
      <c r="L131" s="1287">
        <v>0</v>
      </c>
      <c r="M131" s="1287">
        <f t="shared" ref="M131:M133" si="28">J131-L131</f>
        <v>0</v>
      </c>
      <c r="N131" s="1404">
        <f t="shared" ref="N131:N133" si="29">IF(F131=$N$2,E131,0)</f>
        <v>22470.99</v>
      </c>
      <c r="O131" s="1288">
        <v>6</v>
      </c>
    </row>
    <row r="132" spans="1:15" s="1189" customFormat="1">
      <c r="A132" s="1284" t="s">
        <v>3010</v>
      </c>
      <c r="B132" s="1285">
        <v>456</v>
      </c>
      <c r="C132" s="1285">
        <v>6165180</v>
      </c>
      <c r="D132" s="1286" t="s">
        <v>3013</v>
      </c>
      <c r="E132" s="1404">
        <v>493.77</v>
      </c>
      <c r="F132" s="1212" t="str">
        <f>$G$2</f>
        <v>Traditional OOR</v>
      </c>
      <c r="G132" s="1404">
        <f t="shared" si="17"/>
        <v>493.77</v>
      </c>
      <c r="H132" s="1287">
        <v>0</v>
      </c>
      <c r="I132" s="1287">
        <f t="shared" si="18"/>
        <v>493.77</v>
      </c>
      <c r="J132" s="1404">
        <f t="shared" si="27"/>
        <v>0</v>
      </c>
      <c r="K132" s="1404"/>
      <c r="L132" s="1287">
        <v>0</v>
      </c>
      <c r="M132" s="1287">
        <f t="shared" si="28"/>
        <v>0</v>
      </c>
      <c r="N132" s="1404">
        <f t="shared" si="29"/>
        <v>0</v>
      </c>
      <c r="O132" s="1288">
        <v>4</v>
      </c>
    </row>
    <row r="133" spans="1:15" s="1189" customFormat="1">
      <c r="A133" s="1284" t="s">
        <v>3011</v>
      </c>
      <c r="B133" s="1285">
        <v>456</v>
      </c>
      <c r="C133" s="1285">
        <v>8050121</v>
      </c>
      <c r="D133" s="1286" t="s">
        <v>3014</v>
      </c>
      <c r="E133" s="1404">
        <v>5.08</v>
      </c>
      <c r="F133" s="1212" t="str">
        <f>$G$2</f>
        <v>Traditional OOR</v>
      </c>
      <c r="G133" s="1404">
        <f t="shared" si="17"/>
        <v>5.08</v>
      </c>
      <c r="H133" s="1287">
        <v>0</v>
      </c>
      <c r="I133" s="1287">
        <f t="shared" si="18"/>
        <v>5.08</v>
      </c>
      <c r="J133" s="1404">
        <f t="shared" si="27"/>
        <v>0</v>
      </c>
      <c r="K133" s="1404"/>
      <c r="L133" s="1287">
        <v>0</v>
      </c>
      <c r="M133" s="1287">
        <f t="shared" si="28"/>
        <v>0</v>
      </c>
      <c r="N133" s="1404">
        <f t="shared" si="29"/>
        <v>0</v>
      </c>
      <c r="O133" s="1288">
        <v>4</v>
      </c>
    </row>
    <row r="134" spans="1:15" s="1189" customFormat="1">
      <c r="A134" s="1284"/>
      <c r="B134" s="1289"/>
      <c r="C134" s="1290"/>
      <c r="D134" s="1291"/>
      <c r="E134" s="1404"/>
      <c r="F134" s="1212"/>
      <c r="G134" s="1404"/>
      <c r="H134" s="1287"/>
      <c r="I134" s="1287"/>
      <c r="J134" s="1404"/>
      <c r="K134" s="1404"/>
      <c r="L134" s="1287"/>
      <c r="M134" s="1287"/>
      <c r="N134" s="1404"/>
      <c r="O134" s="1288"/>
    </row>
    <row r="135" spans="1:15" s="1189" customFormat="1">
      <c r="A135" s="1284"/>
      <c r="B135" s="1289"/>
      <c r="C135" s="1290"/>
      <c r="D135" s="1291"/>
      <c r="E135" s="1404"/>
      <c r="F135" s="1212"/>
      <c r="G135" s="1404"/>
      <c r="H135" s="1287"/>
      <c r="I135" s="1287"/>
      <c r="J135" s="1404"/>
      <c r="K135" s="1404"/>
      <c r="L135" s="1287"/>
      <c r="M135" s="1287"/>
      <c r="N135" s="1404"/>
      <c r="O135" s="1288"/>
    </row>
    <row r="136" spans="1:15">
      <c r="A136" s="216">
        <v>13</v>
      </c>
      <c r="B136" s="1463" t="s">
        <v>901</v>
      </c>
      <c r="C136" s="1461"/>
      <c r="D136" s="1462"/>
      <c r="E136" s="1402">
        <f>SUM(E73:E135)</f>
        <v>460444152.58999997</v>
      </c>
      <c r="F136" s="335"/>
      <c r="G136" s="1405">
        <f>SUM(G73:G133)</f>
        <v>63755041.146626398</v>
      </c>
      <c r="H136" s="1405">
        <f>SUM(H73:H133)</f>
        <v>39853.386626399995</v>
      </c>
      <c r="I136" s="1405">
        <f>SUM(I73:I133)</f>
        <v>63715187.760000005</v>
      </c>
      <c r="J136" s="1402">
        <f>SUM(J73:J133)</f>
        <v>2040401.11</v>
      </c>
      <c r="K136" s="1421"/>
      <c r="L136" s="1402">
        <f>SUM(L73:L133)</f>
        <v>228593.38</v>
      </c>
      <c r="M136" s="1402">
        <f>SUM(M73:M133)</f>
        <v>1811807.73</v>
      </c>
      <c r="N136" s="1405">
        <f>SUM(N73:N133)</f>
        <v>394648710.33337361</v>
      </c>
      <c r="O136" s="205"/>
    </row>
    <row r="137" spans="1:15" ht="25.5" customHeight="1">
      <c r="A137" s="216">
        <v>14</v>
      </c>
      <c r="B137" s="1455" t="s">
        <v>1378</v>
      </c>
      <c r="C137" s="1456"/>
      <c r="D137" s="1457"/>
      <c r="E137" s="1403">
        <v>460444153</v>
      </c>
      <c r="F137" s="326"/>
      <c r="G137" s="339"/>
      <c r="H137" s="326"/>
      <c r="I137" s="326"/>
      <c r="J137" s="339"/>
      <c r="K137" s="326"/>
      <c r="L137" s="314"/>
      <c r="M137" s="314"/>
      <c r="N137" s="314"/>
      <c r="O137" s="204"/>
    </row>
    <row r="138" spans="1:15">
      <c r="A138" s="219"/>
      <c r="B138" s="220"/>
      <c r="C138" s="221"/>
      <c r="D138" s="222"/>
      <c r="E138" s="1407"/>
      <c r="F138" s="314"/>
      <c r="G138" s="314"/>
      <c r="H138" s="326"/>
      <c r="I138" s="326"/>
      <c r="J138" s="314"/>
      <c r="K138" s="326"/>
      <c r="L138" s="314"/>
      <c r="M138" s="314"/>
      <c r="N138" s="314"/>
      <c r="O138" s="204"/>
    </row>
    <row r="139" spans="1:15">
      <c r="A139" s="216" t="s">
        <v>902</v>
      </c>
      <c r="B139" s="213">
        <v>456.1</v>
      </c>
      <c r="C139" s="217" t="s">
        <v>903</v>
      </c>
      <c r="D139" s="214" t="s">
        <v>904</v>
      </c>
      <c r="E139" s="1408">
        <v>0</v>
      </c>
      <c r="F139" s="315" t="str">
        <f>$G$2</f>
        <v>Traditional OOR</v>
      </c>
      <c r="G139" s="1417">
        <f t="shared" ref="G139:G161" si="30">IF(F139=$G$2,E139,0)</f>
        <v>0</v>
      </c>
      <c r="H139" s="1418">
        <f>G139</f>
        <v>0</v>
      </c>
      <c r="I139" s="1418">
        <f t="shared" ref="I139:I160" si="31">G139-H139</f>
        <v>0</v>
      </c>
      <c r="J139" s="1417">
        <f t="shared" ref="J139:J161" si="32">IF(F139=$J$2,E139,0)</f>
        <v>0</v>
      </c>
      <c r="K139" s="1415"/>
      <c r="L139" s="1399"/>
      <c r="M139" s="1419">
        <f t="shared" ref="M139:M161" si="33">J139-L139</f>
        <v>0</v>
      </c>
      <c r="N139" s="1417">
        <f t="shared" ref="N139:N161" si="34">IF(F139=$N$2,E139,0)</f>
        <v>0</v>
      </c>
      <c r="O139" s="218">
        <v>5</v>
      </c>
    </row>
    <row r="140" spans="1:15">
      <c r="A140" s="216" t="s">
        <v>905</v>
      </c>
      <c r="B140" s="213">
        <v>456.1</v>
      </c>
      <c r="C140" s="217" t="s">
        <v>906</v>
      </c>
      <c r="D140" s="214" t="s">
        <v>907</v>
      </c>
      <c r="E140" s="1408">
        <v>298192.19</v>
      </c>
      <c r="F140" s="315" t="str">
        <f>$G$2</f>
        <v>Traditional OOR</v>
      </c>
      <c r="G140" s="1417">
        <f t="shared" si="30"/>
        <v>298192.19</v>
      </c>
      <c r="H140" s="1418">
        <v>0</v>
      </c>
      <c r="I140" s="1418">
        <f t="shared" si="31"/>
        <v>298192.19</v>
      </c>
      <c r="J140" s="1417">
        <f t="shared" si="32"/>
        <v>0</v>
      </c>
      <c r="K140" s="1415"/>
      <c r="L140" s="1399"/>
      <c r="M140" s="1419">
        <f t="shared" si="33"/>
        <v>0</v>
      </c>
      <c r="N140" s="1417">
        <f t="shared" si="34"/>
        <v>0</v>
      </c>
      <c r="O140" s="218">
        <v>4</v>
      </c>
    </row>
    <row r="141" spans="1:15">
      <c r="A141" s="216" t="s">
        <v>908</v>
      </c>
      <c r="B141" s="213">
        <v>456.1</v>
      </c>
      <c r="C141" s="217" t="s">
        <v>909</v>
      </c>
      <c r="D141" s="214" t="s">
        <v>910</v>
      </c>
      <c r="E141" s="1408">
        <v>992562.96</v>
      </c>
      <c r="F141" s="315" t="str">
        <f>$G$2</f>
        <v>Traditional OOR</v>
      </c>
      <c r="G141" s="1417">
        <f t="shared" si="30"/>
        <v>992562.96</v>
      </c>
      <c r="H141" s="1418">
        <v>0</v>
      </c>
      <c r="I141" s="1418">
        <f t="shared" si="31"/>
        <v>992562.96</v>
      </c>
      <c r="J141" s="1417">
        <f t="shared" si="32"/>
        <v>0</v>
      </c>
      <c r="K141" s="1415"/>
      <c r="L141" s="1399"/>
      <c r="M141" s="1419">
        <f t="shared" si="33"/>
        <v>0</v>
      </c>
      <c r="N141" s="1417">
        <f t="shared" si="34"/>
        <v>0</v>
      </c>
      <c r="O141" s="218">
        <v>4</v>
      </c>
    </row>
    <row r="142" spans="1:15">
      <c r="A142" s="216" t="s">
        <v>911</v>
      </c>
      <c r="B142" s="213">
        <v>456.1</v>
      </c>
      <c r="C142" s="217" t="s">
        <v>912</v>
      </c>
      <c r="D142" s="214" t="s">
        <v>913</v>
      </c>
      <c r="E142" s="1408">
        <v>140280.73000000001</v>
      </c>
      <c r="F142" s="315" t="str">
        <f>$N$2</f>
        <v>Other Ratemaking</v>
      </c>
      <c r="G142" s="1417">
        <f t="shared" si="30"/>
        <v>0</v>
      </c>
      <c r="H142" s="1418">
        <v>0</v>
      </c>
      <c r="I142" s="1418">
        <f t="shared" si="31"/>
        <v>0</v>
      </c>
      <c r="J142" s="1417">
        <f t="shared" si="32"/>
        <v>0</v>
      </c>
      <c r="K142" s="1415"/>
      <c r="L142" s="1399"/>
      <c r="M142" s="1419">
        <f t="shared" si="33"/>
        <v>0</v>
      </c>
      <c r="N142" s="1417">
        <f t="shared" si="34"/>
        <v>140280.73000000001</v>
      </c>
      <c r="O142" s="218">
        <v>6</v>
      </c>
    </row>
    <row r="143" spans="1:15">
      <c r="A143" s="216" t="s">
        <v>914</v>
      </c>
      <c r="B143" s="213">
        <v>456.1</v>
      </c>
      <c r="C143" s="217" t="s">
        <v>915</v>
      </c>
      <c r="D143" s="214" t="s">
        <v>916</v>
      </c>
      <c r="E143" s="1408">
        <v>29455888.190000001</v>
      </c>
      <c r="F143" s="315" t="str">
        <f>$N$2</f>
        <v>Other Ratemaking</v>
      </c>
      <c r="G143" s="1417">
        <f t="shared" si="30"/>
        <v>0</v>
      </c>
      <c r="H143" s="1418">
        <v>0</v>
      </c>
      <c r="I143" s="1418">
        <f t="shared" si="31"/>
        <v>0</v>
      </c>
      <c r="J143" s="1417">
        <f t="shared" si="32"/>
        <v>0</v>
      </c>
      <c r="K143" s="1415"/>
      <c r="L143" s="1399"/>
      <c r="M143" s="1419">
        <f t="shared" si="33"/>
        <v>0</v>
      </c>
      <c r="N143" s="1417">
        <f t="shared" si="34"/>
        <v>29455888.190000001</v>
      </c>
      <c r="O143" s="218">
        <v>6</v>
      </c>
    </row>
    <row r="144" spans="1:15">
      <c r="A144" s="216" t="s">
        <v>917</v>
      </c>
      <c r="B144" s="213">
        <v>456.1</v>
      </c>
      <c r="C144" s="217" t="s">
        <v>918</v>
      </c>
      <c r="D144" s="214" t="s">
        <v>919</v>
      </c>
      <c r="E144" s="1408">
        <v>0</v>
      </c>
      <c r="F144" s="315" t="str">
        <f>$N$2</f>
        <v>Other Ratemaking</v>
      </c>
      <c r="G144" s="1417">
        <f t="shared" si="30"/>
        <v>0</v>
      </c>
      <c r="H144" s="1418">
        <v>0</v>
      </c>
      <c r="I144" s="1418">
        <f t="shared" si="31"/>
        <v>0</v>
      </c>
      <c r="J144" s="1417">
        <f t="shared" si="32"/>
        <v>0</v>
      </c>
      <c r="K144" s="1415"/>
      <c r="L144" s="1399"/>
      <c r="M144" s="1419">
        <f t="shared" si="33"/>
        <v>0</v>
      </c>
      <c r="N144" s="1417">
        <f t="shared" si="34"/>
        <v>0</v>
      </c>
      <c r="O144" s="218">
        <v>6</v>
      </c>
    </row>
    <row r="145" spans="1:15">
      <c r="A145" s="216" t="s">
        <v>920</v>
      </c>
      <c r="B145" s="213">
        <v>456.1</v>
      </c>
      <c r="C145" s="217" t="s">
        <v>921</v>
      </c>
      <c r="D145" s="214" t="s">
        <v>922</v>
      </c>
      <c r="E145" s="1408">
        <v>41697457.789999999</v>
      </c>
      <c r="F145" s="315" t="str">
        <f>$G$2</f>
        <v>Traditional OOR</v>
      </c>
      <c r="G145" s="1417">
        <f t="shared" si="30"/>
        <v>41697457.789999999</v>
      </c>
      <c r="H145" s="1418">
        <f>G145</f>
        <v>41697457.789999999</v>
      </c>
      <c r="I145" s="1418">
        <f t="shared" si="31"/>
        <v>0</v>
      </c>
      <c r="J145" s="1417">
        <f t="shared" si="32"/>
        <v>0</v>
      </c>
      <c r="K145" s="1415"/>
      <c r="L145" s="1399"/>
      <c r="M145" s="1419">
        <f t="shared" si="33"/>
        <v>0</v>
      </c>
      <c r="N145" s="1417">
        <f t="shared" si="34"/>
        <v>0</v>
      </c>
      <c r="O145" s="218">
        <v>5</v>
      </c>
    </row>
    <row r="146" spans="1:15">
      <c r="A146" s="216" t="s">
        <v>923</v>
      </c>
      <c r="B146" s="213">
        <v>456.1</v>
      </c>
      <c r="C146" s="217" t="s">
        <v>924</v>
      </c>
      <c r="D146" s="214" t="s">
        <v>925</v>
      </c>
      <c r="E146" s="1408">
        <v>5283226.04</v>
      </c>
      <c r="F146" s="315" t="str">
        <f>$G$2</f>
        <v>Traditional OOR</v>
      </c>
      <c r="G146" s="1417">
        <f t="shared" si="30"/>
        <v>5283226.04</v>
      </c>
      <c r="H146" s="1418">
        <v>0</v>
      </c>
      <c r="I146" s="1418">
        <f t="shared" si="31"/>
        <v>5283226.04</v>
      </c>
      <c r="J146" s="1417">
        <f t="shared" si="32"/>
        <v>0</v>
      </c>
      <c r="K146" s="1415"/>
      <c r="L146" s="1399"/>
      <c r="M146" s="1419">
        <f t="shared" si="33"/>
        <v>0</v>
      </c>
      <c r="N146" s="1417">
        <f t="shared" si="34"/>
        <v>0</v>
      </c>
      <c r="O146" s="218">
        <v>4</v>
      </c>
    </row>
    <row r="147" spans="1:15">
      <c r="A147" s="216" t="s">
        <v>926</v>
      </c>
      <c r="B147" s="213">
        <v>456.1</v>
      </c>
      <c r="C147" s="217" t="s">
        <v>927</v>
      </c>
      <c r="D147" s="214" t="s">
        <v>928</v>
      </c>
      <c r="E147" s="1408">
        <v>394622.16</v>
      </c>
      <c r="F147" s="315" t="str">
        <f>$G$2</f>
        <v>Traditional OOR</v>
      </c>
      <c r="G147" s="1417">
        <f t="shared" si="30"/>
        <v>394622.16</v>
      </c>
      <c r="H147" s="1418">
        <v>0</v>
      </c>
      <c r="I147" s="1418">
        <f t="shared" si="31"/>
        <v>394622.16</v>
      </c>
      <c r="J147" s="1417">
        <f t="shared" si="32"/>
        <v>0</v>
      </c>
      <c r="K147" s="1415"/>
      <c r="L147" s="1399"/>
      <c r="M147" s="1419">
        <f t="shared" si="33"/>
        <v>0</v>
      </c>
      <c r="N147" s="1417">
        <f t="shared" si="34"/>
        <v>0</v>
      </c>
      <c r="O147" s="218">
        <v>4</v>
      </c>
    </row>
    <row r="148" spans="1:15">
      <c r="A148" s="216" t="s">
        <v>929</v>
      </c>
      <c r="B148" s="213">
        <v>456.1</v>
      </c>
      <c r="C148" s="217" t="s">
        <v>930</v>
      </c>
      <c r="D148" s="214" t="s">
        <v>931</v>
      </c>
      <c r="E148" s="1408">
        <v>0</v>
      </c>
      <c r="F148" s="315" t="str">
        <f>$N$2</f>
        <v>Other Ratemaking</v>
      </c>
      <c r="G148" s="1417">
        <f t="shared" si="30"/>
        <v>0</v>
      </c>
      <c r="H148" s="1418">
        <v>0</v>
      </c>
      <c r="I148" s="1418">
        <f t="shared" si="31"/>
        <v>0</v>
      </c>
      <c r="J148" s="1417">
        <f t="shared" si="32"/>
        <v>0</v>
      </c>
      <c r="K148" s="1415"/>
      <c r="L148" s="1399"/>
      <c r="M148" s="1419">
        <f t="shared" si="33"/>
        <v>0</v>
      </c>
      <c r="N148" s="1417">
        <f t="shared" si="34"/>
        <v>0</v>
      </c>
      <c r="O148" s="218">
        <v>6</v>
      </c>
    </row>
    <row r="149" spans="1:15">
      <c r="A149" s="216" t="s">
        <v>932</v>
      </c>
      <c r="B149" s="213">
        <v>456.1</v>
      </c>
      <c r="C149" s="217" t="s">
        <v>933</v>
      </c>
      <c r="D149" s="214" t="s">
        <v>934</v>
      </c>
      <c r="E149" s="1408">
        <v>1080948.48</v>
      </c>
      <c r="F149" s="315" t="str">
        <f t="shared" ref="F149:F159" si="35">$G$2</f>
        <v>Traditional OOR</v>
      </c>
      <c r="G149" s="1417">
        <f t="shared" si="30"/>
        <v>1080948.48</v>
      </c>
      <c r="H149" s="1418">
        <v>0</v>
      </c>
      <c r="I149" s="1418">
        <f t="shared" si="31"/>
        <v>1080948.48</v>
      </c>
      <c r="J149" s="1417">
        <f t="shared" si="32"/>
        <v>0</v>
      </c>
      <c r="K149" s="1415"/>
      <c r="L149" s="1399"/>
      <c r="M149" s="1419">
        <f t="shared" si="33"/>
        <v>0</v>
      </c>
      <c r="N149" s="1417">
        <f t="shared" si="34"/>
        <v>0</v>
      </c>
      <c r="O149" s="218">
        <v>4</v>
      </c>
    </row>
    <row r="150" spans="1:15">
      <c r="A150" s="216" t="s">
        <v>935</v>
      </c>
      <c r="B150" s="213">
        <v>456.1</v>
      </c>
      <c r="C150" s="217" t="s">
        <v>936</v>
      </c>
      <c r="D150" s="214" t="s">
        <v>937</v>
      </c>
      <c r="E150" s="1408">
        <v>402147.6</v>
      </c>
      <c r="F150" s="315" t="str">
        <f t="shared" si="35"/>
        <v>Traditional OOR</v>
      </c>
      <c r="G150" s="1417">
        <f t="shared" si="30"/>
        <v>402147.6</v>
      </c>
      <c r="H150" s="1418">
        <v>0</v>
      </c>
      <c r="I150" s="1418">
        <f t="shared" si="31"/>
        <v>402147.6</v>
      </c>
      <c r="J150" s="1417">
        <f t="shared" si="32"/>
        <v>0</v>
      </c>
      <c r="K150" s="1415"/>
      <c r="L150" s="1399"/>
      <c r="M150" s="1419">
        <f t="shared" si="33"/>
        <v>0</v>
      </c>
      <c r="N150" s="1417">
        <f t="shared" si="34"/>
        <v>0</v>
      </c>
      <c r="O150" s="218">
        <v>4</v>
      </c>
    </row>
    <row r="151" spans="1:15">
      <c r="A151" s="216" t="s">
        <v>938</v>
      </c>
      <c r="B151" s="213">
        <v>456.1</v>
      </c>
      <c r="C151" s="217" t="s">
        <v>939</v>
      </c>
      <c r="D151" s="214" t="s">
        <v>940</v>
      </c>
      <c r="E151" s="1408">
        <v>209706</v>
      </c>
      <c r="F151" s="315" t="str">
        <f t="shared" si="35"/>
        <v>Traditional OOR</v>
      </c>
      <c r="G151" s="1417">
        <f t="shared" si="30"/>
        <v>209706</v>
      </c>
      <c r="H151" s="1418">
        <v>0</v>
      </c>
      <c r="I151" s="1418">
        <f t="shared" si="31"/>
        <v>209706</v>
      </c>
      <c r="J151" s="1417">
        <f t="shared" si="32"/>
        <v>0</v>
      </c>
      <c r="K151" s="1415"/>
      <c r="L151" s="1399"/>
      <c r="M151" s="1419">
        <f t="shared" si="33"/>
        <v>0</v>
      </c>
      <c r="N151" s="1417">
        <f t="shared" si="34"/>
        <v>0</v>
      </c>
      <c r="O151" s="218">
        <v>4</v>
      </c>
    </row>
    <row r="152" spans="1:15">
      <c r="A152" s="216" t="s">
        <v>941</v>
      </c>
      <c r="B152" s="213">
        <v>456.1</v>
      </c>
      <c r="C152" s="217" t="s">
        <v>942</v>
      </c>
      <c r="D152" s="214" t="s">
        <v>943</v>
      </c>
      <c r="E152" s="1408">
        <v>551001.72</v>
      </c>
      <c r="F152" s="315" t="str">
        <f t="shared" si="35"/>
        <v>Traditional OOR</v>
      </c>
      <c r="G152" s="1417">
        <f t="shared" si="30"/>
        <v>551001.72</v>
      </c>
      <c r="H152" s="1418">
        <v>0</v>
      </c>
      <c r="I152" s="1418">
        <f t="shared" si="31"/>
        <v>551001.72</v>
      </c>
      <c r="J152" s="1417">
        <f t="shared" si="32"/>
        <v>0</v>
      </c>
      <c r="K152" s="1415"/>
      <c r="L152" s="1399"/>
      <c r="M152" s="1419">
        <f t="shared" si="33"/>
        <v>0</v>
      </c>
      <c r="N152" s="1417">
        <f t="shared" si="34"/>
        <v>0</v>
      </c>
      <c r="O152" s="218">
        <v>4</v>
      </c>
    </row>
    <row r="153" spans="1:15">
      <c r="A153" s="216" t="s">
        <v>944</v>
      </c>
      <c r="B153" s="213">
        <v>456.1</v>
      </c>
      <c r="C153" s="217" t="s">
        <v>945</v>
      </c>
      <c r="D153" s="214" t="s">
        <v>946</v>
      </c>
      <c r="E153" s="1408">
        <v>651331.07999999996</v>
      </c>
      <c r="F153" s="315" t="str">
        <f t="shared" si="35"/>
        <v>Traditional OOR</v>
      </c>
      <c r="G153" s="1417">
        <f t="shared" si="30"/>
        <v>651331.07999999996</v>
      </c>
      <c r="H153" s="1418">
        <v>0</v>
      </c>
      <c r="I153" s="1418">
        <f t="shared" si="31"/>
        <v>651331.07999999996</v>
      </c>
      <c r="J153" s="1417">
        <f t="shared" si="32"/>
        <v>0</v>
      </c>
      <c r="K153" s="1415"/>
      <c r="L153" s="1399"/>
      <c r="M153" s="1419">
        <f t="shared" si="33"/>
        <v>0</v>
      </c>
      <c r="N153" s="1417">
        <f t="shared" si="34"/>
        <v>0</v>
      </c>
      <c r="O153" s="218">
        <v>4</v>
      </c>
    </row>
    <row r="154" spans="1:15">
      <c r="A154" s="216" t="s">
        <v>947</v>
      </c>
      <c r="B154" s="213">
        <v>456.1</v>
      </c>
      <c r="C154" s="217" t="s">
        <v>948</v>
      </c>
      <c r="D154" s="214" t="s">
        <v>949</v>
      </c>
      <c r="E154" s="1408">
        <v>264133.44</v>
      </c>
      <c r="F154" s="315" t="str">
        <f t="shared" si="35"/>
        <v>Traditional OOR</v>
      </c>
      <c r="G154" s="1417">
        <f t="shared" si="30"/>
        <v>264133.44</v>
      </c>
      <c r="H154" s="1418">
        <v>0</v>
      </c>
      <c r="I154" s="1418">
        <f t="shared" si="31"/>
        <v>264133.44</v>
      </c>
      <c r="J154" s="1417">
        <f t="shared" si="32"/>
        <v>0</v>
      </c>
      <c r="K154" s="1415"/>
      <c r="L154" s="1399"/>
      <c r="M154" s="1419">
        <f t="shared" si="33"/>
        <v>0</v>
      </c>
      <c r="N154" s="1417">
        <f t="shared" si="34"/>
        <v>0</v>
      </c>
      <c r="O154" s="218">
        <v>4</v>
      </c>
    </row>
    <row r="155" spans="1:15">
      <c r="A155" s="216" t="s">
        <v>950</v>
      </c>
      <c r="B155" s="213">
        <v>456.1</v>
      </c>
      <c r="C155" s="217" t="s">
        <v>951</v>
      </c>
      <c r="D155" s="214" t="s">
        <v>952</v>
      </c>
      <c r="E155" s="1404">
        <v>0</v>
      </c>
      <c r="F155" s="315" t="str">
        <f t="shared" si="35"/>
        <v>Traditional OOR</v>
      </c>
      <c r="G155" s="1417">
        <f t="shared" si="30"/>
        <v>0</v>
      </c>
      <c r="H155" s="1418">
        <v>0</v>
      </c>
      <c r="I155" s="1418">
        <f t="shared" si="31"/>
        <v>0</v>
      </c>
      <c r="J155" s="1417">
        <f t="shared" si="32"/>
        <v>0</v>
      </c>
      <c r="K155" s="1417"/>
      <c r="L155" s="1399"/>
      <c r="M155" s="1419">
        <f t="shared" si="33"/>
        <v>0</v>
      </c>
      <c r="N155" s="1417">
        <f t="shared" si="34"/>
        <v>0</v>
      </c>
      <c r="O155" s="218">
        <v>4</v>
      </c>
    </row>
    <row r="156" spans="1:15">
      <c r="A156" s="216" t="s">
        <v>953</v>
      </c>
      <c r="B156" s="213">
        <v>456.1</v>
      </c>
      <c r="C156" s="217" t="s">
        <v>954</v>
      </c>
      <c r="D156" s="214" t="s">
        <v>955</v>
      </c>
      <c r="E156" s="1408">
        <v>42492.12</v>
      </c>
      <c r="F156" s="315" t="str">
        <f t="shared" si="35"/>
        <v>Traditional OOR</v>
      </c>
      <c r="G156" s="1417">
        <f t="shared" si="30"/>
        <v>42492.12</v>
      </c>
      <c r="H156" s="1418">
        <v>0</v>
      </c>
      <c r="I156" s="1418">
        <f t="shared" si="31"/>
        <v>42492.12</v>
      </c>
      <c r="J156" s="1417">
        <f t="shared" si="32"/>
        <v>0</v>
      </c>
      <c r="K156" s="1415"/>
      <c r="L156" s="1399"/>
      <c r="M156" s="1419">
        <f t="shared" si="33"/>
        <v>0</v>
      </c>
      <c r="N156" s="1417">
        <f t="shared" si="34"/>
        <v>0</v>
      </c>
      <c r="O156" s="218">
        <v>4</v>
      </c>
    </row>
    <row r="157" spans="1:15">
      <c r="A157" s="216" t="s">
        <v>956</v>
      </c>
      <c r="B157" s="213">
        <v>456.1</v>
      </c>
      <c r="C157" s="217" t="s">
        <v>957</v>
      </c>
      <c r="D157" s="214" t="s">
        <v>958</v>
      </c>
      <c r="E157" s="1408">
        <v>0</v>
      </c>
      <c r="F157" s="315" t="str">
        <f>$N$2</f>
        <v>Other Ratemaking</v>
      </c>
      <c r="G157" s="1417">
        <f t="shared" si="30"/>
        <v>0</v>
      </c>
      <c r="H157" s="1418">
        <v>0</v>
      </c>
      <c r="I157" s="1418">
        <f t="shared" si="31"/>
        <v>0</v>
      </c>
      <c r="J157" s="1417">
        <f t="shared" si="32"/>
        <v>0</v>
      </c>
      <c r="K157" s="1415"/>
      <c r="L157" s="1399"/>
      <c r="M157" s="1419">
        <f t="shared" si="33"/>
        <v>0</v>
      </c>
      <c r="N157" s="1417">
        <f t="shared" si="34"/>
        <v>0</v>
      </c>
      <c r="O157" s="218">
        <v>6</v>
      </c>
    </row>
    <row r="158" spans="1:15" s="1189" customFormat="1">
      <c r="A158" s="1284" t="s">
        <v>3015</v>
      </c>
      <c r="B158" s="1285">
        <v>456.1</v>
      </c>
      <c r="C158" s="1386" t="s">
        <v>3019</v>
      </c>
      <c r="D158" s="1386" t="s">
        <v>3020</v>
      </c>
      <c r="E158" s="1408">
        <v>193137</v>
      </c>
      <c r="F158" s="319" t="str">
        <f t="shared" si="35"/>
        <v>Traditional OOR</v>
      </c>
      <c r="G158" s="1400">
        <f t="shared" si="30"/>
        <v>193137</v>
      </c>
      <c r="H158" s="1399">
        <v>0</v>
      </c>
      <c r="I158" s="1399">
        <f t="shared" si="31"/>
        <v>193137</v>
      </c>
      <c r="J158" s="1400">
        <f t="shared" si="32"/>
        <v>0</v>
      </c>
      <c r="K158" s="1409"/>
      <c r="L158" s="1399"/>
      <c r="M158" s="1399">
        <f t="shared" si="33"/>
        <v>0</v>
      </c>
      <c r="N158" s="1400">
        <f t="shared" si="34"/>
        <v>0</v>
      </c>
      <c r="O158" s="320">
        <v>4</v>
      </c>
    </row>
    <row r="159" spans="1:15" s="1189" customFormat="1">
      <c r="A159" s="1284" t="s">
        <v>3016</v>
      </c>
      <c r="B159" s="1285">
        <v>456.1</v>
      </c>
      <c r="C159" s="1386" t="s">
        <v>3021</v>
      </c>
      <c r="D159" s="1386" t="s">
        <v>3022</v>
      </c>
      <c r="E159" s="1408">
        <v>490354.43</v>
      </c>
      <c r="F159" s="319" t="str">
        <f t="shared" si="35"/>
        <v>Traditional OOR</v>
      </c>
      <c r="G159" s="1400">
        <f t="shared" si="30"/>
        <v>490354.43</v>
      </c>
      <c r="H159" s="1399">
        <v>0</v>
      </c>
      <c r="I159" s="1399">
        <f t="shared" si="31"/>
        <v>490354.43</v>
      </c>
      <c r="J159" s="1400">
        <f t="shared" si="32"/>
        <v>0</v>
      </c>
      <c r="K159" s="1409"/>
      <c r="L159" s="1399"/>
      <c r="M159" s="1399">
        <f t="shared" si="33"/>
        <v>0</v>
      </c>
      <c r="N159" s="1400">
        <f t="shared" si="34"/>
        <v>0</v>
      </c>
      <c r="O159" s="320">
        <v>4</v>
      </c>
    </row>
    <row r="160" spans="1:15" s="1189" customFormat="1">
      <c r="A160" s="1284" t="s">
        <v>3017</v>
      </c>
      <c r="B160" s="1285">
        <v>456.1</v>
      </c>
      <c r="C160" s="1386" t="s">
        <v>957</v>
      </c>
      <c r="D160" s="1386" t="s">
        <v>3023</v>
      </c>
      <c r="E160" s="1408">
        <v>246973.71</v>
      </c>
      <c r="F160" s="319" t="str">
        <f>$N$2</f>
        <v>Other Ratemaking</v>
      </c>
      <c r="G160" s="1400">
        <f t="shared" si="30"/>
        <v>0</v>
      </c>
      <c r="H160" s="1399">
        <v>0</v>
      </c>
      <c r="I160" s="1399">
        <f t="shared" si="31"/>
        <v>0</v>
      </c>
      <c r="J160" s="1400">
        <f t="shared" si="32"/>
        <v>0</v>
      </c>
      <c r="K160" s="1409"/>
      <c r="L160" s="1399"/>
      <c r="M160" s="1399">
        <f t="shared" si="33"/>
        <v>0</v>
      </c>
      <c r="N160" s="1400">
        <f t="shared" si="34"/>
        <v>246973.71</v>
      </c>
      <c r="O160" s="320">
        <v>6</v>
      </c>
    </row>
    <row r="161" spans="1:15" s="1189" customFormat="1">
      <c r="A161" s="1284" t="s">
        <v>3018</v>
      </c>
      <c r="B161" s="1285">
        <v>456.1</v>
      </c>
      <c r="C161" s="1386" t="s">
        <v>3024</v>
      </c>
      <c r="D161" s="1386" t="s">
        <v>3025</v>
      </c>
      <c r="E161" s="1408">
        <v>12503457.91</v>
      </c>
      <c r="F161" s="319" t="str">
        <f>$N$2</f>
        <v>Other Ratemaking</v>
      </c>
      <c r="G161" s="1400">
        <f t="shared" si="30"/>
        <v>0</v>
      </c>
      <c r="H161" s="1399">
        <v>0</v>
      </c>
      <c r="I161" s="1399">
        <v>0</v>
      </c>
      <c r="J161" s="1400">
        <f t="shared" si="32"/>
        <v>0</v>
      </c>
      <c r="K161" s="1409"/>
      <c r="L161" s="1399"/>
      <c r="M161" s="1399">
        <f t="shared" si="33"/>
        <v>0</v>
      </c>
      <c r="N161" s="1400">
        <f t="shared" si="34"/>
        <v>12503457.91</v>
      </c>
      <c r="O161" s="320">
        <v>6</v>
      </c>
    </row>
    <row r="162" spans="1:15">
      <c r="A162" s="345"/>
      <c r="B162" s="341"/>
      <c r="C162" s="340"/>
      <c r="D162" s="342"/>
      <c r="E162" s="1409"/>
      <c r="F162" s="322"/>
      <c r="G162" s="1400"/>
      <c r="H162" s="1399"/>
      <c r="I162" s="1399"/>
      <c r="J162" s="1400"/>
      <c r="K162" s="1409"/>
      <c r="L162" s="1399"/>
      <c r="M162" s="1399"/>
      <c r="N162" s="1400"/>
      <c r="O162" s="320"/>
    </row>
    <row r="163" spans="1:15">
      <c r="A163" s="345"/>
      <c r="B163" s="341"/>
      <c r="C163" s="340"/>
      <c r="D163" s="342"/>
      <c r="E163" s="1409"/>
      <c r="F163" s="322"/>
      <c r="G163" s="1400"/>
      <c r="H163" s="1399"/>
      <c r="I163" s="1399"/>
      <c r="J163" s="1400"/>
      <c r="K163" s="1409"/>
      <c r="L163" s="1399"/>
      <c r="M163" s="1399"/>
      <c r="N163" s="1400"/>
      <c r="O163" s="320"/>
    </row>
    <row r="164" spans="1:15">
      <c r="A164" s="216">
        <v>16</v>
      </c>
      <c r="B164" s="1463" t="s">
        <v>959</v>
      </c>
      <c r="C164" s="1461"/>
      <c r="D164" s="1462"/>
      <c r="E164" s="1402">
        <f>SUM(E139:E163)</f>
        <v>94897913.549999997</v>
      </c>
      <c r="F164" s="335"/>
      <c r="G164" s="1402">
        <f>SUM(G139:G163)</f>
        <v>52551313.009999983</v>
      </c>
      <c r="H164" s="1405">
        <f>SUM(H139:H163)</f>
        <v>41697457.789999999</v>
      </c>
      <c r="I164" s="1405">
        <f>SUM(I139:I163)</f>
        <v>10853855.219999999</v>
      </c>
      <c r="J164" s="1402">
        <f>SUM(J139:J163)</f>
        <v>0</v>
      </c>
      <c r="K164" s="1421"/>
      <c r="L164" s="1402">
        <f>SUM(L139:L163)</f>
        <v>0</v>
      </c>
      <c r="M164" s="1402">
        <f>SUM(M139:M163)</f>
        <v>0</v>
      </c>
      <c r="N164" s="1402">
        <f>SUM(N139:N163)</f>
        <v>42346600.540000007</v>
      </c>
      <c r="O164" s="205"/>
    </row>
    <row r="165" spans="1:15" ht="25.5" customHeight="1">
      <c r="A165" s="216">
        <v>17</v>
      </c>
      <c r="B165" s="1455" t="s">
        <v>1373</v>
      </c>
      <c r="C165" s="1456"/>
      <c r="D165" s="1457"/>
      <c r="E165" s="1403">
        <v>94897914</v>
      </c>
      <c r="F165" s="326"/>
      <c r="G165" s="336"/>
      <c r="H165" s="327"/>
      <c r="I165" s="327"/>
      <c r="J165" s="312"/>
      <c r="K165" s="327"/>
      <c r="L165" s="312"/>
      <c r="M165" s="312"/>
      <c r="N165" s="312"/>
      <c r="O165" s="204"/>
    </row>
    <row r="166" spans="1:15">
      <c r="A166" s="219"/>
      <c r="B166" s="220"/>
      <c r="C166" s="221"/>
      <c r="D166" s="222"/>
      <c r="E166" s="1407"/>
      <c r="F166" s="312"/>
      <c r="G166" s="312"/>
      <c r="H166" s="327"/>
      <c r="I166" s="327"/>
      <c r="J166" s="312"/>
      <c r="K166" s="327"/>
      <c r="L166" s="312"/>
      <c r="M166" s="312"/>
      <c r="N166" s="312"/>
      <c r="O166" s="204"/>
    </row>
    <row r="167" spans="1:15">
      <c r="A167" s="345" t="s">
        <v>960</v>
      </c>
      <c r="B167" s="343"/>
      <c r="C167" s="359"/>
      <c r="D167" s="359"/>
      <c r="E167" s="1403"/>
      <c r="F167" s="1403"/>
      <c r="G167" s="1403"/>
      <c r="H167" s="1403"/>
      <c r="I167" s="1403"/>
      <c r="J167" s="1403"/>
      <c r="K167" s="1403"/>
      <c r="L167" s="1403"/>
      <c r="M167" s="1403"/>
      <c r="N167" s="1403"/>
      <c r="O167" s="320"/>
    </row>
    <row r="168" spans="1:15">
      <c r="A168" s="345"/>
      <c r="B168" s="361"/>
      <c r="C168" s="359"/>
      <c r="D168" s="359"/>
      <c r="E168" s="1403"/>
      <c r="F168" s="1403"/>
      <c r="G168" s="1403"/>
      <c r="H168" s="1403"/>
      <c r="I168" s="1403"/>
      <c r="J168" s="1403"/>
      <c r="K168" s="1403"/>
      <c r="L168" s="1403"/>
      <c r="M168" s="1403"/>
      <c r="N168" s="1403"/>
      <c r="O168" s="320"/>
    </row>
    <row r="169" spans="1:15">
      <c r="A169" s="212">
        <v>19</v>
      </c>
      <c r="B169" s="1463" t="s">
        <v>961</v>
      </c>
      <c r="C169" s="1461"/>
      <c r="D169" s="1462"/>
      <c r="E169" s="1402">
        <f>SUM(E167:E168)</f>
        <v>0</v>
      </c>
      <c r="F169" s="1425"/>
      <c r="G169" s="1402">
        <f>SUM(G167:G168)</f>
        <v>0</v>
      </c>
      <c r="H169" s="1402">
        <f t="shared" ref="H169:N169" si="36">SUM(H167:H168)</f>
        <v>0</v>
      </c>
      <c r="I169" s="1402">
        <f t="shared" si="36"/>
        <v>0</v>
      </c>
      <c r="J169" s="1402">
        <f t="shared" si="36"/>
        <v>0</v>
      </c>
      <c r="K169" s="1421"/>
      <c r="L169" s="1402">
        <f t="shared" si="36"/>
        <v>0</v>
      </c>
      <c r="M169" s="1402">
        <f t="shared" si="36"/>
        <v>0</v>
      </c>
      <c r="N169" s="1402">
        <f t="shared" si="36"/>
        <v>0</v>
      </c>
      <c r="O169" s="313"/>
    </row>
    <row r="170" spans="1:15" ht="26.25" customHeight="1">
      <c r="A170" s="212">
        <v>20</v>
      </c>
      <c r="B170" s="1473" t="s">
        <v>1379</v>
      </c>
      <c r="C170" s="1474"/>
      <c r="D170" s="1475"/>
      <c r="E170" s="1403">
        <v>0</v>
      </c>
      <c r="F170" s="1426"/>
      <c r="G170" s="1407"/>
      <c r="H170" s="1426"/>
      <c r="I170" s="1426"/>
      <c r="J170" s="1407"/>
      <c r="K170" s="1426"/>
      <c r="L170" s="1407"/>
      <c r="M170" s="1407"/>
      <c r="N170" s="1407"/>
      <c r="O170" s="443"/>
    </row>
    <row r="171" spans="1:15">
      <c r="A171" s="219"/>
      <c r="B171" s="220"/>
      <c r="C171" s="221"/>
      <c r="D171" s="222"/>
      <c r="E171" s="1407"/>
      <c r="F171" s="312"/>
      <c r="G171" s="314"/>
      <c r="H171" s="326"/>
      <c r="I171" s="326"/>
      <c r="J171" s="314"/>
      <c r="K171" s="326"/>
      <c r="L171" s="314"/>
      <c r="M171" s="314"/>
      <c r="N171" s="314"/>
      <c r="O171" s="443"/>
    </row>
    <row r="172" spans="1:15">
      <c r="A172" s="345" t="s">
        <v>962</v>
      </c>
      <c r="B172" s="343"/>
      <c r="C172" s="359"/>
      <c r="D172" s="359"/>
      <c r="E172" s="1403"/>
      <c r="F172" s="360"/>
      <c r="G172" s="324"/>
      <c r="H172" s="324"/>
      <c r="I172" s="324"/>
      <c r="J172" s="324"/>
      <c r="K172" s="324"/>
      <c r="L172" s="324"/>
      <c r="M172" s="324"/>
      <c r="N172" s="324"/>
      <c r="O172" s="321"/>
    </row>
    <row r="173" spans="1:15">
      <c r="A173" s="345"/>
      <c r="B173" s="361"/>
      <c r="C173" s="359"/>
      <c r="D173" s="359"/>
      <c r="E173" s="1403"/>
      <c r="F173" s="360"/>
      <c r="G173" s="324"/>
      <c r="H173" s="324"/>
      <c r="I173" s="324"/>
      <c r="J173" s="324"/>
      <c r="K173" s="324"/>
      <c r="L173" s="324"/>
      <c r="M173" s="324"/>
      <c r="N173" s="324"/>
      <c r="O173" s="321"/>
    </row>
    <row r="174" spans="1:15">
      <c r="A174" s="212">
        <v>22</v>
      </c>
      <c r="B174" s="1463" t="s">
        <v>963</v>
      </c>
      <c r="C174" s="1461"/>
      <c r="D174" s="1462"/>
      <c r="E174" s="1402">
        <f>SUM(E172:E173)</f>
        <v>0</v>
      </c>
      <c r="F174" s="367"/>
      <c r="G174" s="1402">
        <f>SUM(G172:G173)</f>
        <v>0</v>
      </c>
      <c r="H174" s="1402">
        <f>SUM(H172:H173)</f>
        <v>0</v>
      </c>
      <c r="I174" s="1402">
        <f>SUM(I172:I173)</f>
        <v>0</v>
      </c>
      <c r="J174" s="1402">
        <f>SUM(J172:J173)</f>
        <v>0</v>
      </c>
      <c r="K174" s="1421"/>
      <c r="L174" s="1402">
        <f>SUM(L172:L173)</f>
        <v>0</v>
      </c>
      <c r="M174" s="1402">
        <f>SUM(M172:M173)</f>
        <v>0</v>
      </c>
      <c r="N174" s="1402">
        <f>SUM(N172:N173)</f>
        <v>0</v>
      </c>
      <c r="O174" s="313"/>
    </row>
    <row r="175" spans="1:15" ht="26.25" customHeight="1">
      <c r="A175" s="212">
        <v>23</v>
      </c>
      <c r="B175" s="1473" t="s">
        <v>1380</v>
      </c>
      <c r="C175" s="1474"/>
      <c r="D175" s="1475"/>
      <c r="E175" s="1403">
        <v>0</v>
      </c>
      <c r="F175" s="327"/>
      <c r="G175" s="312"/>
      <c r="H175" s="327"/>
      <c r="I175" s="327"/>
      <c r="J175" s="312"/>
      <c r="K175" s="327"/>
      <c r="L175" s="312"/>
      <c r="M175" s="312"/>
      <c r="N175" s="312"/>
      <c r="O175" s="204"/>
    </row>
    <row r="176" spans="1:15">
      <c r="A176" s="219"/>
      <c r="B176" s="220"/>
      <c r="C176" s="221"/>
      <c r="D176" s="222"/>
      <c r="E176" s="1407"/>
      <c r="F176" s="312"/>
      <c r="G176" s="312"/>
      <c r="H176" s="327"/>
      <c r="I176" s="327"/>
      <c r="J176" s="312"/>
      <c r="K176" s="327"/>
      <c r="L176" s="312"/>
      <c r="M176" s="312"/>
      <c r="N176" s="312"/>
      <c r="O176" s="204"/>
    </row>
    <row r="177" spans="1:15">
      <c r="A177" s="219"/>
      <c r="B177" s="220" t="s">
        <v>964</v>
      </c>
      <c r="C177" s="221"/>
      <c r="D177" s="222"/>
      <c r="E177" s="1407"/>
      <c r="F177" s="312"/>
      <c r="G177" s="312"/>
      <c r="H177" s="327"/>
      <c r="I177" s="327"/>
      <c r="J177" s="312"/>
      <c r="K177" s="327"/>
      <c r="L177" s="312"/>
      <c r="M177" s="312"/>
      <c r="N177" s="312"/>
      <c r="O177" s="204"/>
    </row>
    <row r="178" spans="1:15">
      <c r="A178" s="216" t="s">
        <v>965</v>
      </c>
      <c r="B178" s="230">
        <v>417</v>
      </c>
      <c r="C178" s="318">
        <v>4863135</v>
      </c>
      <c r="D178" s="226" t="s">
        <v>966</v>
      </c>
      <c r="E178" s="1409">
        <v>0</v>
      </c>
      <c r="F178" s="315" t="str">
        <f t="shared" ref="F178:F192" si="37">$J$2</f>
        <v>GRSM</v>
      </c>
      <c r="G178" s="1417">
        <f t="shared" ref="G178:G192" si="38">IF(F178=$G$2,E178,0)</f>
        <v>0</v>
      </c>
      <c r="H178" s="1418">
        <v>0</v>
      </c>
      <c r="I178" s="1418">
        <f t="shared" ref="I178:I192" si="39">G178-H178</f>
        <v>0</v>
      </c>
      <c r="J178" s="1417">
        <f t="shared" ref="J178:J192" si="40">IF(F178=$J$2,E178,0)</f>
        <v>0</v>
      </c>
      <c r="K178" s="1418" t="s">
        <v>672</v>
      </c>
      <c r="L178" s="1400"/>
      <c r="M178" s="1427">
        <f t="shared" ref="M178:M192" si="41">J178-L178</f>
        <v>0</v>
      </c>
      <c r="N178" s="1417">
        <f t="shared" ref="N178:N192" si="42">IF(F178=$N$2,E178,0)</f>
        <v>0</v>
      </c>
      <c r="O178" s="218">
        <v>2</v>
      </c>
    </row>
    <row r="179" spans="1:15">
      <c r="A179" s="216" t="s">
        <v>967</v>
      </c>
      <c r="B179" s="230">
        <v>417</v>
      </c>
      <c r="C179" s="318">
        <v>4863130</v>
      </c>
      <c r="D179" s="226" t="s">
        <v>968</v>
      </c>
      <c r="E179" s="1409">
        <v>709919.23</v>
      </c>
      <c r="F179" s="315" t="str">
        <f t="shared" si="37"/>
        <v>GRSM</v>
      </c>
      <c r="G179" s="1417">
        <f t="shared" si="38"/>
        <v>0</v>
      </c>
      <c r="H179" s="1418">
        <v>0</v>
      </c>
      <c r="I179" s="1418">
        <f t="shared" si="39"/>
        <v>0</v>
      </c>
      <c r="J179" s="1417">
        <f t="shared" si="40"/>
        <v>709919.23</v>
      </c>
      <c r="K179" s="1418" t="s">
        <v>672</v>
      </c>
      <c r="L179" s="1400">
        <v>124568.11</v>
      </c>
      <c r="M179" s="1427">
        <f t="shared" si="41"/>
        <v>585351.12</v>
      </c>
      <c r="N179" s="1417">
        <f t="shared" si="42"/>
        <v>0</v>
      </c>
      <c r="O179" s="218">
        <v>2</v>
      </c>
    </row>
    <row r="180" spans="1:15">
      <c r="A180" s="216" t="s">
        <v>969</v>
      </c>
      <c r="B180" s="230">
        <v>417</v>
      </c>
      <c r="C180" s="318">
        <v>4862110</v>
      </c>
      <c r="D180" s="226" t="s">
        <v>970</v>
      </c>
      <c r="E180" s="1409">
        <v>5945120.9400000004</v>
      </c>
      <c r="F180" s="315" t="str">
        <f t="shared" si="37"/>
        <v>GRSM</v>
      </c>
      <c r="G180" s="1417">
        <f t="shared" si="38"/>
        <v>0</v>
      </c>
      <c r="H180" s="1418">
        <v>0</v>
      </c>
      <c r="I180" s="1418">
        <f t="shared" si="39"/>
        <v>0</v>
      </c>
      <c r="J180" s="1417">
        <f t="shared" si="40"/>
        <v>5945120.9400000004</v>
      </c>
      <c r="K180" s="1418" t="s">
        <v>614</v>
      </c>
      <c r="L180" s="1400">
        <v>1143817.51</v>
      </c>
      <c r="M180" s="1427">
        <f t="shared" si="41"/>
        <v>4801303.4300000006</v>
      </c>
      <c r="N180" s="1417">
        <f t="shared" si="42"/>
        <v>0</v>
      </c>
      <c r="O180" s="218">
        <v>2</v>
      </c>
    </row>
    <row r="181" spans="1:15">
      <c r="A181" s="216" t="s">
        <v>971</v>
      </c>
      <c r="B181" s="230">
        <v>417</v>
      </c>
      <c r="C181" s="318">
        <v>4862115</v>
      </c>
      <c r="D181" s="226" t="s">
        <v>972</v>
      </c>
      <c r="E181" s="1409">
        <v>3360255.27</v>
      </c>
      <c r="F181" s="315" t="str">
        <f t="shared" si="37"/>
        <v>GRSM</v>
      </c>
      <c r="G181" s="1417">
        <f t="shared" si="38"/>
        <v>0</v>
      </c>
      <c r="H181" s="1418">
        <v>0</v>
      </c>
      <c r="I181" s="1418">
        <f t="shared" si="39"/>
        <v>0</v>
      </c>
      <c r="J181" s="1417">
        <f t="shared" si="40"/>
        <v>3360255.27</v>
      </c>
      <c r="K181" s="1418" t="s">
        <v>614</v>
      </c>
      <c r="L181" s="1400">
        <v>670788.27</v>
      </c>
      <c r="M181" s="1427">
        <f t="shared" si="41"/>
        <v>2689467</v>
      </c>
      <c r="N181" s="1417">
        <f t="shared" si="42"/>
        <v>0</v>
      </c>
      <c r="O181" s="218">
        <v>2</v>
      </c>
    </row>
    <row r="182" spans="1:15">
      <c r="A182" s="216" t="s">
        <v>973</v>
      </c>
      <c r="B182" s="230">
        <v>417</v>
      </c>
      <c r="C182" s="318">
        <v>4862120</v>
      </c>
      <c r="D182" s="226" t="s">
        <v>974</v>
      </c>
      <c r="E182" s="1409">
        <v>-434631.53</v>
      </c>
      <c r="F182" s="315" t="str">
        <f t="shared" si="37"/>
        <v>GRSM</v>
      </c>
      <c r="G182" s="1417">
        <f t="shared" si="38"/>
        <v>0</v>
      </c>
      <c r="H182" s="1418">
        <v>0</v>
      </c>
      <c r="I182" s="1418">
        <f t="shared" si="39"/>
        <v>0</v>
      </c>
      <c r="J182" s="1417">
        <f t="shared" si="40"/>
        <v>-434631.53</v>
      </c>
      <c r="K182" s="1418" t="s">
        <v>614</v>
      </c>
      <c r="L182" s="1400">
        <v>52539.17</v>
      </c>
      <c r="M182" s="1427">
        <f t="shared" si="41"/>
        <v>-487170.7</v>
      </c>
      <c r="N182" s="1417">
        <f t="shared" si="42"/>
        <v>0</v>
      </c>
      <c r="O182" s="218">
        <v>2</v>
      </c>
    </row>
    <row r="183" spans="1:15">
      <c r="A183" s="216" t="s">
        <v>975</v>
      </c>
      <c r="B183" s="230">
        <v>417</v>
      </c>
      <c r="C183" s="318">
        <v>4862135</v>
      </c>
      <c r="D183" s="226" t="s">
        <v>976</v>
      </c>
      <c r="E183" s="1409">
        <v>26412936.850000001</v>
      </c>
      <c r="F183" s="315" t="str">
        <f t="shared" si="37"/>
        <v>GRSM</v>
      </c>
      <c r="G183" s="1417">
        <f t="shared" si="38"/>
        <v>0</v>
      </c>
      <c r="H183" s="1418">
        <v>0</v>
      </c>
      <c r="I183" s="1418">
        <f t="shared" si="39"/>
        <v>0</v>
      </c>
      <c r="J183" s="1417">
        <f t="shared" si="40"/>
        <v>26412936.850000001</v>
      </c>
      <c r="K183" s="1418" t="s">
        <v>614</v>
      </c>
      <c r="L183" s="1400">
        <v>5553483.7999999998</v>
      </c>
      <c r="M183" s="1427">
        <f t="shared" si="41"/>
        <v>20859453.050000001</v>
      </c>
      <c r="N183" s="1417">
        <f t="shared" si="42"/>
        <v>0</v>
      </c>
      <c r="O183" s="218">
        <v>2</v>
      </c>
    </row>
    <row r="184" spans="1:15">
      <c r="A184" s="216" t="s">
        <v>977</v>
      </c>
      <c r="B184" s="230">
        <v>417</v>
      </c>
      <c r="C184" s="318">
        <v>4864110</v>
      </c>
      <c r="D184" s="631" t="s">
        <v>1972</v>
      </c>
      <c r="E184" s="1409">
        <v>0</v>
      </c>
      <c r="F184" s="315" t="str">
        <f t="shared" si="37"/>
        <v>GRSM</v>
      </c>
      <c r="G184" s="1417">
        <f t="shared" si="38"/>
        <v>0</v>
      </c>
      <c r="H184" s="1418">
        <v>0</v>
      </c>
      <c r="I184" s="1418">
        <f t="shared" si="39"/>
        <v>0</v>
      </c>
      <c r="J184" s="1417">
        <f t="shared" si="40"/>
        <v>0</v>
      </c>
      <c r="K184" s="1418" t="s">
        <v>614</v>
      </c>
      <c r="L184" s="1400"/>
      <c r="M184" s="1427">
        <f t="shared" si="41"/>
        <v>0</v>
      </c>
      <c r="N184" s="1417">
        <f t="shared" si="42"/>
        <v>0</v>
      </c>
      <c r="O184" s="218">
        <v>2</v>
      </c>
    </row>
    <row r="185" spans="1:15">
      <c r="A185" s="216" t="s">
        <v>978</v>
      </c>
      <c r="B185" s="230">
        <v>417</v>
      </c>
      <c r="C185" s="318">
        <v>4864115</v>
      </c>
      <c r="D185" s="226" t="s">
        <v>979</v>
      </c>
      <c r="E185" s="1409">
        <v>326260</v>
      </c>
      <c r="F185" s="315" t="str">
        <f t="shared" si="37"/>
        <v>GRSM</v>
      </c>
      <c r="G185" s="1417">
        <f t="shared" si="38"/>
        <v>0</v>
      </c>
      <c r="H185" s="1418">
        <v>0</v>
      </c>
      <c r="I185" s="1418">
        <f t="shared" si="39"/>
        <v>0</v>
      </c>
      <c r="J185" s="1417">
        <f t="shared" si="40"/>
        <v>326260</v>
      </c>
      <c r="K185" s="1418" t="s">
        <v>614</v>
      </c>
      <c r="L185" s="1400">
        <v>62886.76</v>
      </c>
      <c r="M185" s="1427">
        <f t="shared" si="41"/>
        <v>263373.24</v>
      </c>
      <c r="N185" s="1417">
        <f t="shared" si="42"/>
        <v>0</v>
      </c>
      <c r="O185" s="218">
        <v>2</v>
      </c>
    </row>
    <row r="186" spans="1:15">
      <c r="A186" s="216" t="s">
        <v>980</v>
      </c>
      <c r="B186" s="230">
        <v>417</v>
      </c>
      <c r="C186" s="318">
        <v>4862125</v>
      </c>
      <c r="D186" s="226" t="s">
        <v>981</v>
      </c>
      <c r="E186" s="1409">
        <v>15212868.57</v>
      </c>
      <c r="F186" s="315" t="str">
        <f t="shared" si="37"/>
        <v>GRSM</v>
      </c>
      <c r="G186" s="1417">
        <f t="shared" si="38"/>
        <v>0</v>
      </c>
      <c r="H186" s="1418">
        <v>0</v>
      </c>
      <c r="I186" s="1418">
        <f t="shared" si="39"/>
        <v>0</v>
      </c>
      <c r="J186" s="1417">
        <f t="shared" si="40"/>
        <v>15212868.57</v>
      </c>
      <c r="K186" s="1418" t="s">
        <v>614</v>
      </c>
      <c r="L186" s="1400">
        <v>2799119.12</v>
      </c>
      <c r="M186" s="1427">
        <f t="shared" si="41"/>
        <v>12413749.449999999</v>
      </c>
      <c r="N186" s="1417">
        <f t="shared" si="42"/>
        <v>0</v>
      </c>
      <c r="O186" s="218">
        <v>2</v>
      </c>
    </row>
    <row r="187" spans="1:15">
      <c r="A187" s="216" t="s">
        <v>982</v>
      </c>
      <c r="B187" s="230">
        <v>417</v>
      </c>
      <c r="C187" s="318">
        <v>4862130</v>
      </c>
      <c r="D187" s="226" t="s">
        <v>983</v>
      </c>
      <c r="E187" s="1409">
        <v>4452253.49</v>
      </c>
      <c r="F187" s="315" t="str">
        <f t="shared" si="37"/>
        <v>GRSM</v>
      </c>
      <c r="G187" s="1417">
        <f t="shared" si="38"/>
        <v>0</v>
      </c>
      <c r="H187" s="1418">
        <v>0</v>
      </c>
      <c r="I187" s="1418">
        <f t="shared" si="39"/>
        <v>0</v>
      </c>
      <c r="J187" s="1417">
        <f t="shared" si="40"/>
        <v>4452253.49</v>
      </c>
      <c r="K187" s="1418" t="s">
        <v>614</v>
      </c>
      <c r="L187" s="1400">
        <v>367955.65</v>
      </c>
      <c r="M187" s="1427">
        <f t="shared" si="41"/>
        <v>4084297.8400000003</v>
      </c>
      <c r="N187" s="1417">
        <f t="shared" si="42"/>
        <v>0</v>
      </c>
      <c r="O187" s="218">
        <v>2</v>
      </c>
    </row>
    <row r="188" spans="1:15">
      <c r="A188" s="216" t="s">
        <v>984</v>
      </c>
      <c r="B188" s="230">
        <v>417</v>
      </c>
      <c r="C188" s="318">
        <v>4863120</v>
      </c>
      <c r="D188" s="226" t="s">
        <v>985</v>
      </c>
      <c r="E188" s="1409">
        <v>363240.1</v>
      </c>
      <c r="F188" s="315" t="str">
        <f t="shared" si="37"/>
        <v>GRSM</v>
      </c>
      <c r="G188" s="1417">
        <f t="shared" si="38"/>
        <v>0</v>
      </c>
      <c r="H188" s="1418">
        <v>0</v>
      </c>
      <c r="I188" s="1418">
        <f t="shared" si="39"/>
        <v>0</v>
      </c>
      <c r="J188" s="1417">
        <f t="shared" si="40"/>
        <v>363240.1</v>
      </c>
      <c r="K188" s="1418" t="s">
        <v>672</v>
      </c>
      <c r="L188" s="1400">
        <v>78453.58</v>
      </c>
      <c r="M188" s="1427">
        <f t="shared" si="41"/>
        <v>284786.51999999996</v>
      </c>
      <c r="N188" s="1417">
        <f t="shared" si="42"/>
        <v>0</v>
      </c>
      <c r="O188" s="218">
        <v>2</v>
      </c>
    </row>
    <row r="189" spans="1:15">
      <c r="A189" s="216" t="s">
        <v>986</v>
      </c>
      <c r="B189" s="230">
        <v>417</v>
      </c>
      <c r="C189" s="318">
        <v>4863110</v>
      </c>
      <c r="D189" s="226" t="s">
        <v>987</v>
      </c>
      <c r="E189" s="1409">
        <v>3406564.84</v>
      </c>
      <c r="F189" s="315" t="str">
        <f t="shared" si="37"/>
        <v>GRSM</v>
      </c>
      <c r="G189" s="1417">
        <f t="shared" si="38"/>
        <v>0</v>
      </c>
      <c r="H189" s="1418">
        <v>0</v>
      </c>
      <c r="I189" s="1418">
        <f t="shared" si="39"/>
        <v>0</v>
      </c>
      <c r="J189" s="1417">
        <f t="shared" si="40"/>
        <v>3406564.84</v>
      </c>
      <c r="K189" s="1418" t="s">
        <v>672</v>
      </c>
      <c r="L189" s="1400">
        <v>656836.41</v>
      </c>
      <c r="M189" s="1427">
        <f t="shared" si="41"/>
        <v>2749728.4299999997</v>
      </c>
      <c r="N189" s="1417">
        <f t="shared" si="42"/>
        <v>0</v>
      </c>
      <c r="O189" s="218">
        <v>2</v>
      </c>
    </row>
    <row r="190" spans="1:15">
      <c r="A190" s="216" t="s">
        <v>988</v>
      </c>
      <c r="B190" s="230">
        <v>417</v>
      </c>
      <c r="C190" s="318">
        <v>4863115</v>
      </c>
      <c r="D190" s="226" t="s">
        <v>989</v>
      </c>
      <c r="E190" s="1409">
        <v>622900.30000000005</v>
      </c>
      <c r="F190" s="315" t="str">
        <f t="shared" si="37"/>
        <v>GRSM</v>
      </c>
      <c r="G190" s="1417">
        <f t="shared" si="38"/>
        <v>0</v>
      </c>
      <c r="H190" s="1418">
        <v>0</v>
      </c>
      <c r="I190" s="1418">
        <f t="shared" si="39"/>
        <v>0</v>
      </c>
      <c r="J190" s="1417">
        <f t="shared" si="40"/>
        <v>622900.30000000005</v>
      </c>
      <c r="K190" s="1418" t="s">
        <v>672</v>
      </c>
      <c r="L190" s="1400">
        <v>60341.31</v>
      </c>
      <c r="M190" s="1427">
        <f t="shared" si="41"/>
        <v>562558.99</v>
      </c>
      <c r="N190" s="1417">
        <f t="shared" si="42"/>
        <v>0</v>
      </c>
      <c r="O190" s="218">
        <v>2</v>
      </c>
    </row>
    <row r="191" spans="1:15">
      <c r="A191" s="216" t="s">
        <v>990</v>
      </c>
      <c r="B191" s="230">
        <v>417</v>
      </c>
      <c r="C191" s="318">
        <v>4863125</v>
      </c>
      <c r="D191" s="226" t="s">
        <v>991</v>
      </c>
      <c r="E191" s="1409">
        <v>1141486.42</v>
      </c>
      <c r="F191" s="315" t="str">
        <f t="shared" si="37"/>
        <v>GRSM</v>
      </c>
      <c r="G191" s="1417">
        <f t="shared" si="38"/>
        <v>0</v>
      </c>
      <c r="H191" s="1418">
        <v>0</v>
      </c>
      <c r="I191" s="1418">
        <f t="shared" si="39"/>
        <v>0</v>
      </c>
      <c r="J191" s="1417">
        <f t="shared" si="40"/>
        <v>1141486.42</v>
      </c>
      <c r="K191" s="1418" t="s">
        <v>672</v>
      </c>
      <c r="L191" s="1400">
        <v>203026.86</v>
      </c>
      <c r="M191" s="1427">
        <f t="shared" si="41"/>
        <v>938459.55999999994</v>
      </c>
      <c r="N191" s="1417">
        <f t="shared" si="42"/>
        <v>0</v>
      </c>
      <c r="O191" s="218">
        <v>2</v>
      </c>
    </row>
    <row r="192" spans="1:15">
      <c r="A192" s="216" t="s">
        <v>992</v>
      </c>
      <c r="B192" s="230">
        <v>417</v>
      </c>
      <c r="C192" s="318">
        <v>4864120</v>
      </c>
      <c r="D192" s="226" t="s">
        <v>993</v>
      </c>
      <c r="E192" s="1409">
        <v>2657.97</v>
      </c>
      <c r="F192" s="315" t="str">
        <f t="shared" si="37"/>
        <v>GRSM</v>
      </c>
      <c r="G192" s="1417">
        <f t="shared" si="38"/>
        <v>0</v>
      </c>
      <c r="H192" s="1418">
        <v>0</v>
      </c>
      <c r="I192" s="1418">
        <f t="shared" si="39"/>
        <v>0</v>
      </c>
      <c r="J192" s="1417">
        <f t="shared" si="40"/>
        <v>2657.97</v>
      </c>
      <c r="K192" s="1418" t="s">
        <v>614</v>
      </c>
      <c r="L192" s="1400"/>
      <c r="M192" s="1427">
        <f t="shared" si="41"/>
        <v>2657.97</v>
      </c>
      <c r="N192" s="1417">
        <f t="shared" si="42"/>
        <v>0</v>
      </c>
      <c r="O192" s="218">
        <v>2</v>
      </c>
    </row>
    <row r="193" spans="1:15">
      <c r="A193" s="345"/>
      <c r="B193" s="343"/>
      <c r="C193" s="344"/>
      <c r="D193" s="342"/>
      <c r="E193" s="1410"/>
      <c r="F193" s="325"/>
      <c r="G193" s="1400"/>
      <c r="H193" s="1399"/>
      <c r="I193" s="1399"/>
      <c r="J193" s="1400"/>
      <c r="K193" s="1399"/>
      <c r="L193" s="1400"/>
      <c r="M193" s="1400"/>
      <c r="N193" s="1400"/>
      <c r="O193" s="320"/>
    </row>
    <row r="194" spans="1:15">
      <c r="A194" s="345"/>
      <c r="B194" s="343"/>
      <c r="C194" s="344"/>
      <c r="D194" s="342"/>
      <c r="E194" s="1410"/>
      <c r="F194" s="325"/>
      <c r="G194" s="1400"/>
      <c r="H194" s="1399"/>
      <c r="I194" s="1399"/>
      <c r="J194" s="1400"/>
      <c r="K194" s="1399"/>
      <c r="L194" s="1400"/>
      <c r="M194" s="1400"/>
      <c r="N194" s="1400"/>
      <c r="O194" s="320"/>
    </row>
    <row r="195" spans="1:15">
      <c r="A195" s="216">
        <v>25</v>
      </c>
      <c r="B195" s="1460" t="s">
        <v>994</v>
      </c>
      <c r="C195" s="1461"/>
      <c r="D195" s="1462"/>
      <c r="E195" s="1402">
        <f>SUM(E178:E194)</f>
        <v>61521832.450000003</v>
      </c>
      <c r="F195" s="335"/>
      <c r="G195" s="1402">
        <f>SUM(G178:G194)</f>
        <v>0</v>
      </c>
      <c r="H195" s="1405">
        <f>SUM(H178:H194)</f>
        <v>0</v>
      </c>
      <c r="I195" s="1405">
        <f>SUM(I178:I194)</f>
        <v>0</v>
      </c>
      <c r="J195" s="1402">
        <f>SUM(J178:J194)</f>
        <v>61521832.450000003</v>
      </c>
      <c r="K195" s="1421"/>
      <c r="L195" s="1402">
        <f>SUM(L178:L194)</f>
        <v>11773816.549999999</v>
      </c>
      <c r="M195" s="1402">
        <f>SUM(M178:M194)</f>
        <v>49748015.900000013</v>
      </c>
      <c r="N195" s="1402">
        <f>SUM(N178:N194)</f>
        <v>0</v>
      </c>
      <c r="O195" s="205"/>
    </row>
    <row r="196" spans="1:15">
      <c r="A196" s="216">
        <v>26</v>
      </c>
      <c r="B196" s="1460" t="s">
        <v>995</v>
      </c>
      <c r="C196" s="1461"/>
      <c r="D196" s="1462"/>
      <c r="E196" s="1403">
        <v>7714253</v>
      </c>
      <c r="F196" s="314"/>
      <c r="G196" s="312"/>
      <c r="H196" s="327"/>
      <c r="I196" s="327"/>
      <c r="J196" s="312"/>
      <c r="K196" s="327"/>
      <c r="L196" s="312"/>
      <c r="M196" s="312"/>
      <c r="N196" s="312"/>
      <c r="O196" s="204"/>
    </row>
    <row r="197" spans="1:15" ht="25.5" customHeight="1">
      <c r="A197" s="216">
        <v>27</v>
      </c>
      <c r="B197" s="1455" t="s">
        <v>1382</v>
      </c>
      <c r="C197" s="1456"/>
      <c r="D197" s="1457"/>
      <c r="E197" s="1403">
        <v>69236085</v>
      </c>
      <c r="F197" s="362" t="s">
        <v>359</v>
      </c>
    </row>
    <row r="198" spans="1:15">
      <c r="A198" s="224"/>
      <c r="E198" s="1411"/>
    </row>
    <row r="199" spans="1:15">
      <c r="B199" s="39" t="s">
        <v>996</v>
      </c>
      <c r="E199" s="1411"/>
    </row>
    <row r="200" spans="1:15">
      <c r="A200" s="215" t="s">
        <v>997</v>
      </c>
      <c r="B200" s="1467">
        <v>418.1</v>
      </c>
      <c r="C200" s="1468"/>
      <c r="D200" s="226" t="s">
        <v>998</v>
      </c>
      <c r="E200" s="1409">
        <v>24500</v>
      </c>
      <c r="F200" s="315" t="str">
        <f>$J$2</f>
        <v>GRSM</v>
      </c>
      <c r="G200" s="1417">
        <f t="shared" ref="G200:G205" si="43">IF(F200=$G$2,E200,0)</f>
        <v>0</v>
      </c>
      <c r="H200" s="1418">
        <v>0</v>
      </c>
      <c r="I200" s="1418">
        <f t="shared" ref="I200:I205" si="44">G200-H200</f>
        <v>0</v>
      </c>
      <c r="J200" s="1417">
        <f>IF(F200=$J$2,E200,0)</f>
        <v>24500</v>
      </c>
      <c r="K200" s="1415" t="s">
        <v>614</v>
      </c>
      <c r="L200" s="1400">
        <v>0</v>
      </c>
      <c r="M200" s="1419">
        <f t="shared" ref="M200:M205" si="45">J200-L200</f>
        <v>24500</v>
      </c>
      <c r="N200" s="1417">
        <f t="shared" ref="N200:N205" si="46">IF(F200=$N$2,E200,0)</f>
        <v>0</v>
      </c>
      <c r="O200" s="218" t="s">
        <v>999</v>
      </c>
    </row>
    <row r="201" spans="1:15">
      <c r="A201" s="215" t="s">
        <v>1000</v>
      </c>
      <c r="B201" s="1467">
        <v>418.1</v>
      </c>
      <c r="C201" s="1468"/>
      <c r="D201" s="226" t="s">
        <v>1001</v>
      </c>
      <c r="E201" s="1409">
        <v>0</v>
      </c>
      <c r="F201" s="315" t="str">
        <f>$J$2</f>
        <v>GRSM</v>
      </c>
      <c r="G201" s="1417">
        <f t="shared" si="43"/>
        <v>0</v>
      </c>
      <c r="H201" s="1418">
        <v>0</v>
      </c>
      <c r="I201" s="1418">
        <f t="shared" si="44"/>
        <v>0</v>
      </c>
      <c r="J201" s="1417">
        <f>IF(F201=$J$2,E201,0)</f>
        <v>0</v>
      </c>
      <c r="K201" s="1415" t="s">
        <v>672</v>
      </c>
      <c r="L201" s="1400">
        <v>0</v>
      </c>
      <c r="M201" s="1419">
        <f t="shared" si="45"/>
        <v>0</v>
      </c>
      <c r="N201" s="1417">
        <f t="shared" si="46"/>
        <v>0</v>
      </c>
      <c r="O201" s="218" t="s">
        <v>999</v>
      </c>
    </row>
    <row r="202" spans="1:15">
      <c r="A202" s="215" t="s">
        <v>1002</v>
      </c>
      <c r="B202" s="1467">
        <v>418.1</v>
      </c>
      <c r="C202" s="1468"/>
      <c r="D202" s="631" t="s">
        <v>1910</v>
      </c>
      <c r="E202" s="1409">
        <v>1891</v>
      </c>
      <c r="F202" s="632" t="str">
        <f>$J$2</f>
        <v>GRSM</v>
      </c>
      <c r="G202" s="1417">
        <f t="shared" si="43"/>
        <v>0</v>
      </c>
      <c r="H202" s="1418">
        <v>0</v>
      </c>
      <c r="I202" s="1418">
        <f t="shared" si="44"/>
        <v>0</v>
      </c>
      <c r="J202" s="1417">
        <f>IF(F202=$J$2,E202,0)</f>
        <v>1891</v>
      </c>
      <c r="K202" s="1428" t="s">
        <v>672</v>
      </c>
      <c r="L202" s="1400">
        <v>0</v>
      </c>
      <c r="M202" s="1419">
        <f t="shared" si="45"/>
        <v>1891</v>
      </c>
      <c r="N202" s="1417">
        <f t="shared" si="46"/>
        <v>0</v>
      </c>
      <c r="O202" s="629" t="s">
        <v>1911</v>
      </c>
    </row>
    <row r="203" spans="1:15">
      <c r="A203" s="215" t="s">
        <v>1004</v>
      </c>
      <c r="B203" s="1467">
        <v>418.1</v>
      </c>
      <c r="C203" s="1468"/>
      <c r="D203" s="226" t="s">
        <v>1003</v>
      </c>
      <c r="E203" s="1409">
        <v>-713</v>
      </c>
      <c r="F203" s="315" t="str">
        <f>$G$2</f>
        <v>Traditional OOR</v>
      </c>
      <c r="G203" s="1417">
        <f t="shared" si="43"/>
        <v>-713</v>
      </c>
      <c r="H203" s="1418">
        <v>0</v>
      </c>
      <c r="I203" s="1418">
        <f t="shared" si="44"/>
        <v>-713</v>
      </c>
      <c r="J203" s="1417">
        <f>IF(F203=$J$2,E203,0)</f>
        <v>0</v>
      </c>
      <c r="K203" s="1415"/>
      <c r="L203" s="1400"/>
      <c r="M203" s="1418">
        <f t="shared" si="45"/>
        <v>0</v>
      </c>
      <c r="N203" s="1417">
        <f t="shared" si="46"/>
        <v>0</v>
      </c>
      <c r="O203" s="215">
        <v>13</v>
      </c>
    </row>
    <row r="204" spans="1:15">
      <c r="A204" s="630" t="s">
        <v>1321</v>
      </c>
      <c r="B204" s="1467">
        <v>418.1</v>
      </c>
      <c r="C204" s="1468"/>
      <c r="D204" s="226" t="s">
        <v>1005</v>
      </c>
      <c r="E204" s="1409">
        <v>0</v>
      </c>
      <c r="F204" s="315" t="str">
        <f>$G$2</f>
        <v>Traditional OOR</v>
      </c>
      <c r="G204" s="1417">
        <f t="shared" si="43"/>
        <v>0</v>
      </c>
      <c r="H204" s="1418">
        <v>0</v>
      </c>
      <c r="I204" s="1418">
        <f t="shared" si="44"/>
        <v>0</v>
      </c>
      <c r="J204" s="1417">
        <f>IF(F204=$J$2,E204,0)</f>
        <v>0</v>
      </c>
      <c r="K204" s="1415"/>
      <c r="L204" s="1400"/>
      <c r="M204" s="1418">
        <f t="shared" si="45"/>
        <v>0</v>
      </c>
      <c r="N204" s="1417">
        <f t="shared" si="46"/>
        <v>0</v>
      </c>
      <c r="O204" s="215">
        <v>14</v>
      </c>
    </row>
    <row r="205" spans="1:15">
      <c r="A205" s="630" t="s">
        <v>1322</v>
      </c>
      <c r="B205" s="1013">
        <v>418.1</v>
      </c>
      <c r="C205" s="1085"/>
      <c r="D205" s="631" t="s">
        <v>2168</v>
      </c>
      <c r="E205" s="1409">
        <v>-1738601.4</v>
      </c>
      <c r="F205" s="315" t="str">
        <f>$G$2</f>
        <v>Traditional OOR</v>
      </c>
      <c r="G205" s="1417">
        <f t="shared" si="43"/>
        <v>-1738601.4</v>
      </c>
      <c r="H205" s="1418">
        <f>E205*$D$246</f>
        <v>-102907.81686599999</v>
      </c>
      <c r="I205" s="1418">
        <f t="shared" si="44"/>
        <v>-1635693.583134</v>
      </c>
      <c r="J205" s="1417">
        <v>0</v>
      </c>
      <c r="K205" s="1415"/>
      <c r="L205" s="1400"/>
      <c r="M205" s="1418">
        <f t="shared" si="45"/>
        <v>0</v>
      </c>
      <c r="N205" s="1417">
        <f t="shared" si="46"/>
        <v>0</v>
      </c>
      <c r="O205" s="630" t="s">
        <v>2710</v>
      </c>
    </row>
    <row r="206" spans="1:15">
      <c r="A206" s="320"/>
      <c r="B206" s="356"/>
      <c r="C206" s="357"/>
      <c r="D206" s="358"/>
      <c r="E206" s="1409"/>
      <c r="F206" s="319"/>
      <c r="G206" s="1400"/>
      <c r="H206" s="1399"/>
      <c r="I206" s="1399"/>
      <c r="J206" s="1400"/>
      <c r="K206" s="1409"/>
      <c r="L206" s="1400"/>
      <c r="M206" s="1399"/>
      <c r="N206" s="1400"/>
      <c r="O206" s="320"/>
    </row>
    <row r="207" spans="1:15">
      <c r="A207" s="320"/>
      <c r="B207" s="356"/>
      <c r="C207" s="357"/>
      <c r="D207" s="358"/>
      <c r="E207" s="1409"/>
      <c r="F207" s="319"/>
      <c r="G207" s="1400"/>
      <c r="H207" s="1399"/>
      <c r="I207" s="1399"/>
      <c r="J207" s="1400"/>
      <c r="K207" s="1409"/>
      <c r="L207" s="1400"/>
      <c r="M207" s="1399"/>
      <c r="N207" s="1400"/>
      <c r="O207" s="320"/>
    </row>
    <row r="208" spans="1:15">
      <c r="A208" s="218">
        <v>29</v>
      </c>
      <c r="B208" s="1460" t="s">
        <v>1006</v>
      </c>
      <c r="C208" s="1461"/>
      <c r="D208" s="1462"/>
      <c r="E208" s="1412">
        <f>SUM(E200:E207)</f>
        <v>-1712923.4</v>
      </c>
      <c r="F208" s="366"/>
      <c r="G208" s="1416">
        <f>SUM(G200:G207)</f>
        <v>-1739314.4</v>
      </c>
      <c r="H208" s="1416">
        <f>SUM(H200:H207)</f>
        <v>-102907.81686599999</v>
      </c>
      <c r="I208" s="1416">
        <f>SUM(I200:I207)</f>
        <v>-1636406.583134</v>
      </c>
      <c r="J208" s="1412">
        <f>SUM(J200:J207)</f>
        <v>26391</v>
      </c>
      <c r="K208" s="1429"/>
      <c r="L208" s="1412">
        <f>SUM(L200:L207)</f>
        <v>0</v>
      </c>
      <c r="M208" s="1412">
        <f>SUM(M200:M207)</f>
        <v>26391</v>
      </c>
      <c r="N208" s="1412">
        <f>SUM(N200:N207)</f>
        <v>0</v>
      </c>
      <c r="O208" s="205"/>
    </row>
    <row r="209" spans="1:15">
      <c r="A209" s="218">
        <v>30</v>
      </c>
      <c r="B209" s="1460" t="s">
        <v>2012</v>
      </c>
      <c r="C209" s="1470"/>
      <c r="D209" s="1471"/>
      <c r="E209" s="1413">
        <f>E210-E208</f>
        <v>1864004.4</v>
      </c>
      <c r="F209" s="365"/>
      <c r="G209" s="365"/>
      <c r="H209" s="365"/>
      <c r="I209" s="365"/>
      <c r="J209" s="364"/>
      <c r="K209" s="365"/>
      <c r="L209" s="364"/>
      <c r="M209" s="364"/>
      <c r="N209" s="364"/>
      <c r="O209" s="204"/>
    </row>
    <row r="210" spans="1:15" ht="25.5" customHeight="1">
      <c r="A210" s="218">
        <v>31</v>
      </c>
      <c r="B210" s="1469" t="s">
        <v>1381</v>
      </c>
      <c r="C210" s="1459"/>
      <c r="D210" s="1459"/>
      <c r="E210" s="1413">
        <v>151081</v>
      </c>
      <c r="F210" s="365"/>
      <c r="G210" s="365"/>
      <c r="H210" s="365"/>
      <c r="I210" s="365"/>
      <c r="J210" s="364"/>
      <c r="K210" s="365"/>
      <c r="L210" s="364"/>
      <c r="M210" s="364"/>
      <c r="N210" s="364"/>
      <c r="O210" s="204"/>
    </row>
    <row r="211" spans="1:15">
      <c r="A211" s="224"/>
      <c r="E211" s="1411"/>
    </row>
    <row r="212" spans="1:15">
      <c r="A212" s="218">
        <v>32</v>
      </c>
      <c r="B212" s="338"/>
      <c r="C212" s="337"/>
      <c r="D212" s="235" t="s">
        <v>1007</v>
      </c>
      <c r="E212" s="1414">
        <f>E9+E31+E39+E70+E136+E164+E169+E174+E195+E208</f>
        <v>724794479.88</v>
      </c>
      <c r="F212" s="441"/>
      <c r="G212" s="1414">
        <f>G9+G31+G39+G70+G136+G164+G169+G174+G195+G208</f>
        <v>198169016.32888547</v>
      </c>
      <c r="H212" s="1414">
        <f>H9+H31+H39+H70+H136+H164+H169+H174+H195+H208</f>
        <v>45926677.382019497</v>
      </c>
      <c r="I212" s="1414">
        <f>I9+I31+I39+I70+I136+I164+I169+I174+I195+I208</f>
        <v>152242338.94686601</v>
      </c>
      <c r="J212" s="1414">
        <f>J9+J31+J39+J70+J136+J164+J169+J174+J195+J208</f>
        <v>84670553.5</v>
      </c>
      <c r="K212" s="1430"/>
      <c r="L212" s="1414">
        <f>L9+L31+L39+L70+L136+L164+L169+L174+L195+L208</f>
        <v>16671388.93</v>
      </c>
      <c r="M212" s="1414">
        <f>M9+M31+M39+M70+M136+M164+M169+M174+M195+M208</f>
        <v>67999164.570000008</v>
      </c>
      <c r="N212" s="1414">
        <f>N9+N31+N39+N70+N136+N164+N169+N174+N195+N208</f>
        <v>441954910.0511145</v>
      </c>
      <c r="O212" s="205"/>
    </row>
    <row r="213" spans="1:15">
      <c r="A213" s="236"/>
      <c r="B213" s="237"/>
      <c r="C213" s="236"/>
      <c r="E213" s="224"/>
      <c r="F213" s="224"/>
      <c r="G213" s="316"/>
      <c r="J213" s="331"/>
      <c r="K213" s="330"/>
      <c r="N213" s="316"/>
    </row>
    <row r="214" spans="1:15">
      <c r="A214" s="236"/>
      <c r="B214" s="237"/>
      <c r="C214" s="236"/>
      <c r="E214" s="224"/>
      <c r="F214" s="224" t="s">
        <v>171</v>
      </c>
      <c r="J214" s="331"/>
      <c r="K214" s="330"/>
      <c r="N214" s="316"/>
    </row>
    <row r="215" spans="1:15">
      <c r="A215" s="218">
        <v>33</v>
      </c>
      <c r="B215" s="355"/>
      <c r="C215" s="355"/>
      <c r="D215" s="351" t="s">
        <v>1008</v>
      </c>
      <c r="E215" s="1415">
        <f>L212</f>
        <v>16671388.93</v>
      </c>
      <c r="F215" s="350" t="s">
        <v>1009</v>
      </c>
      <c r="G215" s="316"/>
      <c r="N215" s="316"/>
    </row>
    <row r="216" spans="1:15">
      <c r="A216" s="215">
        <v>34</v>
      </c>
      <c r="B216" s="355"/>
      <c r="C216" s="355"/>
      <c r="D216" s="351" t="s">
        <v>1011</v>
      </c>
      <c r="E216" s="1415">
        <f>E215*(5.425/16.671)</f>
        <v>5425126.5638084095</v>
      </c>
      <c r="F216" s="1086" t="s">
        <v>1315</v>
      </c>
      <c r="G216" s="330"/>
      <c r="N216" s="316"/>
    </row>
    <row r="217" spans="1:15">
      <c r="A217" s="215">
        <v>35</v>
      </c>
      <c r="B217" s="355"/>
      <c r="C217" s="355"/>
      <c r="D217" s="353"/>
      <c r="E217" s="310"/>
      <c r="F217" s="1087"/>
      <c r="G217" s="330"/>
      <c r="N217" s="316"/>
    </row>
    <row r="218" spans="1:15">
      <c r="A218" s="215">
        <v>36</v>
      </c>
      <c r="B218" s="355"/>
      <c r="C218" s="355"/>
      <c r="D218" s="351" t="s">
        <v>1012</v>
      </c>
      <c r="E218" s="1415">
        <f>SUMIF(K4:K201,"=A",M4:M201)</f>
        <v>44760659.43</v>
      </c>
      <c r="F218" s="1088" t="s">
        <v>1013</v>
      </c>
      <c r="G218" s="330"/>
      <c r="N218" s="316"/>
    </row>
    <row r="219" spans="1:15">
      <c r="A219" s="215">
        <v>37</v>
      </c>
      <c r="B219" s="347"/>
      <c r="C219" s="347"/>
      <c r="D219" s="351" t="s">
        <v>1014</v>
      </c>
      <c r="E219" s="1415">
        <f>0.1*E218</f>
        <v>4476065.943</v>
      </c>
      <c r="F219" s="68" t="str">
        <f>"= Line "&amp;A218&amp;"D * 10%"</f>
        <v>= Line 36D * 10%</v>
      </c>
      <c r="G219" s="40"/>
      <c r="H219" s="333"/>
      <c r="I219" s="334"/>
    </row>
    <row r="220" spans="1:15">
      <c r="A220" s="215">
        <v>38</v>
      </c>
      <c r="B220" s="347"/>
      <c r="C220" s="347"/>
      <c r="D220" s="351" t="s">
        <v>1015</v>
      </c>
      <c r="E220" s="1415">
        <f>SUMIF(K4:K204,"=P",M4:M204)</f>
        <v>23238505.139999997</v>
      </c>
      <c r="F220" s="1089" t="s">
        <v>1016</v>
      </c>
      <c r="G220" s="40"/>
      <c r="H220" s="224"/>
      <c r="I220" s="334"/>
    </row>
    <row r="221" spans="1:15">
      <c r="A221" s="215">
        <v>39</v>
      </c>
      <c r="B221" s="347"/>
      <c r="C221" s="347"/>
      <c r="D221" s="351" t="s">
        <v>1017</v>
      </c>
      <c r="E221" s="1415">
        <f>0.3*E220</f>
        <v>6971551.5419999985</v>
      </c>
      <c r="F221" s="68" t="str">
        <f>"= Line "&amp;A220&amp;"D * 30%"</f>
        <v>= Line 38D * 30%</v>
      </c>
      <c r="G221" s="40"/>
      <c r="H221" s="333"/>
      <c r="I221" s="334"/>
    </row>
    <row r="222" spans="1:15">
      <c r="A222" s="215">
        <v>40</v>
      </c>
      <c r="B222" s="347"/>
      <c r="C222" s="347"/>
      <c r="D222" s="351" t="s">
        <v>1018</v>
      </c>
      <c r="E222" s="1415">
        <f>E219+E221</f>
        <v>11447617.484999999</v>
      </c>
      <c r="F222" s="68" t="str">
        <f>"= Line "&amp;A219&amp;"D + Line "&amp;A221&amp;"D"</f>
        <v>= Line 37D + Line 39D</v>
      </c>
      <c r="G222" s="329"/>
    </row>
    <row r="223" spans="1:15">
      <c r="A223" s="215">
        <v>41</v>
      </c>
      <c r="B223" s="347"/>
      <c r="C223" s="347"/>
      <c r="D223" s="351" t="s">
        <v>1019</v>
      </c>
      <c r="E223" s="352">
        <f>5.425/16.671</f>
        <v>0.32541539199808051</v>
      </c>
      <c r="F223" s="1088" t="s">
        <v>1010</v>
      </c>
      <c r="G223" s="329"/>
    </row>
    <row r="224" spans="1:15">
      <c r="A224" s="215">
        <v>42</v>
      </c>
      <c r="B224" s="347"/>
      <c r="C224" s="347"/>
      <c r="D224" s="351" t="s">
        <v>1020</v>
      </c>
      <c r="E224" s="1415">
        <f>E222*E223</f>
        <v>3725230.9313253551</v>
      </c>
      <c r="F224" s="68" t="str">
        <f>"= Line "&amp;A222&amp;"D * Line "&amp;A223&amp;"D"</f>
        <v>= Line 40D * Line 41D</v>
      </c>
      <c r="G224" s="329"/>
    </row>
    <row r="225" spans="1:254" ht="12.75" customHeight="1">
      <c r="A225" s="215">
        <v>43</v>
      </c>
      <c r="B225" s="347"/>
      <c r="C225" s="347"/>
      <c r="D225" s="354" t="s">
        <v>2013</v>
      </c>
      <c r="E225" s="1416">
        <f>E224+E216</f>
        <v>9150357.495133765</v>
      </c>
      <c r="F225" s="68" t="str">
        <f>"= Line "&amp;A216&amp;"D + Line "&amp;A224&amp;"D"</f>
        <v>= Line 34D + Line 42D</v>
      </c>
      <c r="G225" s="329"/>
    </row>
    <row r="226" spans="1:254">
      <c r="A226" s="40"/>
      <c r="D226" s="329"/>
      <c r="E226" s="1090"/>
      <c r="F226" s="1088"/>
      <c r="G226" s="329"/>
    </row>
    <row r="227" spans="1:254">
      <c r="A227" s="40"/>
      <c r="D227" s="233"/>
      <c r="E227" s="239" t="s">
        <v>194</v>
      </c>
      <c r="F227" s="239" t="s">
        <v>171</v>
      </c>
      <c r="G227" s="231"/>
      <c r="I227" s="234"/>
      <c r="J227" s="40"/>
      <c r="K227" s="234"/>
      <c r="L227" s="233"/>
      <c r="M227" s="239"/>
      <c r="N227" s="239"/>
      <c r="O227" s="231"/>
      <c r="P227" s="232"/>
      <c r="Q227" s="234"/>
      <c r="R227" s="233"/>
      <c r="S227" s="239"/>
      <c r="T227" s="239"/>
      <c r="U227" s="231"/>
      <c r="V227" s="232"/>
      <c r="W227" s="234"/>
      <c r="X227" s="40"/>
      <c r="Y227" s="234"/>
      <c r="Z227" s="233"/>
      <c r="AA227" s="239"/>
      <c r="AB227" s="239"/>
      <c r="AC227" s="231"/>
      <c r="AD227" s="232"/>
      <c r="AE227" s="234"/>
      <c r="AF227" s="40"/>
      <c r="AG227" s="234"/>
      <c r="AH227" s="233"/>
      <c r="AI227" s="239"/>
      <c r="AJ227" s="239"/>
      <c r="AK227" s="231"/>
      <c r="AL227" s="232"/>
      <c r="AM227" s="234"/>
      <c r="AN227" s="40"/>
      <c r="AO227" s="234"/>
      <c r="AP227" s="233"/>
      <c r="AQ227" s="239"/>
      <c r="AR227" s="239"/>
      <c r="AS227" s="231"/>
      <c r="AT227" s="232"/>
      <c r="AU227" s="234"/>
      <c r="AV227" s="40"/>
      <c r="AW227" s="234"/>
      <c r="AX227" s="233"/>
      <c r="AY227" s="239"/>
      <c r="AZ227" s="239"/>
      <c r="BA227" s="231"/>
      <c r="BB227" s="232"/>
      <c r="BC227" s="234"/>
      <c r="BD227" s="40"/>
      <c r="BE227" s="234"/>
      <c r="BF227" s="233"/>
      <c r="BG227" s="239"/>
      <c r="BH227" s="239"/>
      <c r="BI227" s="231"/>
      <c r="BJ227" s="232"/>
      <c r="BK227" s="234"/>
      <c r="BL227" s="40"/>
      <c r="BM227" s="234"/>
      <c r="BN227" s="233"/>
      <c r="BO227" s="239"/>
      <c r="BP227" s="239"/>
      <c r="BQ227" s="231"/>
      <c r="BR227" s="232"/>
      <c r="BS227" s="234"/>
      <c r="BT227" s="40"/>
      <c r="BU227" s="234"/>
      <c r="BV227" s="233"/>
      <c r="BW227" s="239"/>
      <c r="BX227" s="239"/>
      <c r="BY227" s="231"/>
      <c r="BZ227" s="232"/>
      <c r="CA227" s="234"/>
      <c r="CB227" s="40"/>
      <c r="CC227" s="234"/>
      <c r="CD227" s="233"/>
      <c r="CE227" s="239"/>
      <c r="CF227" s="239"/>
      <c r="CG227" s="231"/>
      <c r="CH227" s="232"/>
      <c r="CI227" s="234"/>
      <c r="CJ227" s="40"/>
      <c r="CK227" s="234"/>
      <c r="CL227" s="233"/>
      <c r="CM227" s="239"/>
      <c r="CN227" s="239"/>
      <c r="CO227" s="231"/>
      <c r="CP227" s="232"/>
      <c r="CQ227" s="234"/>
      <c r="CR227" s="40"/>
      <c r="CS227" s="234"/>
      <c r="CT227" s="233"/>
      <c r="CU227" s="239"/>
      <c r="CV227" s="239"/>
      <c r="CW227" s="231"/>
      <c r="CX227" s="232"/>
      <c r="CY227" s="234"/>
      <c r="CZ227" s="40"/>
      <c r="DA227" s="234"/>
      <c r="DB227" s="233"/>
      <c r="DC227" s="239"/>
      <c r="DD227" s="239"/>
      <c r="DE227" s="231"/>
      <c r="DF227" s="232"/>
      <c r="DG227" s="234"/>
      <c r="DH227" s="40"/>
      <c r="DI227" s="234"/>
      <c r="DJ227" s="233"/>
      <c r="DK227" s="239"/>
      <c r="DL227" s="239"/>
      <c r="DM227" s="231"/>
      <c r="DN227" s="232"/>
      <c r="DO227" s="234"/>
      <c r="DP227" s="40"/>
      <c r="DQ227" s="234"/>
      <c r="DR227" s="233"/>
      <c r="DS227" s="239"/>
      <c r="DT227" s="239"/>
      <c r="DU227" s="231"/>
      <c r="DV227" s="232"/>
      <c r="DW227" s="234"/>
      <c r="DX227" s="40"/>
      <c r="DY227" s="234"/>
      <c r="DZ227" s="233"/>
      <c r="EA227" s="239"/>
      <c r="EB227" s="239"/>
      <c r="EC227" s="231"/>
      <c r="ED227" s="232"/>
      <c r="EE227" s="234"/>
      <c r="EF227" s="40"/>
      <c r="EG227" s="234"/>
      <c r="EH227" s="233"/>
      <c r="EI227" s="239"/>
      <c r="EJ227" s="239"/>
      <c r="EK227" s="231"/>
      <c r="EL227" s="232"/>
      <c r="EM227" s="234"/>
      <c r="EN227" s="40"/>
      <c r="EO227" s="234"/>
      <c r="EP227" s="233"/>
      <c r="EQ227" s="239"/>
      <c r="ER227" s="239"/>
      <c r="ES227" s="231"/>
      <c r="ET227" s="232"/>
      <c r="EU227" s="234"/>
      <c r="EV227" s="40"/>
      <c r="EW227" s="234"/>
      <c r="EX227" s="233"/>
      <c r="EY227" s="239"/>
      <c r="EZ227" s="239"/>
      <c r="FA227" s="231"/>
      <c r="FB227" s="232"/>
      <c r="FC227" s="234"/>
      <c r="FD227" s="40"/>
      <c r="FE227" s="234"/>
      <c r="FF227" s="233"/>
      <c r="FG227" s="239"/>
      <c r="FH227" s="239"/>
      <c r="FI227" s="231"/>
      <c r="FJ227" s="232"/>
      <c r="FK227" s="234"/>
      <c r="FL227" s="40"/>
      <c r="FM227" s="234"/>
      <c r="FN227" s="233"/>
      <c r="FO227" s="239"/>
      <c r="FP227" s="239"/>
      <c r="FQ227" s="231"/>
      <c r="FR227" s="232"/>
      <c r="FS227" s="234"/>
      <c r="FT227" s="40"/>
      <c r="FU227" s="234"/>
      <c r="FV227" s="233"/>
      <c r="FW227" s="239"/>
      <c r="FX227" s="239"/>
      <c r="FY227" s="231"/>
      <c r="FZ227" s="232"/>
      <c r="GA227" s="234"/>
      <c r="GB227" s="40"/>
      <c r="GC227" s="234"/>
      <c r="GD227" s="233"/>
      <c r="GE227" s="239"/>
      <c r="GF227" s="239"/>
      <c r="GG227" s="231"/>
      <c r="GH227" s="232"/>
      <c r="GI227" s="234"/>
      <c r="GJ227" s="40"/>
      <c r="GK227" s="234"/>
      <c r="GL227" s="233"/>
      <c r="GM227" s="239"/>
      <c r="GN227" s="239"/>
      <c r="GO227" s="231"/>
      <c r="GP227" s="232"/>
      <c r="GQ227" s="234"/>
      <c r="GR227" s="40"/>
      <c r="GS227" s="234"/>
      <c r="GT227" s="233"/>
      <c r="GU227" s="239"/>
      <c r="GV227" s="239"/>
      <c r="GW227" s="231"/>
      <c r="GX227" s="232"/>
      <c r="GY227" s="234"/>
      <c r="GZ227" s="40"/>
      <c r="HA227" s="234"/>
      <c r="HB227" s="233"/>
      <c r="HC227" s="239"/>
      <c r="HD227" s="239"/>
      <c r="HE227" s="231"/>
      <c r="HF227" s="232"/>
      <c r="HG227" s="234"/>
      <c r="HH227" s="40"/>
      <c r="HI227" s="234"/>
      <c r="HJ227" s="233"/>
      <c r="HK227" s="239"/>
      <c r="HL227" s="239"/>
      <c r="HM227" s="231"/>
      <c r="HN227" s="232"/>
      <c r="HO227" s="234"/>
      <c r="HP227" s="40"/>
      <c r="HQ227" s="234"/>
      <c r="HR227" s="233"/>
      <c r="HS227" s="239"/>
      <c r="HT227" s="239"/>
      <c r="HU227" s="231"/>
      <c r="HV227" s="232"/>
      <c r="HW227" s="234"/>
      <c r="HX227" s="40"/>
      <c r="HY227" s="234"/>
      <c r="HZ227" s="233"/>
      <c r="IA227" s="239"/>
      <c r="IB227" s="239"/>
      <c r="IC227" s="231"/>
      <c r="ID227" s="232"/>
      <c r="IE227" s="234"/>
      <c r="IF227" s="40"/>
      <c r="IG227" s="234"/>
      <c r="IH227" s="233"/>
      <c r="II227" s="239"/>
      <c r="IJ227" s="239"/>
      <c r="IK227" s="231"/>
      <c r="IL227" s="232"/>
      <c r="IM227" s="234"/>
      <c r="IN227" s="40"/>
      <c r="IO227" s="234"/>
      <c r="IP227" s="233"/>
      <c r="IQ227" s="239"/>
      <c r="IR227" s="239"/>
      <c r="IS227" s="231"/>
      <c r="IT227" s="232"/>
    </row>
    <row r="228" spans="1:254">
      <c r="A228" s="215">
        <v>44</v>
      </c>
      <c r="B228" s="39" t="s">
        <v>1043</v>
      </c>
      <c r="D228" s="233"/>
      <c r="E228" s="442">
        <f>H212+E225</f>
        <v>55077034.877153262</v>
      </c>
      <c r="F228" s="825" t="s">
        <v>2543</v>
      </c>
      <c r="G228" s="231"/>
      <c r="J228" s="39"/>
      <c r="K228" s="234"/>
      <c r="L228" s="233"/>
      <c r="M228" s="238"/>
      <c r="N228" s="240"/>
      <c r="O228" s="231"/>
      <c r="P228" s="232"/>
      <c r="Q228" s="234"/>
      <c r="R228" s="233"/>
      <c r="S228" s="238"/>
      <c r="T228" s="240"/>
      <c r="U228" s="231"/>
      <c r="V228" s="232"/>
      <c r="W228" s="224"/>
      <c r="X228" s="39"/>
      <c r="Y228" s="234"/>
      <c r="Z228" s="233"/>
      <c r="AA228" s="238"/>
      <c r="AB228" s="240"/>
      <c r="AC228" s="231"/>
      <c r="AD228" s="232"/>
      <c r="AE228" s="224"/>
      <c r="AF228" s="39"/>
      <c r="AG228" s="234"/>
      <c r="AH228" s="233"/>
      <c r="AI228" s="238"/>
      <c r="AJ228" s="240"/>
      <c r="AK228" s="231"/>
      <c r="AL228" s="232"/>
      <c r="AM228" s="218"/>
      <c r="AN228" s="39"/>
      <c r="AO228" s="234"/>
      <c r="AP228" s="233"/>
      <c r="AQ228" s="238"/>
      <c r="AR228" s="240"/>
      <c r="AS228" s="231"/>
      <c r="AT228" s="232"/>
      <c r="AU228" s="218"/>
      <c r="AV228" s="39"/>
      <c r="AW228" s="234"/>
      <c r="AX228" s="233"/>
      <c r="AY228" s="238"/>
      <c r="AZ228" s="240"/>
      <c r="BA228" s="231"/>
      <c r="BB228" s="232"/>
      <c r="BC228" s="218"/>
      <c r="BD228" s="39"/>
      <c r="BE228" s="234"/>
      <c r="BF228" s="233"/>
      <c r="BG228" s="238"/>
      <c r="BH228" s="240"/>
      <c r="BI228" s="231"/>
      <c r="BJ228" s="232"/>
      <c r="BK228" s="218"/>
      <c r="BL228" s="39"/>
      <c r="BM228" s="234"/>
      <c r="BN228" s="233"/>
      <c r="BO228" s="238"/>
      <c r="BP228" s="240"/>
      <c r="BQ228" s="231"/>
      <c r="BR228" s="232"/>
      <c r="BS228" s="218"/>
      <c r="BT228" s="39"/>
      <c r="BU228" s="234"/>
      <c r="BV228" s="233"/>
      <c r="BW228" s="238"/>
      <c r="BX228" s="240"/>
      <c r="BY228" s="231"/>
      <c r="BZ228" s="232"/>
      <c r="CA228" s="218"/>
      <c r="CB228" s="39"/>
      <c r="CC228" s="234"/>
      <c r="CD228" s="233"/>
      <c r="CE228" s="238"/>
      <c r="CF228" s="240"/>
      <c r="CG228" s="231"/>
      <c r="CH228" s="232"/>
      <c r="CI228" s="218"/>
      <c r="CJ228" s="39"/>
      <c r="CK228" s="234"/>
      <c r="CL228" s="233"/>
      <c r="CM228" s="238"/>
      <c r="CN228" s="240"/>
      <c r="CO228" s="231"/>
      <c r="CP228" s="232"/>
      <c r="CQ228" s="218"/>
      <c r="CR228" s="39"/>
      <c r="CS228" s="234"/>
      <c r="CT228" s="233"/>
      <c r="CU228" s="238"/>
      <c r="CV228" s="240"/>
      <c r="CW228" s="231"/>
      <c r="CX228" s="232"/>
      <c r="CY228" s="218"/>
      <c r="CZ228" s="39"/>
      <c r="DA228" s="234"/>
      <c r="DB228" s="233"/>
      <c r="DC228" s="238"/>
      <c r="DD228" s="240"/>
      <c r="DE228" s="231"/>
      <c r="DF228" s="232"/>
      <c r="DG228" s="218"/>
      <c r="DH228" s="39"/>
      <c r="DI228" s="234"/>
      <c r="DJ228" s="233"/>
      <c r="DK228" s="238"/>
      <c r="DL228" s="240"/>
      <c r="DM228" s="231"/>
      <c r="DN228" s="232"/>
      <c r="DO228" s="218"/>
      <c r="DP228" s="39"/>
      <c r="DQ228" s="234"/>
      <c r="DR228" s="233"/>
      <c r="DS228" s="238"/>
      <c r="DT228" s="240"/>
      <c r="DU228" s="231"/>
      <c r="DV228" s="232"/>
      <c r="DW228" s="218"/>
      <c r="DX228" s="39"/>
      <c r="DY228" s="234"/>
      <c r="DZ228" s="233"/>
      <c r="EA228" s="238"/>
      <c r="EB228" s="240"/>
      <c r="EC228" s="231"/>
      <c r="ED228" s="232"/>
      <c r="EE228" s="218"/>
      <c r="EF228" s="39"/>
      <c r="EG228" s="234"/>
      <c r="EH228" s="233"/>
      <c r="EI228" s="238"/>
      <c r="EJ228" s="240"/>
      <c r="EK228" s="231"/>
      <c r="EL228" s="232"/>
      <c r="EM228" s="218"/>
      <c r="EN228" s="39"/>
      <c r="EO228" s="234"/>
      <c r="EP228" s="233"/>
      <c r="EQ228" s="238"/>
      <c r="ER228" s="240"/>
      <c r="ES228" s="231"/>
      <c r="ET228" s="232"/>
      <c r="EU228" s="218"/>
      <c r="EV228" s="39"/>
      <c r="EW228" s="234"/>
      <c r="EX228" s="233"/>
      <c r="EY228" s="238"/>
      <c r="EZ228" s="240"/>
      <c r="FA228" s="231"/>
      <c r="FB228" s="232"/>
      <c r="FC228" s="218"/>
      <c r="FD228" s="39"/>
      <c r="FE228" s="234"/>
      <c r="FF228" s="233"/>
      <c r="FG228" s="238"/>
      <c r="FH228" s="240"/>
      <c r="FI228" s="231"/>
      <c r="FJ228" s="232"/>
      <c r="FK228" s="218"/>
      <c r="FL228" s="39"/>
      <c r="FM228" s="234"/>
      <c r="FN228" s="233"/>
      <c r="FO228" s="238"/>
      <c r="FP228" s="240"/>
      <c r="FQ228" s="231"/>
      <c r="FR228" s="232"/>
      <c r="FS228" s="218"/>
      <c r="FT228" s="39"/>
      <c r="FU228" s="234"/>
      <c r="FV228" s="233"/>
      <c r="FW228" s="238"/>
      <c r="FX228" s="240"/>
      <c r="FY228" s="231"/>
      <c r="FZ228" s="232"/>
      <c r="GA228" s="218"/>
      <c r="GB228" s="39"/>
      <c r="GC228" s="234"/>
      <c r="GD228" s="233"/>
      <c r="GE228" s="238"/>
      <c r="GF228" s="240"/>
      <c r="GG228" s="231"/>
      <c r="GH228" s="232"/>
      <c r="GI228" s="218"/>
      <c r="GJ228" s="39"/>
      <c r="GK228" s="234"/>
      <c r="GL228" s="233"/>
      <c r="GM228" s="238"/>
      <c r="GN228" s="240"/>
      <c r="GO228" s="231"/>
      <c r="GP228" s="232"/>
      <c r="GQ228" s="218"/>
      <c r="GR228" s="39"/>
      <c r="GS228" s="234"/>
      <c r="GT228" s="233"/>
      <c r="GU228" s="238"/>
      <c r="GV228" s="240"/>
      <c r="GW228" s="231"/>
      <c r="GX228" s="232"/>
      <c r="GY228" s="218"/>
      <c r="GZ228" s="39"/>
      <c r="HA228" s="234"/>
      <c r="HB228" s="233"/>
      <c r="HC228" s="238"/>
      <c r="HD228" s="240"/>
      <c r="HE228" s="231"/>
      <c r="HF228" s="232"/>
      <c r="HG228" s="218"/>
      <c r="HH228" s="39"/>
      <c r="HI228" s="234"/>
      <c r="HJ228" s="233"/>
      <c r="HK228" s="238"/>
      <c r="HL228" s="240"/>
      <c r="HM228" s="231"/>
      <c r="HN228" s="232"/>
      <c r="HO228" s="218"/>
      <c r="HP228" s="39"/>
      <c r="HQ228" s="234"/>
      <c r="HR228" s="233"/>
      <c r="HS228" s="238"/>
      <c r="HT228" s="240"/>
      <c r="HU228" s="231"/>
      <c r="HV228" s="232"/>
      <c r="HW228" s="218"/>
      <c r="HX228" s="39"/>
      <c r="HY228" s="234"/>
      <c r="HZ228" s="233"/>
      <c r="IA228" s="238"/>
      <c r="IB228" s="240"/>
      <c r="IC228" s="231"/>
      <c r="ID228" s="232"/>
      <c r="IE228" s="218"/>
      <c r="IF228" s="39"/>
      <c r="IG228" s="234"/>
      <c r="IH228" s="233"/>
      <c r="II228" s="238"/>
      <c r="IJ228" s="240"/>
      <c r="IK228" s="231"/>
      <c r="IL228" s="232"/>
      <c r="IM228" s="218"/>
      <c r="IN228" s="39"/>
      <c r="IO228" s="234"/>
      <c r="IP228" s="233"/>
      <c r="IQ228" s="238"/>
      <c r="IR228" s="240"/>
      <c r="IS228" s="231"/>
      <c r="IT228" s="232"/>
    </row>
    <row r="229" spans="1:254">
      <c r="D229" s="329"/>
      <c r="E229" s="317"/>
      <c r="F229" s="350"/>
    </row>
    <row r="231" spans="1:254">
      <c r="A231" s="234" t="s">
        <v>256</v>
      </c>
    </row>
    <row r="232" spans="1:254" ht="12.75" customHeight="1">
      <c r="A232" s="93" t="s">
        <v>1021</v>
      </c>
      <c r="B232" s="1476" t="s">
        <v>1668</v>
      </c>
      <c r="C232" s="1477"/>
      <c r="D232" s="1477"/>
    </row>
    <row r="233" spans="1:254" ht="77.25" customHeight="1">
      <c r="A233" s="93" t="s">
        <v>1022</v>
      </c>
      <c r="B233" s="1449" t="s">
        <v>2195</v>
      </c>
      <c r="C233" s="1450"/>
      <c r="D233" s="1450"/>
      <c r="E233" s="1451"/>
      <c r="F233" s="1451"/>
    </row>
    <row r="234" spans="1:254" ht="12.75" customHeight="1">
      <c r="A234" s="93" t="s">
        <v>1023</v>
      </c>
      <c r="B234" s="1464" t="s">
        <v>1024</v>
      </c>
      <c r="C234" s="1465"/>
      <c r="D234" s="1465"/>
      <c r="E234" s="1466"/>
      <c r="F234" s="1466"/>
    </row>
    <row r="235" spans="1:254" ht="12.75" customHeight="1">
      <c r="A235" s="77" t="s">
        <v>1025</v>
      </c>
      <c r="B235" s="1449" t="s">
        <v>1713</v>
      </c>
      <c r="C235" s="1465"/>
      <c r="D235" s="1465"/>
      <c r="E235" s="1466"/>
      <c r="F235" s="1466"/>
    </row>
    <row r="236" spans="1:254" ht="12.75" customHeight="1">
      <c r="A236" s="93" t="s">
        <v>1026</v>
      </c>
      <c r="B236" s="1464" t="s">
        <v>1027</v>
      </c>
      <c r="C236" s="1465"/>
      <c r="D236" s="1465"/>
      <c r="E236" s="1466"/>
      <c r="F236" s="1466"/>
    </row>
    <row r="237" spans="1:254" ht="12.75" customHeight="1">
      <c r="A237" s="77" t="s">
        <v>1028</v>
      </c>
      <c r="B237" s="1464" t="s">
        <v>1029</v>
      </c>
      <c r="C237" s="1465"/>
      <c r="D237" s="1465"/>
      <c r="E237" s="1466"/>
      <c r="F237" s="1466"/>
    </row>
    <row r="238" spans="1:254" ht="12.75" customHeight="1">
      <c r="A238" s="77" t="s">
        <v>1030</v>
      </c>
      <c r="B238" s="1449" t="s">
        <v>1976</v>
      </c>
      <c r="C238" s="1450"/>
      <c r="D238" s="1450"/>
      <c r="E238" s="1472"/>
      <c r="F238" s="1472"/>
    </row>
    <row r="239" spans="1:254" ht="12.75" customHeight="1">
      <c r="A239" s="77"/>
      <c r="B239" s="1472"/>
      <c r="C239" s="1472"/>
      <c r="D239" s="1472"/>
      <c r="E239" s="1472"/>
      <c r="F239" s="1472"/>
    </row>
    <row r="240" spans="1:254" ht="12.75" customHeight="1">
      <c r="A240" s="77"/>
      <c r="B240" s="1464" t="s">
        <v>1031</v>
      </c>
      <c r="C240" s="1465"/>
      <c r="D240" s="363">
        <v>5.919E-2</v>
      </c>
      <c r="E240" s="1091" t="s">
        <v>2009</v>
      </c>
      <c r="F240" s="664" t="s">
        <v>3002</v>
      </c>
      <c r="G240" s="665"/>
    </row>
    <row r="241" spans="1:8" ht="26.25" customHeight="1">
      <c r="A241" s="77" t="s">
        <v>1032</v>
      </c>
      <c r="B241" s="1464" t="s">
        <v>1033</v>
      </c>
      <c r="C241" s="1465"/>
      <c r="D241" s="1465"/>
      <c r="E241" s="1466"/>
      <c r="F241" s="1466"/>
    </row>
    <row r="242" spans="1:8" ht="27.75" customHeight="1">
      <c r="A242" s="77" t="s">
        <v>1034</v>
      </c>
      <c r="B242" s="1464" t="s">
        <v>1035</v>
      </c>
      <c r="C242" s="1465"/>
      <c r="D242" s="1465"/>
      <c r="E242" s="1466"/>
      <c r="F242" s="1466"/>
    </row>
    <row r="243" spans="1:8" ht="25.5" customHeight="1">
      <c r="A243" s="93" t="s">
        <v>1036</v>
      </c>
      <c r="B243" s="1464" t="s">
        <v>1037</v>
      </c>
      <c r="C243" s="1465"/>
      <c r="D243" s="1465"/>
      <c r="E243" s="1466"/>
      <c r="F243" s="1466"/>
    </row>
    <row r="244" spans="1:8" ht="39.950000000000003" customHeight="1">
      <c r="A244" s="77" t="s">
        <v>1038</v>
      </c>
      <c r="B244" s="1449" t="s">
        <v>2010</v>
      </c>
      <c r="C244" s="1450"/>
      <c r="D244" s="1450"/>
      <c r="E244" s="1451"/>
      <c r="F244" s="1451"/>
      <c r="G244" s="329"/>
    </row>
    <row r="245" spans="1:8" ht="26.1" customHeight="1">
      <c r="A245" s="77" t="s">
        <v>1039</v>
      </c>
      <c r="B245" s="1449" t="s">
        <v>1977</v>
      </c>
      <c r="C245" s="1450"/>
      <c r="D245" s="1450"/>
      <c r="E245" s="1472"/>
      <c r="F245" s="1472"/>
      <c r="G245" s="1472"/>
    </row>
    <row r="246" spans="1:8" ht="12.75" customHeight="1">
      <c r="A246" s="77"/>
      <c r="B246" s="1464" t="s">
        <v>1031</v>
      </c>
      <c r="C246" s="1465"/>
      <c r="D246" s="1213">
        <v>5.919E-2</v>
      </c>
      <c r="E246" s="1091" t="s">
        <v>2009</v>
      </c>
      <c r="F246" s="1211" t="s">
        <v>3002</v>
      </c>
      <c r="G246" s="665"/>
    </row>
    <row r="247" spans="1:8" ht="12.75" customHeight="1">
      <c r="A247" s="77" t="s">
        <v>1040</v>
      </c>
      <c r="B247" s="1449" t="s">
        <v>2537</v>
      </c>
      <c r="C247" s="1450"/>
      <c r="D247" s="1450"/>
      <c r="E247" s="1472"/>
      <c r="F247" s="1472"/>
      <c r="G247" s="1472"/>
      <c r="H247" s="1472"/>
    </row>
    <row r="248" spans="1:8" ht="12.75" customHeight="1">
      <c r="A248" s="77" t="s">
        <v>1041</v>
      </c>
      <c r="B248" s="1449" t="s">
        <v>2538</v>
      </c>
      <c r="C248" s="1450"/>
      <c r="D248" s="1450"/>
      <c r="E248" s="1472"/>
      <c r="F248" s="1472"/>
      <c r="G248" s="1472"/>
    </row>
    <row r="249" spans="1:8" ht="25.5" customHeight="1">
      <c r="A249" s="633" t="s">
        <v>1912</v>
      </c>
      <c r="B249" s="1449" t="s">
        <v>2033</v>
      </c>
      <c r="C249" s="1450"/>
      <c r="D249" s="1450"/>
      <c r="E249" s="1451"/>
      <c r="F249" s="1451"/>
      <c r="G249" s="329"/>
    </row>
    <row r="250" spans="1:8">
      <c r="A250" s="633" t="s">
        <v>2011</v>
      </c>
      <c r="B250" s="606" t="s">
        <v>2073</v>
      </c>
      <c r="C250" s="40"/>
      <c r="E250" s="40"/>
      <c r="F250" s="40"/>
      <c r="G250" s="329"/>
    </row>
    <row r="251" spans="1:8">
      <c r="A251" s="633" t="s">
        <v>2039</v>
      </c>
      <c r="B251" s="606" t="s">
        <v>2169</v>
      </c>
      <c r="C251" s="40"/>
      <c r="E251" s="329"/>
      <c r="F251" s="329"/>
      <c r="G251" s="329"/>
    </row>
    <row r="252" spans="1:8">
      <c r="A252" s="40"/>
      <c r="B252" s="606" t="s">
        <v>2170</v>
      </c>
      <c r="C252" s="40"/>
      <c r="E252" s="329"/>
      <c r="F252" s="329"/>
      <c r="G252" s="329"/>
    </row>
    <row r="253" spans="1:8">
      <c r="A253" s="40"/>
      <c r="B253" s="606" t="s">
        <v>2171</v>
      </c>
      <c r="C253" s="40"/>
      <c r="E253" s="329"/>
      <c r="F253" s="329"/>
      <c r="G253" s="329"/>
    </row>
    <row r="254" spans="1:8">
      <c r="A254" s="40"/>
      <c r="B254" s="606" t="s">
        <v>2172</v>
      </c>
      <c r="C254" s="40"/>
      <c r="E254" s="329"/>
      <c r="F254" s="329"/>
      <c r="G254" s="329"/>
    </row>
  </sheetData>
  <autoFilter ref="A1:O250"/>
  <mergeCells count="46">
    <mergeCell ref="B247:H247"/>
    <mergeCell ref="B248:G248"/>
    <mergeCell ref="B136:D136"/>
    <mergeCell ref="B243:F243"/>
    <mergeCell ref="B244:F244"/>
    <mergeCell ref="B246:C246"/>
    <mergeCell ref="B245:G245"/>
    <mergeCell ref="B170:D170"/>
    <mergeCell ref="B195:D195"/>
    <mergeCell ref="B175:D175"/>
    <mergeCell ref="B204:C204"/>
    <mergeCell ref="B232:D232"/>
    <mergeCell ref="B169:D169"/>
    <mergeCell ref="B164:D164"/>
    <mergeCell ref="B240:C240"/>
    <mergeCell ref="B238:F239"/>
    <mergeCell ref="B242:F242"/>
    <mergeCell ref="B233:F233"/>
    <mergeCell ref="B200:C200"/>
    <mergeCell ref="B201:C201"/>
    <mergeCell ref="B203:C203"/>
    <mergeCell ref="B208:D208"/>
    <mergeCell ref="B210:D210"/>
    <mergeCell ref="B209:D209"/>
    <mergeCell ref="B202:C202"/>
    <mergeCell ref="B234:F234"/>
    <mergeCell ref="B235:F235"/>
    <mergeCell ref="B237:F237"/>
    <mergeCell ref="B236:F236"/>
    <mergeCell ref="B241:F241"/>
    <mergeCell ref="B249:F249"/>
    <mergeCell ref="J2:M2"/>
    <mergeCell ref="G2:I2"/>
    <mergeCell ref="B197:D197"/>
    <mergeCell ref="B165:D165"/>
    <mergeCell ref="B71:D71"/>
    <mergeCell ref="B40:D40"/>
    <mergeCell ref="B32:D32"/>
    <mergeCell ref="B196:D196"/>
    <mergeCell ref="B174:D174"/>
    <mergeCell ref="B9:D9"/>
    <mergeCell ref="B10:D10"/>
    <mergeCell ref="B39:D39"/>
    <mergeCell ref="B31:D31"/>
    <mergeCell ref="B70:D70"/>
    <mergeCell ref="B137:D137"/>
  </mergeCells>
  <conditionalFormatting sqref="A236:A237 C171:C173 C138:C157 D76 C2:C8 C166:C168 C251:C65560 A241:A242 C175:C184 A244:A247 C229:C231 C33:C38 C41:C69 C72:C128 C212:C226 A249:A250 C11:C30 C162:C163">
    <cfRule type="cellIs" dxfId="7" priority="8" stopIfTrue="1" operator="between">
      <formula>4990000</formula>
      <formula>4999999</formula>
    </cfRule>
  </conditionalFormatting>
  <conditionalFormatting sqref="A248">
    <cfRule type="cellIs" dxfId="6" priority="7" stopIfTrue="1" operator="between">
      <formula>4990000</formula>
      <formula>4999999</formula>
    </cfRule>
  </conditionalFormatting>
  <conditionalFormatting sqref="A238:A240">
    <cfRule type="cellIs" dxfId="5" priority="6" stopIfTrue="1" operator="between">
      <formula>4990000</formula>
      <formula>4999999</formula>
    </cfRule>
  </conditionalFormatting>
  <conditionalFormatting sqref="K227:K228 Q227:Q228 Y227:Y228 AG227:AG228 AO227:AO228 AW227:AW228 BE227:BE228 BM227:BM228 BU227:BU228 CC227:CC228 CK227:CK228 CS227:CS228 DA227:DA228 DI227:DI228 DQ227:DQ228 DY227:DY228 EG227:EG228 EO227:EO228 EW227:EW228 FE227:FE228 FM227:FM228 FU227:FU228 GC227:GC228 GK227:GK228 GS227:GS228 HA227:HA228 HI227:HI228 HQ227:HQ228 HY227:HY228 IG227:IG228 IO227:IO228">
    <cfRule type="cellIs" dxfId="4" priority="5" stopIfTrue="1" operator="between">
      <formula>4990000</formula>
      <formula>4999999</formula>
    </cfRule>
  </conditionalFormatting>
  <conditionalFormatting sqref="C227:C228">
    <cfRule type="cellIs" dxfId="3" priority="4" stopIfTrue="1" operator="between">
      <formula>4990000</formula>
      <formula>4999999</formula>
    </cfRule>
  </conditionalFormatting>
  <conditionalFormatting sqref="A251">
    <cfRule type="cellIs" dxfId="2" priority="3" stopIfTrue="1" operator="between">
      <formula>4990000</formula>
      <formula>4999999</formula>
    </cfRule>
  </conditionalFormatting>
  <conditionalFormatting sqref="C129:C135">
    <cfRule type="cellIs" dxfId="1" priority="2" stopIfTrue="1" operator="between">
      <formula>4990000</formula>
      <formula>4999999</formula>
    </cfRule>
  </conditionalFormatting>
  <conditionalFormatting sqref="C158:C161">
    <cfRule type="cellIs" dxfId="0" priority="1" stopIfTrue="1" operator="between">
      <formula>4990000</formula>
      <formula>4999999</formula>
    </cfRule>
  </conditionalFormatting>
  <pageMargins left="0.7" right="0.7" top="0.75" bottom="0.75" header="0.3" footer="0.3"/>
  <pageSetup scale="50" orientation="landscape" cellComments="asDisplayed" r:id="rId1"/>
  <headerFooter>
    <oddHeader>&amp;CSchedule 21
Revenue Credits
&amp;RTO11 Draft Annual Update
Attachment 1</oddHeader>
    <oddFooter>&amp;R21-RevenueCredits</oddFooter>
  </headerFooter>
  <rowBreaks count="3" manualBreakCount="3">
    <brk id="71" max="16383" man="1"/>
    <brk id="137" max="16383" man="1"/>
    <brk id="197"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WhiteSpace="0" zoomScaleNormal="100" zoomScalePageLayoutView="80" workbookViewId="0"/>
  </sheetViews>
  <sheetFormatPr defaultRowHeight="12.75"/>
  <cols>
    <col min="1" max="1" width="4.7109375" style="62" customWidth="1"/>
    <col min="2" max="2" width="14" customWidth="1"/>
    <col min="3" max="3" width="26.85546875" customWidth="1"/>
    <col min="4" max="4" width="28.5703125" customWidth="1"/>
    <col min="5" max="5" width="16.28515625" bestFit="1" customWidth="1"/>
    <col min="6" max="6" width="20.7109375" style="393" customWidth="1"/>
    <col min="7" max="7" width="9.7109375" customWidth="1"/>
  </cols>
  <sheetData>
    <row r="1" spans="1:7">
      <c r="A1" s="90" t="s">
        <v>1186</v>
      </c>
      <c r="C1" s="90"/>
      <c r="D1" s="90"/>
      <c r="E1" s="90"/>
    </row>
    <row r="2" spans="1:7">
      <c r="A2" s="90"/>
      <c r="C2" s="90"/>
      <c r="D2" s="90"/>
      <c r="E2" s="1039" t="s">
        <v>1986</v>
      </c>
      <c r="F2" s="429">
        <v>2015</v>
      </c>
    </row>
    <row r="3" spans="1:7">
      <c r="B3" s="90" t="s">
        <v>1223</v>
      </c>
      <c r="C3" s="90"/>
      <c r="D3" s="90"/>
      <c r="E3" s="90"/>
    </row>
    <row r="4" spans="1:7" ht="15">
      <c r="A4" s="52" t="s">
        <v>360</v>
      </c>
      <c r="C4" s="90"/>
      <c r="E4" s="3" t="s">
        <v>1056</v>
      </c>
      <c r="F4" s="394" t="s">
        <v>187</v>
      </c>
    </row>
    <row r="5" spans="1:7" ht="15">
      <c r="A5" s="254">
        <v>1</v>
      </c>
      <c r="B5" s="51" t="s">
        <v>1187</v>
      </c>
      <c r="C5" s="51"/>
      <c r="D5" s="395"/>
      <c r="E5" s="838">
        <v>38418086</v>
      </c>
      <c r="F5" s="397" t="s">
        <v>236</v>
      </c>
    </row>
    <row r="6" spans="1:7" ht="15">
      <c r="A6" s="254">
        <v>2</v>
      </c>
      <c r="B6" s="395" t="s">
        <v>1188</v>
      </c>
      <c r="C6" s="395"/>
      <c r="D6" s="395"/>
      <c r="E6" s="444">
        <v>147854877</v>
      </c>
      <c r="F6" s="397" t="s">
        <v>33</v>
      </c>
    </row>
    <row r="7" spans="1:7" ht="15">
      <c r="A7" s="254">
        <v>3</v>
      </c>
      <c r="B7" s="51" t="s">
        <v>1189</v>
      </c>
      <c r="C7" s="51"/>
      <c r="D7" s="51"/>
      <c r="E7" s="60">
        <f>E5+E6</f>
        <v>186272963</v>
      </c>
      <c r="F7" s="13" t="str">
        <f>"Line "&amp;A5&amp;" + Line "&amp;A6&amp;""</f>
        <v>Line 1 + Line 2</v>
      </c>
    </row>
    <row r="8" spans="1:7" ht="15.75">
      <c r="A8" s="398">
        <v>4</v>
      </c>
      <c r="B8" s="1478" t="s">
        <v>1190</v>
      </c>
      <c r="C8" s="1479"/>
      <c r="D8" s="1479"/>
      <c r="E8" s="396">
        <v>186272963</v>
      </c>
      <c r="F8" s="400" t="s">
        <v>1368</v>
      </c>
      <c r="G8" s="383"/>
    </row>
    <row r="9" spans="1:7" ht="15">
      <c r="A9" s="398"/>
      <c r="B9" s="399"/>
      <c r="C9" s="401"/>
      <c r="D9" s="401"/>
      <c r="E9" s="402"/>
      <c r="F9" s="411"/>
      <c r="G9" s="383"/>
    </row>
    <row r="10" spans="1:7" ht="15">
      <c r="A10" s="398"/>
      <c r="B10" s="90" t="s">
        <v>1224</v>
      </c>
      <c r="C10" s="401"/>
      <c r="D10" s="401"/>
      <c r="E10" s="402"/>
      <c r="F10" s="400"/>
      <c r="G10" s="383"/>
    </row>
    <row r="11" spans="1:7" ht="15">
      <c r="A11" s="403"/>
      <c r="B11" s="51"/>
      <c r="C11" s="51"/>
      <c r="D11" s="51"/>
      <c r="E11" s="60"/>
      <c r="F11" s="400"/>
      <c r="G11" s="383"/>
    </row>
    <row r="12" spans="1:7" ht="15">
      <c r="A12" s="403">
        <v>5</v>
      </c>
      <c r="B12" s="51" t="s">
        <v>1187</v>
      </c>
      <c r="C12" s="51"/>
      <c r="D12" s="51"/>
      <c r="E12" s="1173">
        <v>27134526</v>
      </c>
      <c r="F12" s="400" t="s">
        <v>311</v>
      </c>
      <c r="G12" s="383"/>
    </row>
    <row r="13" spans="1:7" ht="15">
      <c r="A13" s="403">
        <v>6</v>
      </c>
      <c r="B13" s="51" t="s">
        <v>1188</v>
      </c>
      <c r="C13" s="51"/>
      <c r="D13" s="51"/>
      <c r="E13" s="1174">
        <v>201105450</v>
      </c>
      <c r="F13" s="397" t="s">
        <v>33</v>
      </c>
      <c r="G13" s="383"/>
    </row>
    <row r="14" spans="1:7" ht="15">
      <c r="A14" s="403">
        <v>7</v>
      </c>
      <c r="B14" s="51" t="s">
        <v>1189</v>
      </c>
      <c r="C14" s="51"/>
      <c r="D14" s="51"/>
      <c r="E14" s="402">
        <f>E12+E13</f>
        <v>228239976</v>
      </c>
      <c r="F14" s="13" t="str">
        <f>"Line "&amp;A12&amp;" + Line "&amp;A13&amp;""</f>
        <v>Line 5 + Line 6</v>
      </c>
      <c r="G14" s="383"/>
    </row>
    <row r="15" spans="1:7" ht="15.75">
      <c r="A15" s="398">
        <v>8</v>
      </c>
      <c r="B15" s="1478" t="s">
        <v>1191</v>
      </c>
      <c r="C15" s="1479"/>
      <c r="D15" s="1479"/>
      <c r="E15" s="396">
        <v>228239976</v>
      </c>
      <c r="F15" s="400" t="s">
        <v>1192</v>
      </c>
      <c r="G15" s="383"/>
    </row>
    <row r="16" spans="1:7" ht="15">
      <c r="A16" s="254"/>
      <c r="B16" s="51"/>
      <c r="C16" s="51"/>
      <c r="D16" s="51"/>
      <c r="E16" s="60"/>
      <c r="F16" s="397"/>
    </row>
    <row r="17" spans="1:7" ht="15">
      <c r="A17" s="254">
        <v>9</v>
      </c>
      <c r="B17" s="51" t="s">
        <v>1193</v>
      </c>
      <c r="C17" s="51"/>
      <c r="D17" s="51"/>
      <c r="E17" s="60">
        <f>(E5+E12)/2</f>
        <v>32776306</v>
      </c>
      <c r="F17" s="16" t="str">
        <f>"(Line "&amp;A5&amp;" + Line "&amp;A12&amp;") / 2"</f>
        <v>(Line 1 + Line 5) / 2</v>
      </c>
      <c r="G17" s="404"/>
    </row>
    <row r="18" spans="1:7" ht="15">
      <c r="A18" s="254"/>
      <c r="B18" s="395"/>
      <c r="C18" s="405"/>
      <c r="D18" s="406"/>
      <c r="E18" s="407"/>
      <c r="F18" s="397"/>
    </row>
    <row r="19" spans="1:7" ht="15">
      <c r="A19" s="254">
        <v>10</v>
      </c>
      <c r="B19" s="395" t="s">
        <v>1194</v>
      </c>
      <c r="C19" s="405"/>
      <c r="D19" s="405"/>
      <c r="E19" s="408">
        <v>1403660</v>
      </c>
      <c r="F19" s="412" t="s">
        <v>1047</v>
      </c>
    </row>
    <row r="20" spans="1:7" ht="15">
      <c r="A20" s="254">
        <v>11</v>
      </c>
      <c r="B20" s="395" t="s">
        <v>1195</v>
      </c>
      <c r="C20" s="405"/>
      <c r="D20" s="405"/>
      <c r="E20" s="444">
        <v>562695844</v>
      </c>
      <c r="F20" s="397" t="s">
        <v>33</v>
      </c>
    </row>
    <row r="21" spans="1:7" ht="15">
      <c r="A21" s="254">
        <v>12</v>
      </c>
      <c r="B21" s="395" t="s">
        <v>1196</v>
      </c>
      <c r="C21" s="405"/>
      <c r="D21" s="405"/>
      <c r="E21" s="409">
        <f>E19+E20</f>
        <v>564099504</v>
      </c>
      <c r="F21" s="13" t="str">
        <f>"Line "&amp;A19&amp;" + Line "&amp;A20&amp;""</f>
        <v>Line 10 + Line 11</v>
      </c>
    </row>
    <row r="22" spans="1:7" ht="15">
      <c r="A22" s="254">
        <v>13</v>
      </c>
      <c r="B22" s="1478" t="s">
        <v>1197</v>
      </c>
      <c r="C22" s="1479"/>
      <c r="D22" s="1479"/>
      <c r="E22" s="839">
        <v>564099504</v>
      </c>
      <c r="F22" s="397" t="s">
        <v>1198</v>
      </c>
    </row>
    <row r="23" spans="1:7">
      <c r="C23" s="61"/>
      <c r="D23" s="61"/>
    </row>
    <row r="24" spans="1:7">
      <c r="C24" s="61"/>
      <c r="D24" s="61"/>
    </row>
    <row r="25" spans="1:7">
      <c r="A25" s="52" t="s">
        <v>256</v>
      </c>
    </row>
    <row r="26" spans="1:7">
      <c r="A26" s="62">
        <v>1</v>
      </c>
      <c r="B26" s="12" t="s">
        <v>1222</v>
      </c>
    </row>
    <row r="27" spans="1:7">
      <c r="A27" s="62">
        <v>2</v>
      </c>
      <c r="B27" s="12" t="s">
        <v>1225</v>
      </c>
    </row>
    <row r="28" spans="1:7">
      <c r="A28" s="62">
        <v>3</v>
      </c>
      <c r="B28" t="s">
        <v>1909</v>
      </c>
    </row>
    <row r="29" spans="1:7">
      <c r="A29" s="62">
        <v>4</v>
      </c>
      <c r="B29" t="s">
        <v>2463</v>
      </c>
      <c r="E29" s="410"/>
    </row>
    <row r="30" spans="1:7">
      <c r="B30" t="s">
        <v>2462</v>
      </c>
      <c r="E30" s="410"/>
    </row>
    <row r="31" spans="1:7">
      <c r="E31" s="410"/>
    </row>
    <row r="32" spans="1:7">
      <c r="A32"/>
      <c r="E32" s="410"/>
    </row>
    <row r="33" spans="1:5">
      <c r="A33"/>
      <c r="E33" s="410"/>
    </row>
    <row r="34" spans="1:5">
      <c r="A34"/>
      <c r="E34" s="410"/>
    </row>
    <row r="35" spans="1:5">
      <c r="A35"/>
      <c r="E35" s="410"/>
    </row>
    <row r="39" spans="1:5">
      <c r="A39"/>
      <c r="C39" s="106"/>
      <c r="D39" s="106"/>
      <c r="E39" s="106"/>
    </row>
    <row r="40" spans="1:5">
      <c r="A40"/>
      <c r="C40" s="106"/>
      <c r="D40" s="106"/>
      <c r="E40" s="106"/>
    </row>
    <row r="41" spans="1:5">
      <c r="A41"/>
      <c r="C41" s="106"/>
      <c r="D41" s="106"/>
      <c r="E41" s="106"/>
    </row>
    <row r="42" spans="1:5">
      <c r="A42"/>
      <c r="C42" s="106"/>
      <c r="D42" s="106"/>
      <c r="E42" s="106"/>
    </row>
    <row r="43" spans="1:5">
      <c r="A43"/>
      <c r="C43" s="106"/>
      <c r="D43" s="106"/>
      <c r="E43" s="106"/>
    </row>
    <row r="44" spans="1:5">
      <c r="A44"/>
      <c r="C44" s="106"/>
      <c r="D44" s="106"/>
      <c r="E44" s="106"/>
    </row>
    <row r="45" spans="1:5">
      <c r="A45"/>
      <c r="C45" s="106"/>
      <c r="D45" s="106"/>
      <c r="E45" s="106"/>
    </row>
    <row r="46" spans="1:5">
      <c r="A46"/>
      <c r="C46" s="106"/>
      <c r="D46" s="106"/>
      <c r="E46" s="106"/>
    </row>
    <row r="47" spans="1:5">
      <c r="A47"/>
      <c r="C47" s="106"/>
      <c r="D47" s="106"/>
      <c r="E47" s="106"/>
    </row>
    <row r="48" spans="1:5">
      <c r="A48"/>
      <c r="C48" s="106"/>
      <c r="D48" s="106"/>
      <c r="E48" s="106"/>
    </row>
    <row r="49" spans="1:5">
      <c r="A49"/>
      <c r="C49" s="106"/>
      <c r="D49" s="106"/>
      <c r="E49" s="106"/>
    </row>
    <row r="50" spans="1:5">
      <c r="A50"/>
      <c r="C50" s="106"/>
      <c r="D50" s="106"/>
      <c r="E50" s="106"/>
    </row>
    <row r="51" spans="1:5">
      <c r="A51"/>
      <c r="C51" s="106"/>
      <c r="D51" s="106"/>
      <c r="E51" s="106"/>
    </row>
    <row r="54" spans="1:5">
      <c r="A54"/>
      <c r="E54" s="106"/>
    </row>
  </sheetData>
  <mergeCells count="3">
    <mergeCell ref="B8:D8"/>
    <mergeCell ref="B15:D15"/>
    <mergeCell ref="B22:D22"/>
  </mergeCells>
  <pageMargins left="0.7" right="0.7" top="0.75" bottom="0.75" header="0.3" footer="0.3"/>
  <pageSetup scale="75" orientation="portrait" cellComments="asDisplayed" r:id="rId1"/>
  <headerFooter>
    <oddHeader xml:space="preserve">&amp;CSchedule 22
Network Upgrade Credits and Interest Expense
&amp;RTO11 Draft Annual Update
Attachment 1
</oddHeader>
    <oddFooter>&amp;R22-NUCs</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zoomScaleNormal="100" workbookViewId="0"/>
  </sheetViews>
  <sheetFormatPr defaultRowHeight="12.75"/>
  <cols>
    <col min="1" max="1" width="4.7109375" customWidth="1"/>
    <col min="2" max="2" width="30.7109375" customWidth="1"/>
    <col min="3" max="5" width="15.7109375" customWidth="1"/>
    <col min="6" max="6" width="3.7109375" customWidth="1"/>
    <col min="7" max="8" width="10.7109375" customWidth="1"/>
  </cols>
  <sheetData>
    <row r="1" spans="1:11">
      <c r="A1" s="795" t="s">
        <v>1965</v>
      </c>
      <c r="B1" s="796"/>
      <c r="C1" s="796"/>
      <c r="D1" s="796"/>
      <c r="E1" s="796"/>
      <c r="F1" s="796"/>
      <c r="G1" s="796"/>
      <c r="H1" s="14"/>
      <c r="I1" s="14"/>
      <c r="J1" s="14"/>
      <c r="K1" s="14"/>
    </row>
    <row r="2" spans="1:11">
      <c r="A2" s="14"/>
      <c r="B2" s="14"/>
      <c r="C2" s="14"/>
      <c r="D2" s="14"/>
      <c r="E2" s="14"/>
      <c r="F2" s="14"/>
      <c r="G2" s="14"/>
      <c r="H2" s="14"/>
      <c r="I2" s="14"/>
      <c r="J2" s="14"/>
      <c r="K2" s="14"/>
    </row>
    <row r="3" spans="1:11">
      <c r="A3" s="797" t="s">
        <v>360</v>
      </c>
      <c r="B3" s="796"/>
      <c r="C3" s="796"/>
      <c r="D3" s="796"/>
      <c r="E3" s="796"/>
      <c r="F3" s="796"/>
      <c r="G3" s="796"/>
      <c r="H3" s="14"/>
      <c r="I3" s="14"/>
      <c r="J3" s="14"/>
      <c r="K3" s="14"/>
    </row>
    <row r="4" spans="1:11">
      <c r="A4" s="798">
        <v>1</v>
      </c>
      <c r="B4" s="661" t="s">
        <v>1954</v>
      </c>
      <c r="C4" s="796"/>
      <c r="D4" s="796"/>
      <c r="E4" s="796"/>
      <c r="F4" s="796"/>
      <c r="G4" s="796"/>
      <c r="H4" s="14"/>
      <c r="I4" s="14"/>
      <c r="J4" s="14"/>
      <c r="K4" s="14"/>
    </row>
    <row r="5" spans="1:11">
      <c r="A5" s="798">
        <v>2</v>
      </c>
      <c r="B5" s="661" t="s">
        <v>1955</v>
      </c>
      <c r="C5" s="796"/>
      <c r="D5" s="796"/>
      <c r="E5" s="796"/>
      <c r="F5" s="796"/>
      <c r="G5" s="796"/>
      <c r="H5" s="14"/>
      <c r="I5" s="14"/>
      <c r="J5" s="14"/>
      <c r="K5" s="14"/>
    </row>
    <row r="6" spans="1:11">
      <c r="A6" s="798">
        <v>3</v>
      </c>
      <c r="B6" s="661" t="s">
        <v>1956</v>
      </c>
      <c r="C6" s="796"/>
      <c r="D6" s="796"/>
      <c r="E6" s="796"/>
      <c r="F6" s="796"/>
      <c r="G6" s="796"/>
      <c r="H6" s="14"/>
      <c r="I6" s="14"/>
      <c r="J6" s="14"/>
      <c r="K6" s="14"/>
    </row>
    <row r="7" spans="1:11">
      <c r="A7" s="798">
        <v>4</v>
      </c>
      <c r="B7" s="796"/>
      <c r="C7" s="796"/>
      <c r="D7" s="796"/>
      <c r="E7" s="796"/>
      <c r="F7" s="796"/>
      <c r="G7" s="796"/>
      <c r="H7" s="14"/>
      <c r="I7" s="14"/>
      <c r="J7" s="14"/>
      <c r="K7" s="14"/>
    </row>
    <row r="8" spans="1:11">
      <c r="A8" s="798">
        <v>5</v>
      </c>
      <c r="B8" s="661" t="s">
        <v>456</v>
      </c>
      <c r="C8" s="796"/>
      <c r="D8" s="796"/>
      <c r="E8" s="796"/>
      <c r="F8" s="796"/>
      <c r="G8" s="796"/>
      <c r="H8" s="14"/>
      <c r="I8" s="14"/>
      <c r="J8" s="14"/>
      <c r="K8" s="14"/>
    </row>
    <row r="9" spans="1:11">
      <c r="A9" s="798">
        <v>6</v>
      </c>
      <c r="B9" s="661" t="s">
        <v>455</v>
      </c>
      <c r="C9" s="796"/>
      <c r="D9" s="796"/>
      <c r="E9" s="796"/>
      <c r="F9" s="796"/>
      <c r="G9" s="796"/>
      <c r="H9" s="14"/>
      <c r="I9" s="14"/>
      <c r="J9" s="14"/>
      <c r="K9" s="14"/>
    </row>
    <row r="10" spans="1:11">
      <c r="A10" s="798">
        <v>7</v>
      </c>
      <c r="B10" s="796"/>
      <c r="C10" s="796"/>
      <c r="D10" s="796"/>
      <c r="E10" s="796"/>
      <c r="F10" s="796"/>
      <c r="G10" s="796"/>
      <c r="H10" s="14"/>
      <c r="I10" s="14"/>
      <c r="J10" s="14"/>
      <c r="K10" s="14"/>
    </row>
    <row r="11" spans="1:11">
      <c r="A11" s="798">
        <v>8</v>
      </c>
      <c r="B11" s="661" t="s">
        <v>1957</v>
      </c>
      <c r="C11" s="796"/>
      <c r="D11" s="796"/>
      <c r="E11" s="796"/>
      <c r="F11" s="796"/>
      <c r="G11" s="796"/>
      <c r="H11" s="14"/>
      <c r="I11" s="14"/>
      <c r="J11" s="14"/>
      <c r="K11" s="14"/>
    </row>
    <row r="12" spans="1:11">
      <c r="A12" s="798">
        <v>9</v>
      </c>
      <c r="B12" s="661" t="s">
        <v>1958</v>
      </c>
      <c r="C12" s="796"/>
      <c r="D12" s="796"/>
      <c r="E12" s="796"/>
      <c r="F12" s="796"/>
      <c r="G12" s="796"/>
      <c r="H12" s="14"/>
      <c r="I12" s="14"/>
      <c r="J12" s="14"/>
      <c r="K12" s="14"/>
    </row>
    <row r="13" spans="1:11">
      <c r="A13" s="798">
        <v>10</v>
      </c>
      <c r="B13" s="661" t="s">
        <v>1959</v>
      </c>
      <c r="C13" s="796"/>
      <c r="D13" s="796"/>
      <c r="E13" s="796"/>
      <c r="F13" s="796"/>
      <c r="G13" s="796"/>
      <c r="H13" s="14"/>
      <c r="I13" s="14"/>
      <c r="J13" s="14"/>
      <c r="K13" s="14"/>
    </row>
    <row r="14" spans="1:11">
      <c r="A14" s="798">
        <v>11</v>
      </c>
      <c r="B14" s="796"/>
      <c r="C14" s="796"/>
      <c r="D14" s="796"/>
      <c r="E14" s="796"/>
      <c r="F14" s="796"/>
      <c r="G14" s="796"/>
      <c r="H14" s="14"/>
      <c r="I14" s="14"/>
      <c r="J14" s="14"/>
      <c r="K14" s="14"/>
    </row>
    <row r="15" spans="1:11">
      <c r="A15" s="798">
        <v>12</v>
      </c>
      <c r="B15" s="661"/>
      <c r="C15" s="796"/>
      <c r="D15" s="796"/>
      <c r="E15" s="798" t="s">
        <v>73</v>
      </c>
      <c r="F15" s="796"/>
      <c r="G15" s="796"/>
      <c r="H15" s="14"/>
      <c r="I15" s="14"/>
      <c r="J15" s="14"/>
      <c r="K15" s="14"/>
    </row>
    <row r="16" spans="1:11">
      <c r="A16" s="798">
        <v>13</v>
      </c>
      <c r="B16" s="796"/>
      <c r="C16" s="796"/>
      <c r="D16" s="796"/>
      <c r="E16" s="1092" t="s">
        <v>194</v>
      </c>
      <c r="F16" s="796"/>
      <c r="G16" s="1093" t="s">
        <v>2264</v>
      </c>
      <c r="H16" s="14"/>
      <c r="I16" s="14"/>
      <c r="J16" s="14"/>
      <c r="K16" s="14"/>
    </row>
    <row r="17" spans="1:11">
      <c r="A17" s="798">
        <v>14</v>
      </c>
      <c r="B17" s="661" t="s">
        <v>457</v>
      </c>
      <c r="C17" s="796"/>
      <c r="D17" s="796"/>
      <c r="E17" s="656">
        <f>D29</f>
        <v>0</v>
      </c>
      <c r="F17" s="796"/>
      <c r="G17" s="661" t="s">
        <v>557</v>
      </c>
      <c r="H17" s="14"/>
      <c r="I17" s="14"/>
      <c r="J17" s="14"/>
      <c r="K17" s="14"/>
    </row>
    <row r="18" spans="1:11">
      <c r="A18" s="798">
        <v>15</v>
      </c>
      <c r="B18" s="661" t="s">
        <v>1853</v>
      </c>
      <c r="C18" s="796"/>
      <c r="D18" s="796"/>
      <c r="E18" s="656">
        <f>(C29+D29)/2</f>
        <v>0</v>
      </c>
      <c r="F18" s="796"/>
      <c r="G18" s="661" t="s">
        <v>2265</v>
      </c>
      <c r="H18" s="14"/>
      <c r="I18" s="14"/>
      <c r="J18" s="14"/>
      <c r="K18" s="14"/>
    </row>
    <row r="19" spans="1:11">
      <c r="A19" s="798">
        <v>16</v>
      </c>
      <c r="B19" s="661" t="s">
        <v>1960</v>
      </c>
      <c r="C19" s="796"/>
      <c r="D19" s="796"/>
      <c r="E19" s="656">
        <f>E29</f>
        <v>0</v>
      </c>
      <c r="F19" s="796"/>
      <c r="G19" s="661" t="s">
        <v>2266</v>
      </c>
      <c r="H19" s="14"/>
      <c r="I19" s="14"/>
      <c r="J19" s="14"/>
      <c r="K19" s="14"/>
    </row>
    <row r="20" spans="1:11">
      <c r="A20" s="798"/>
      <c r="B20" s="661"/>
      <c r="C20" s="796"/>
      <c r="D20" s="796"/>
      <c r="E20" s="656"/>
      <c r="F20" s="796"/>
      <c r="G20" s="796"/>
      <c r="H20" s="14"/>
      <c r="I20" s="14"/>
      <c r="J20" s="14"/>
      <c r="K20" s="14"/>
    </row>
    <row r="21" spans="1:11">
      <c r="A21" s="798"/>
      <c r="B21" s="796"/>
      <c r="C21" s="803" t="s">
        <v>394</v>
      </c>
      <c r="D21" s="803" t="s">
        <v>378</v>
      </c>
      <c r="E21" s="803" t="s">
        <v>379</v>
      </c>
      <c r="F21" s="796"/>
      <c r="G21" s="796"/>
      <c r="H21" s="14"/>
      <c r="I21" s="14"/>
      <c r="J21" s="14"/>
      <c r="K21" s="14"/>
    </row>
    <row r="22" spans="1:11">
      <c r="A22" s="798"/>
      <c r="B22" s="796"/>
      <c r="C22" s="798" t="s">
        <v>73</v>
      </c>
      <c r="D22" s="798" t="s">
        <v>73</v>
      </c>
      <c r="E22" s="798" t="s">
        <v>73</v>
      </c>
      <c r="F22" s="796"/>
      <c r="G22" s="796"/>
      <c r="H22" s="14"/>
      <c r="I22" s="14"/>
      <c r="J22" s="14"/>
      <c r="K22" s="14"/>
    </row>
    <row r="23" spans="1:11" ht="15">
      <c r="A23" s="798"/>
      <c r="B23" s="798" t="s">
        <v>458</v>
      </c>
      <c r="C23" s="798" t="s">
        <v>423</v>
      </c>
      <c r="D23" s="798" t="s">
        <v>330</v>
      </c>
      <c r="E23" s="1094" t="s">
        <v>1961</v>
      </c>
      <c r="F23" s="796"/>
      <c r="G23" s="1095" t="s">
        <v>2267</v>
      </c>
      <c r="H23" s="1032"/>
      <c r="I23" s="14"/>
      <c r="J23" s="14"/>
      <c r="K23" s="14"/>
    </row>
    <row r="24" spans="1:11">
      <c r="A24" s="798"/>
      <c r="B24" s="798" t="s">
        <v>459</v>
      </c>
      <c r="C24" s="798" t="s">
        <v>464</v>
      </c>
      <c r="D24" s="798" t="s">
        <v>464</v>
      </c>
      <c r="E24" s="798" t="s">
        <v>465</v>
      </c>
      <c r="F24" s="796"/>
      <c r="G24" s="1095" t="s">
        <v>2268</v>
      </c>
      <c r="H24" s="1032"/>
      <c r="I24" s="14"/>
      <c r="J24" s="14"/>
      <c r="K24" s="14"/>
    </row>
    <row r="25" spans="1:11">
      <c r="A25" s="798"/>
      <c r="B25" s="1092" t="s">
        <v>460</v>
      </c>
      <c r="C25" s="1092" t="s">
        <v>460</v>
      </c>
      <c r="D25" s="1092" t="s">
        <v>460</v>
      </c>
      <c r="E25" s="1092" t="s">
        <v>1962</v>
      </c>
      <c r="F25" s="796"/>
      <c r="G25" s="1096" t="s">
        <v>2269</v>
      </c>
      <c r="H25" s="1032"/>
      <c r="I25" s="14"/>
      <c r="J25" s="14"/>
      <c r="K25" s="14"/>
    </row>
    <row r="26" spans="1:11">
      <c r="A26" s="652">
        <v>17</v>
      </c>
      <c r="B26" s="657" t="s">
        <v>461</v>
      </c>
      <c r="C26" s="658"/>
      <c r="D26" s="658"/>
      <c r="E26" s="658"/>
      <c r="F26" s="650"/>
      <c r="G26" s="679"/>
      <c r="H26" s="102"/>
    </row>
    <row r="27" spans="1:11">
      <c r="A27" s="652">
        <v>18</v>
      </c>
      <c r="B27" s="657" t="s">
        <v>462</v>
      </c>
      <c r="C27" s="658"/>
      <c r="D27" s="658"/>
      <c r="E27" s="658"/>
      <c r="F27" s="650"/>
      <c r="G27" s="679"/>
      <c r="H27" s="102"/>
    </row>
    <row r="28" spans="1:11">
      <c r="A28" s="652">
        <v>19</v>
      </c>
      <c r="B28" s="657" t="s">
        <v>463</v>
      </c>
      <c r="C28" s="659"/>
      <c r="D28" s="659"/>
      <c r="E28" s="659"/>
      <c r="F28" s="650"/>
      <c r="G28" s="679"/>
      <c r="H28" s="102"/>
    </row>
    <row r="29" spans="1:11">
      <c r="A29" s="652">
        <v>20</v>
      </c>
      <c r="B29" s="653" t="s">
        <v>216</v>
      </c>
      <c r="C29" s="660">
        <f>SUM(C26:C28)</f>
        <v>0</v>
      </c>
      <c r="D29" s="660">
        <f>SUM(D26:D28)</f>
        <v>0</v>
      </c>
      <c r="E29" s="660">
        <f>SUM(E26:E28)</f>
        <v>0</v>
      </c>
      <c r="F29" s="650"/>
      <c r="G29" s="653" t="s">
        <v>356</v>
      </c>
    </row>
    <row r="30" spans="1:11">
      <c r="A30" s="652"/>
      <c r="B30" s="650"/>
      <c r="C30" s="650"/>
      <c r="D30" s="650"/>
      <c r="E30" s="650"/>
      <c r="F30" s="650"/>
      <c r="G30" s="650"/>
    </row>
    <row r="31" spans="1:11">
      <c r="A31" s="652"/>
      <c r="B31" s="649" t="s">
        <v>420</v>
      </c>
      <c r="C31" s="650"/>
      <c r="D31" s="650"/>
      <c r="E31" s="650"/>
      <c r="F31" s="650"/>
      <c r="G31" s="650"/>
    </row>
    <row r="32" spans="1:11">
      <c r="A32" s="652"/>
      <c r="B32" s="661" t="s">
        <v>1963</v>
      </c>
      <c r="C32" s="796"/>
      <c r="D32" s="796"/>
      <c r="E32" s="796"/>
      <c r="F32" s="796"/>
      <c r="G32" s="796"/>
      <c r="H32" s="14"/>
    </row>
    <row r="33" spans="1:8">
      <c r="A33" s="652"/>
      <c r="B33" s="661" t="s">
        <v>466</v>
      </c>
      <c r="C33" s="14"/>
      <c r="D33" s="14"/>
      <c r="E33" s="14"/>
      <c r="F33" s="14"/>
      <c r="G33" s="14"/>
      <c r="H33" s="14"/>
    </row>
    <row r="34" spans="1:8">
      <c r="A34" s="652"/>
      <c r="B34" s="1097" t="s">
        <v>558</v>
      </c>
      <c r="C34" s="14"/>
      <c r="D34" s="14"/>
      <c r="E34" s="14"/>
      <c r="F34" s="14"/>
      <c r="G34" s="14"/>
      <c r="H34" s="14"/>
    </row>
    <row r="35" spans="1:8">
      <c r="A35" s="652"/>
      <c r="B35" s="1097" t="s">
        <v>559</v>
      </c>
      <c r="C35" s="14"/>
      <c r="D35" s="14"/>
      <c r="E35" s="1032"/>
      <c r="F35" s="14"/>
      <c r="G35" s="14"/>
      <c r="H35" s="14"/>
    </row>
    <row r="36" spans="1:8">
      <c r="A36" s="652"/>
      <c r="B36" s="661" t="s">
        <v>467</v>
      </c>
      <c r="C36" s="14"/>
      <c r="D36" s="14"/>
      <c r="E36" s="14"/>
      <c r="F36" s="14"/>
      <c r="G36" s="14"/>
      <c r="H36" s="14"/>
    </row>
    <row r="37" spans="1:8">
      <c r="A37" s="652"/>
    </row>
    <row r="38" spans="1:8">
      <c r="A38" s="652"/>
      <c r="B38" s="650"/>
    </row>
    <row r="39" spans="1:8">
      <c r="A39" s="652"/>
      <c r="B39" s="650"/>
    </row>
  </sheetData>
  <pageMargins left="0.7" right="0.7" top="0.75" bottom="0.75" header="0.3" footer="0.3"/>
  <pageSetup orientation="landscape" cellComments="asDisplayed" r:id="rId1"/>
  <headerFooter>
    <oddHeader>&amp;CSchedule 23
Regulatory Assets and Liabilities
&amp;RTO11 Draft Annual Update
Attachment 1</oddHeader>
    <oddFooter>&amp;R23-RegAssets</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5"/>
  <sheetViews>
    <sheetView zoomScaleNormal="100" workbookViewId="0"/>
  </sheetViews>
  <sheetFormatPr defaultRowHeight="12.75"/>
  <cols>
    <col min="1" max="2" width="4.7109375" customWidth="1"/>
    <col min="3" max="3" width="28.7109375" customWidth="1"/>
    <col min="4" max="8" width="14.7109375" customWidth="1"/>
  </cols>
  <sheetData>
    <row r="1" spans="1:9" ht="15">
      <c r="A1" s="1" t="s">
        <v>1383</v>
      </c>
      <c r="I1" s="381"/>
    </row>
    <row r="3" spans="1:9">
      <c r="B3" s="1" t="s">
        <v>1701</v>
      </c>
    </row>
    <row r="4" spans="1:9">
      <c r="B4" s="1"/>
    </row>
    <row r="5" spans="1:9">
      <c r="B5" s="1"/>
      <c r="C5" s="1" t="s">
        <v>1577</v>
      </c>
      <c r="D5" s="91" t="s">
        <v>394</v>
      </c>
      <c r="E5" s="91" t="s">
        <v>378</v>
      </c>
      <c r="F5" s="91" t="s">
        <v>379</v>
      </c>
    </row>
    <row r="6" spans="1:9" ht="15">
      <c r="D6" s="254" t="s">
        <v>73</v>
      </c>
      <c r="E6" s="254" t="s">
        <v>73</v>
      </c>
      <c r="F6" s="254" t="s">
        <v>217</v>
      </c>
    </row>
    <row r="7" spans="1:9" ht="15">
      <c r="C7" s="1"/>
      <c r="D7" s="254" t="s">
        <v>330</v>
      </c>
      <c r="E7" s="254" t="s">
        <v>255</v>
      </c>
      <c r="F7" s="254" t="s">
        <v>218</v>
      </c>
    </row>
    <row r="8" spans="1:9">
      <c r="A8" s="3" t="s">
        <v>360</v>
      </c>
      <c r="C8" s="3" t="s">
        <v>250</v>
      </c>
      <c r="D8" s="3" t="s">
        <v>194</v>
      </c>
      <c r="E8" s="3" t="s">
        <v>194</v>
      </c>
      <c r="F8" s="3" t="s">
        <v>194</v>
      </c>
      <c r="G8" s="3" t="s">
        <v>198</v>
      </c>
    </row>
    <row r="9" spans="1:9">
      <c r="A9" s="2">
        <v>1</v>
      </c>
      <c r="C9" s="99" t="s">
        <v>1396</v>
      </c>
      <c r="D9" s="7">
        <f>'10-CWIP'!E25</f>
        <v>225689500.47</v>
      </c>
      <c r="E9" s="7">
        <f>'10-CWIP'!E26</f>
        <v>288028357.17769235</v>
      </c>
      <c r="F9" s="7">
        <f>'10-CWIP'!K113</f>
        <v>-225689500.46999964</v>
      </c>
      <c r="G9" s="46" t="str">
        <f>"10-CWIP, Lines "&amp;'10-CWIP'!A25&amp;", "&amp;'10-CWIP'!A26&amp;", "&amp;'10-CWIP'!A113&amp;""</f>
        <v>10-CWIP, Lines 13, 14, 80</v>
      </c>
    </row>
    <row r="10" spans="1:9">
      <c r="A10" s="2">
        <f>A9+1</f>
        <v>2</v>
      </c>
      <c r="C10" s="99" t="s">
        <v>1397</v>
      </c>
      <c r="D10" s="7">
        <f>'10-CWIP'!F25</f>
        <v>0</v>
      </c>
      <c r="E10" s="7">
        <f>'10-CWIP'!F26</f>
        <v>73070.496153846165</v>
      </c>
      <c r="F10" s="7">
        <f>'10-CWIP'!K146</f>
        <v>0</v>
      </c>
      <c r="G10" s="46" t="str">
        <f>"10-CWIP, Lines "&amp;'10-CWIP'!A25&amp;", "&amp;'10-CWIP'!A26&amp;", "&amp;'10-CWIP'!A146&amp;""</f>
        <v>10-CWIP, Lines 13, 14, 106</v>
      </c>
    </row>
    <row r="11" spans="1:9">
      <c r="A11" s="2">
        <f t="shared" ref="A11:A20" si="0">A10+1</f>
        <v>3</v>
      </c>
      <c r="C11" s="99" t="s">
        <v>1398</v>
      </c>
      <c r="D11" s="7">
        <f>'10-CWIP'!G25</f>
        <v>0</v>
      </c>
      <c r="E11" s="7">
        <f>'10-CWIP'!G26</f>
        <v>0</v>
      </c>
      <c r="F11" s="7">
        <f>'10-CWIP'!K177</f>
        <v>0</v>
      </c>
      <c r="G11" s="46" t="str">
        <f>"10-CWIP, Lines "&amp;'10-CWIP'!A25&amp;", "&amp;'10-CWIP'!A26&amp;", "&amp;'10-CWIP'!A177&amp;""</f>
        <v>10-CWIP, Lines 13, 14, 132</v>
      </c>
    </row>
    <row r="12" spans="1:9">
      <c r="A12" s="2">
        <f t="shared" si="0"/>
        <v>4</v>
      </c>
      <c r="C12" s="99" t="s">
        <v>1399</v>
      </c>
      <c r="D12" s="7">
        <f>'10-CWIP'!H25</f>
        <v>0</v>
      </c>
      <c r="E12" s="7">
        <f>'10-CWIP'!H26</f>
        <v>0</v>
      </c>
      <c r="F12" s="7">
        <f>'10-CWIP'!K210</f>
        <v>0</v>
      </c>
      <c r="G12" s="46" t="str">
        <f>"10-CWIP, Lines "&amp;'10-CWIP'!A25&amp;", "&amp;'10-CWIP'!A26&amp;", "&amp;'10-CWIP'!A210&amp;""</f>
        <v>10-CWIP, Lines 13, 14, 158</v>
      </c>
    </row>
    <row r="13" spans="1:9">
      <c r="A13" s="2">
        <f t="shared" si="0"/>
        <v>5</v>
      </c>
      <c r="C13" s="99" t="s">
        <v>1400</v>
      </c>
      <c r="D13" s="7">
        <f>'10-CWIP'!I25</f>
        <v>9220094.2599999998</v>
      </c>
      <c r="E13" s="7">
        <f>'10-CWIP'!I26</f>
        <v>6908502.0492307711</v>
      </c>
      <c r="F13" s="7">
        <f>'10-CWIP'!K241</f>
        <v>-9220094.2599999942</v>
      </c>
      <c r="G13" s="46" t="str">
        <f>"10-CWIP, Lines "&amp;'10-CWIP'!A25&amp;", "&amp;'10-CWIP'!A26&amp;", "&amp;'10-CWIP'!A241&amp;""</f>
        <v>10-CWIP, Lines 13, 14, 184</v>
      </c>
    </row>
    <row r="14" spans="1:9">
      <c r="A14" s="2">
        <f t="shared" si="0"/>
        <v>6</v>
      </c>
      <c r="C14" s="99" t="s">
        <v>1401</v>
      </c>
      <c r="D14" s="7">
        <f>'10-CWIP'!D45</f>
        <v>6769086.5099999998</v>
      </c>
      <c r="E14" s="7">
        <f>'10-CWIP'!D46</f>
        <v>2561180.597692308</v>
      </c>
      <c r="F14" s="7">
        <f>'10-CWIP'!K274</f>
        <v>-1093025.8662307733</v>
      </c>
      <c r="G14" s="46" t="str">
        <f>"10-CWIP, Lines "&amp;'10-CWIP'!A45&amp;", "&amp;'10-CWIP'!A46&amp;", "&amp;'10-CWIP'!A274&amp;""</f>
        <v>10-CWIP, Lines 27, 28, 210</v>
      </c>
    </row>
    <row r="15" spans="1:9">
      <c r="A15" s="2">
        <f t="shared" si="0"/>
        <v>7</v>
      </c>
      <c r="C15" s="99" t="s">
        <v>1402</v>
      </c>
      <c r="D15" s="7">
        <f>'10-CWIP'!E45</f>
        <v>0</v>
      </c>
      <c r="E15" s="7">
        <f>'10-CWIP'!E46</f>
        <v>443475.07</v>
      </c>
      <c r="F15" s="7">
        <f>'10-CWIP'!K305</f>
        <v>0</v>
      </c>
      <c r="G15" s="46" t="str">
        <f>"10-CWIP, Lines "&amp;'10-CWIP'!A45&amp;", "&amp;'10-CWIP'!A46&amp;", "&amp;'10-CWIP'!A305&amp;""</f>
        <v>10-CWIP, Lines 27, 28, 236</v>
      </c>
    </row>
    <row r="16" spans="1:9">
      <c r="A16" s="2">
        <f t="shared" si="0"/>
        <v>8</v>
      </c>
      <c r="C16" s="99" t="s">
        <v>1403</v>
      </c>
      <c r="D16" s="7">
        <f>'10-CWIP'!F45</f>
        <v>2844116.01</v>
      </c>
      <c r="E16" s="7">
        <f>'10-CWIP'!F46</f>
        <v>35833148.962307684</v>
      </c>
      <c r="F16" s="7">
        <f>'10-CWIP'!K338</f>
        <v>4311313.120833341</v>
      </c>
      <c r="G16" s="46" t="str">
        <f>"10-CWIP, Lines "&amp;'10-CWIP'!A45&amp;", "&amp;'10-CWIP'!A46&amp;", "&amp;'10-CWIP'!A338&amp;""</f>
        <v>10-CWIP, Lines 27, 28, 262</v>
      </c>
    </row>
    <row r="17" spans="1:7">
      <c r="A17" s="2">
        <f t="shared" si="0"/>
        <v>9</v>
      </c>
      <c r="C17" s="99" t="s">
        <v>1404</v>
      </c>
      <c r="D17" s="7">
        <f>'10-CWIP'!G45</f>
        <v>52084175.729999997</v>
      </c>
      <c r="E17" s="7">
        <f>'10-CWIP'!G46</f>
        <v>44730230.869230777</v>
      </c>
      <c r="F17" s="7">
        <f>'10-CWIP'!K369</f>
        <v>127839195.10931954</v>
      </c>
      <c r="G17" s="46" t="str">
        <f>"10-CWIP, Lines "&amp;'10-CWIP'!A45&amp;", "&amp;'10-CWIP'!A46&amp;", "&amp;'10-CWIP'!A369&amp;""</f>
        <v>10-CWIP, Lines 27, 28, 288</v>
      </c>
    </row>
    <row r="18" spans="1:7">
      <c r="A18" s="2">
        <f t="shared" si="0"/>
        <v>10</v>
      </c>
      <c r="C18" s="445"/>
      <c r="D18" s="446">
        <f>'10-CWIP'!H44</f>
        <v>0</v>
      </c>
      <c r="E18" s="446" t="str">
        <f>'10-CWIP'!H46</f>
        <v>---</v>
      </c>
      <c r="F18" s="427">
        <f>'10-CWIP'!K402</f>
        <v>0</v>
      </c>
      <c r="G18" s="46" t="str">
        <f>"10-CWIP, Lines "&amp;'10-CWIP'!A45&amp;", "&amp;'10-CWIP'!A46&amp;", "&amp;'10-CWIP'!A402&amp;""</f>
        <v>10-CWIP, Lines 27, 28, 314</v>
      </c>
    </row>
    <row r="19" spans="1:7">
      <c r="A19" s="2">
        <f t="shared" si="0"/>
        <v>11</v>
      </c>
      <c r="C19" s="445"/>
      <c r="D19" s="446">
        <f>'10-CWIP'!I44</f>
        <v>0</v>
      </c>
      <c r="E19" s="446" t="str">
        <f>'10-CWIP'!I46</f>
        <v>---</v>
      </c>
      <c r="F19" s="59">
        <f>'10-CWIP'!K402</f>
        <v>0</v>
      </c>
      <c r="G19" s="46" t="str">
        <f>"10-CWIP, Lines "&amp;'10-CWIP'!A45&amp;", "&amp;'10-CWIP'!A46&amp;", 304"</f>
        <v>10-CWIP, Lines 27, 28, 304</v>
      </c>
    </row>
    <row r="20" spans="1:7">
      <c r="A20" s="2">
        <f t="shared" si="0"/>
        <v>12</v>
      </c>
      <c r="C20" s="99" t="s">
        <v>216</v>
      </c>
      <c r="D20" s="7">
        <f>SUM(D9:D19)</f>
        <v>296606972.97999996</v>
      </c>
      <c r="E20" s="7">
        <f>SUM(E9:E19)</f>
        <v>378577965.22230768</v>
      </c>
      <c r="F20" s="7">
        <f>SUM(F9:F19)</f>
        <v>-103852112.36607754</v>
      </c>
      <c r="G20" s="13" t="str">
        <f>"Sum of Lines "&amp;A9&amp;" to "&amp;A19&amp;""</f>
        <v>Sum of Lines 1 to 11</v>
      </c>
    </row>
    <row r="21" spans="1:7">
      <c r="A21" s="2"/>
      <c r="C21" s="1"/>
    </row>
    <row r="22" spans="1:7" ht="15">
      <c r="A22" s="2"/>
      <c r="C22" s="1" t="s">
        <v>1395</v>
      </c>
      <c r="D22" s="254" t="s">
        <v>330</v>
      </c>
      <c r="E22" s="254" t="s">
        <v>255</v>
      </c>
      <c r="F22" s="13"/>
    </row>
    <row r="23" spans="1:7">
      <c r="D23" s="3" t="s">
        <v>194</v>
      </c>
      <c r="E23" s="3" t="s">
        <v>194</v>
      </c>
      <c r="F23" s="3" t="s">
        <v>198</v>
      </c>
    </row>
    <row r="24" spans="1:7">
      <c r="A24" s="2">
        <f>A20+1</f>
        <v>13</v>
      </c>
      <c r="C24" s="99" t="s">
        <v>1578</v>
      </c>
      <c r="D24" s="7">
        <f>D20</f>
        <v>296606972.97999996</v>
      </c>
      <c r="E24" s="7">
        <f>E20</f>
        <v>378577965.22230768</v>
      </c>
      <c r="F24" s="16" t="str">
        <f>"Line "&amp;A20&amp;""</f>
        <v>Line 12</v>
      </c>
    </row>
    <row r="25" spans="1:7">
      <c r="A25" s="2">
        <f>A24+1</f>
        <v>14</v>
      </c>
      <c r="C25" s="99" t="s">
        <v>1384</v>
      </c>
      <c r="D25" s="8">
        <f>'1-BaseTRR'!K91</f>
        <v>7.21576504115925E-2</v>
      </c>
      <c r="E25" s="8">
        <f>'1-BaseTRR'!K91</f>
        <v>7.21576504115925E-2</v>
      </c>
      <c r="F25" s="120" t="str">
        <f>"1-BaseTRR, Line "&amp;'1-BaseTRR'!A91&amp;""</f>
        <v>1-BaseTRR, Line 53</v>
      </c>
    </row>
    <row r="26" spans="1:7">
      <c r="A26" s="2">
        <f>A25+1</f>
        <v>15</v>
      </c>
      <c r="C26" s="36" t="s">
        <v>1579</v>
      </c>
      <c r="D26" s="7">
        <f>D24*D25</f>
        <v>21402462.265931498</v>
      </c>
      <c r="E26" s="7">
        <f>E24*E25</f>
        <v>27317296.468043301</v>
      </c>
      <c r="F26" s="120" t="str">
        <f>"Line "&amp;A24&amp;" * Line "&amp;A25&amp;""</f>
        <v>Line 13 * Line 14</v>
      </c>
    </row>
    <row r="27" spans="1:7">
      <c r="F27" s="14"/>
    </row>
    <row r="28" spans="1:7">
      <c r="C28" s="1" t="s">
        <v>96</v>
      </c>
      <c r="F28" s="14"/>
    </row>
    <row r="29" spans="1:7" ht="15">
      <c r="D29" s="254" t="s">
        <v>330</v>
      </c>
      <c r="E29" s="254" t="s">
        <v>255</v>
      </c>
      <c r="F29" s="14"/>
    </row>
    <row r="30" spans="1:7">
      <c r="D30" s="3" t="s">
        <v>194</v>
      </c>
      <c r="E30" s="3" t="s">
        <v>194</v>
      </c>
      <c r="F30" s="131" t="s">
        <v>198</v>
      </c>
    </row>
    <row r="31" spans="1:7" ht="15">
      <c r="A31" s="254">
        <f>A26+1</f>
        <v>16</v>
      </c>
      <c r="C31" s="99" t="s">
        <v>1578</v>
      </c>
      <c r="D31" s="7">
        <f>D20</f>
        <v>296606972.97999996</v>
      </c>
      <c r="E31" s="7">
        <f>E20</f>
        <v>378577965.22230768</v>
      </c>
      <c r="F31" s="120" t="str">
        <f>"Line "&amp;A20&amp;""</f>
        <v>Line 12</v>
      </c>
    </row>
    <row r="32" spans="1:7">
      <c r="A32" s="2">
        <f t="shared" ref="A32:A38" si="1">A31+1</f>
        <v>17</v>
      </c>
      <c r="C32" s="374" t="s">
        <v>1580</v>
      </c>
      <c r="D32" s="8">
        <f>'1-BaseTRR'!K93</f>
        <v>5.1588576161144532E-2</v>
      </c>
      <c r="E32" s="8">
        <f>'1-BaseTRR'!K93</f>
        <v>5.1588576161144532E-2</v>
      </c>
      <c r="F32" s="120" t="str">
        <f>"1-BaseTRR, Line "&amp;'1-BaseTRR'!A93&amp;""</f>
        <v>1-BaseTRR, Line 54</v>
      </c>
    </row>
    <row r="33" spans="1:7">
      <c r="A33" s="2">
        <f t="shared" si="1"/>
        <v>18</v>
      </c>
      <c r="C33" s="374" t="s">
        <v>1143</v>
      </c>
      <c r="D33" s="8">
        <f>'1-BaseTRR'!K102</f>
        <v>0.40754725118781476</v>
      </c>
      <c r="E33" s="8">
        <f>'1-BaseTRR'!K102</f>
        <v>0.40754725118781476</v>
      </c>
      <c r="F33" s="120" t="str">
        <f>"1-BaseTRR, Line "&amp;'1-BaseTRR'!A102&amp;""</f>
        <v>1-BaseTRR, Line 58</v>
      </c>
    </row>
    <row r="34" spans="1:7">
      <c r="A34" s="2">
        <f t="shared" si="1"/>
        <v>19</v>
      </c>
      <c r="C34" s="374" t="s">
        <v>288</v>
      </c>
      <c r="D34" s="64">
        <f>((D24*D32)*(D33/(1-D33)))</f>
        <v>10525897.769663453</v>
      </c>
      <c r="E34" s="64">
        <f>((E24*E32)*(E33/(1-E33)))</f>
        <v>13434859.335036317</v>
      </c>
      <c r="F34" s="521" t="str">
        <f>"Formula on Line "&amp;A36&amp;""</f>
        <v>Formula on Line 21</v>
      </c>
      <c r="G34" s="14"/>
    </row>
    <row r="35" spans="1:7">
      <c r="A35" s="2">
        <f t="shared" si="1"/>
        <v>20</v>
      </c>
      <c r="C35" s="14"/>
      <c r="D35" s="14"/>
      <c r="E35" s="14"/>
      <c r="F35" s="14"/>
      <c r="G35" s="14"/>
    </row>
    <row r="36" spans="1:7">
      <c r="A36" s="2">
        <f t="shared" si="1"/>
        <v>21</v>
      </c>
      <c r="C36" s="46" t="str">
        <f>"Income Taxes = [(RB * ER) * (CTR/(1 – CTR)], or [(L"&amp;A24&amp;" * L"&amp;A32&amp;") * (L"&amp;A33&amp;" / (1 - L"&amp;A33&amp;")]"</f>
        <v>Income Taxes = [(RB * ER) * (CTR/(1 – CTR)], or [(L13 * L17) * (L18 / (1 - L18)]</v>
      </c>
      <c r="D36" s="14"/>
      <c r="E36" s="64"/>
      <c r="F36" s="15"/>
      <c r="G36" s="14"/>
    </row>
    <row r="37" spans="1:7">
      <c r="A37" s="2">
        <f t="shared" si="1"/>
        <v>22</v>
      </c>
      <c r="C37" s="521" t="s">
        <v>2058</v>
      </c>
      <c r="D37" s="14"/>
      <c r="E37" s="64"/>
      <c r="F37" s="15"/>
      <c r="G37" s="14"/>
    </row>
    <row r="38" spans="1:7">
      <c r="A38" s="2">
        <f t="shared" si="1"/>
        <v>23</v>
      </c>
      <c r="D38" s="13"/>
      <c r="E38" s="7"/>
      <c r="F38" s="12"/>
      <c r="G38" s="13"/>
    </row>
    <row r="39" spans="1:7">
      <c r="C39" s="1" t="s">
        <v>1392</v>
      </c>
    </row>
    <row r="40" spans="1:7">
      <c r="D40" s="3" t="s">
        <v>190</v>
      </c>
      <c r="E40" s="3" t="s">
        <v>198</v>
      </c>
    </row>
    <row r="41" spans="1:7">
      <c r="A41" s="2">
        <f>A38+1</f>
        <v>24</v>
      </c>
      <c r="C41" s="374" t="s">
        <v>545</v>
      </c>
      <c r="D41" s="64">
        <f>'15-IncentiveAdder'!G17</f>
        <v>8068.6120944084041</v>
      </c>
      <c r="E41" s="120" t="str">
        <f>"15-IncentiveAdder, Line "&amp;'15-IncentiveAdder'!A17&amp;""</f>
        <v>15-IncentiveAdder, Line 3</v>
      </c>
      <c r="F41" s="14"/>
      <c r="G41" s="14"/>
    </row>
    <row r="42" spans="1:7">
      <c r="C42" s="14"/>
      <c r="D42" s="14"/>
      <c r="E42" s="14"/>
      <c r="F42" s="14"/>
      <c r="G42" s="14"/>
    </row>
    <row r="43" spans="1:7">
      <c r="C43" s="1098" t="s">
        <v>369</v>
      </c>
      <c r="D43" s="14"/>
      <c r="E43" s="14"/>
      <c r="F43" s="14"/>
      <c r="G43" s="14"/>
    </row>
    <row r="44" spans="1:7" ht="15">
      <c r="C44" s="14"/>
      <c r="D44" s="1099" t="s">
        <v>330</v>
      </c>
      <c r="E44" s="1099" t="s">
        <v>255</v>
      </c>
      <c r="F44" s="14"/>
      <c r="G44" s="14"/>
    </row>
    <row r="45" spans="1:7">
      <c r="C45" s="14"/>
      <c r="D45" s="131" t="s">
        <v>194</v>
      </c>
      <c r="E45" s="131" t="s">
        <v>194</v>
      </c>
      <c r="F45" s="14"/>
      <c r="G45" s="14"/>
    </row>
    <row r="46" spans="1:7">
      <c r="A46" s="2">
        <f>A41+1</f>
        <v>25</v>
      </c>
      <c r="C46" s="374" t="s">
        <v>1581</v>
      </c>
      <c r="D46" s="64">
        <f>D9</f>
        <v>225689500.47</v>
      </c>
      <c r="E46" s="64">
        <f>E9</f>
        <v>288028357.17769235</v>
      </c>
      <c r="F46" s="120" t="str">
        <f>"Line "&amp;A9&amp;""</f>
        <v>Line 1</v>
      </c>
      <c r="G46" s="14"/>
    </row>
    <row r="47" spans="1:7">
      <c r="A47" s="2">
        <f>A46+1</f>
        <v>26</v>
      </c>
      <c r="C47" s="374" t="s">
        <v>1386</v>
      </c>
      <c r="D47" s="84">
        <f>'15-IncentiveAdder'!E26</f>
        <v>1.2500000000000001E-2</v>
      </c>
      <c r="E47" s="84">
        <f>'15-IncentiveAdder'!E26</f>
        <v>1.2500000000000001E-2</v>
      </c>
      <c r="F47" s="120" t="str">
        <f>"15-IncentiveAdder, Line "&amp;'15-IncentiveAdder'!A26&amp;""</f>
        <v>15-IncentiveAdder, Line 5</v>
      </c>
      <c r="G47" s="14"/>
    </row>
    <row r="48" spans="1:7">
      <c r="A48" s="2">
        <f>A47+1</f>
        <v>27</v>
      </c>
      <c r="C48" s="374" t="s">
        <v>1582</v>
      </c>
      <c r="D48" s="64">
        <f>(D46/1000000)*($D$41*(D47/0.01))</f>
        <v>2276251.2913415418</v>
      </c>
      <c r="E48" s="64">
        <f>(E46/1000000)*($D$41*(E47/0.01))</f>
        <v>2904986.3578206403</v>
      </c>
      <c r="F48" s="521" t="str">
        <f>"Formula on Line "&amp;A57&amp;""</f>
        <v>Formula on Line 32</v>
      </c>
      <c r="G48" s="14"/>
    </row>
    <row r="49" spans="1:7">
      <c r="C49" s="389"/>
      <c r="D49" s="14"/>
      <c r="E49" s="14"/>
      <c r="F49" s="14"/>
      <c r="G49" s="14"/>
    </row>
    <row r="50" spans="1:7">
      <c r="C50" s="1098" t="s">
        <v>1393</v>
      </c>
      <c r="D50" s="14"/>
      <c r="E50" s="131"/>
      <c r="F50" s="131"/>
      <c r="G50" s="14"/>
    </row>
    <row r="51" spans="1:7" ht="15">
      <c r="C51" s="14"/>
      <c r="D51" s="1099" t="s">
        <v>330</v>
      </c>
      <c r="E51" s="1099" t="s">
        <v>255</v>
      </c>
      <c r="F51" s="14"/>
      <c r="G51" s="14"/>
    </row>
    <row r="52" spans="1:7">
      <c r="C52" s="14"/>
      <c r="D52" s="131" t="s">
        <v>194</v>
      </c>
      <c r="E52" s="131" t="s">
        <v>194</v>
      </c>
      <c r="F52" s="14"/>
      <c r="G52" s="14"/>
    </row>
    <row r="53" spans="1:7">
      <c r="A53" s="2">
        <f>A48+1</f>
        <v>28</v>
      </c>
      <c r="C53" s="1019" t="s">
        <v>1603</v>
      </c>
      <c r="D53" s="64">
        <f>D10</f>
        <v>0</v>
      </c>
      <c r="E53" s="64">
        <f>E10</f>
        <v>73070.496153846165</v>
      </c>
      <c r="F53" s="120" t="str">
        <f>"Line "&amp;A10&amp;""</f>
        <v>Line 2</v>
      </c>
      <c r="G53" s="14"/>
    </row>
    <row r="54" spans="1:7">
      <c r="A54" s="2">
        <f>A53+1</f>
        <v>29</v>
      </c>
      <c r="C54" s="374" t="s">
        <v>1386</v>
      </c>
      <c r="D54" s="84">
        <f>'15-IncentiveAdder'!E27</f>
        <v>0.01</v>
      </c>
      <c r="E54" s="84">
        <f>'15-IncentiveAdder'!E27</f>
        <v>0.01</v>
      </c>
      <c r="F54" s="120" t="str">
        <f>"15-IncentiveAdder, Line "&amp;'15-IncentiveAdder'!A27&amp;""</f>
        <v>15-IncentiveAdder, Line 6</v>
      </c>
      <c r="G54" s="14"/>
    </row>
    <row r="55" spans="1:7">
      <c r="A55" s="2">
        <f>A54+1</f>
        <v>30</v>
      </c>
      <c r="C55" s="374" t="s">
        <v>1582</v>
      </c>
      <c r="D55" s="64">
        <f>(D53/1000000)*($D$41*(D54/0.01))</f>
        <v>0</v>
      </c>
      <c r="E55" s="64">
        <f>(E53/1000000)*($D$41*(E54/0.01))</f>
        <v>589.57748901134596</v>
      </c>
      <c r="F55" s="521" t="str">
        <f>"Formula on Line "&amp;A57&amp;""</f>
        <v>Formula on Line 32</v>
      </c>
      <c r="G55" s="14"/>
    </row>
    <row r="56" spans="1:7">
      <c r="A56" s="2">
        <f>A55+1</f>
        <v>31</v>
      </c>
      <c r="C56" s="14"/>
      <c r="D56" s="116"/>
      <c r="E56" s="64"/>
      <c r="F56" s="46"/>
      <c r="G56" s="14"/>
    </row>
    <row r="57" spans="1:7">
      <c r="A57" s="2">
        <f>A56+1</f>
        <v>32</v>
      </c>
      <c r="C57" s="1018" t="s">
        <v>2227</v>
      </c>
      <c r="D57" s="64"/>
      <c r="E57" s="46"/>
      <c r="F57" s="14"/>
      <c r="G57" s="14"/>
    </row>
    <row r="59" spans="1:7">
      <c r="C59" s="1" t="s">
        <v>1702</v>
      </c>
    </row>
    <row r="60" spans="1:7">
      <c r="C60" s="1"/>
    </row>
    <row r="61" spans="1:7" ht="15">
      <c r="C61" s="1"/>
      <c r="E61" s="254" t="s">
        <v>307</v>
      </c>
    </row>
    <row r="62" spans="1:7" ht="15">
      <c r="C62" s="1"/>
      <c r="D62" s="254" t="s">
        <v>1584</v>
      </c>
      <c r="E62" s="254" t="s">
        <v>1052</v>
      </c>
    </row>
    <row r="63" spans="1:7">
      <c r="D63" s="3" t="s">
        <v>194</v>
      </c>
      <c r="E63" s="3" t="s">
        <v>194</v>
      </c>
      <c r="F63" s="3" t="s">
        <v>198</v>
      </c>
    </row>
    <row r="64" spans="1:7">
      <c r="A64" s="2">
        <f>A57+1</f>
        <v>33</v>
      </c>
      <c r="C64" s="99" t="s">
        <v>1385</v>
      </c>
      <c r="D64" s="7">
        <f>D26</f>
        <v>21402462.265931498</v>
      </c>
      <c r="E64" s="7">
        <f>E26</f>
        <v>27317296.468043301</v>
      </c>
      <c r="F64" s="16" t="str">
        <f>"Line "&amp;A26&amp;""</f>
        <v>Line 15</v>
      </c>
    </row>
    <row r="65" spans="1:9">
      <c r="A65" s="2">
        <f>A64+1</f>
        <v>34</v>
      </c>
      <c r="C65" s="99" t="s">
        <v>288</v>
      </c>
      <c r="D65" s="7">
        <f>D34</f>
        <v>10525897.769663453</v>
      </c>
      <c r="E65" s="7">
        <f>E34</f>
        <v>13434859.335036317</v>
      </c>
      <c r="F65" s="16" t="str">
        <f>"Line "&amp;A34&amp;""</f>
        <v>Line 19</v>
      </c>
    </row>
    <row r="66" spans="1:9">
      <c r="A66" s="2">
        <f>A65+1</f>
        <v>35</v>
      </c>
      <c r="C66" s="99" t="s">
        <v>1387</v>
      </c>
      <c r="D66" s="7">
        <f>D48</f>
        <v>2276251.2913415418</v>
      </c>
      <c r="E66" s="7">
        <f>E48</f>
        <v>2904986.3578206403</v>
      </c>
      <c r="F66" s="16" t="str">
        <f>"Line "&amp;A48&amp;""</f>
        <v>Line 27</v>
      </c>
    </row>
    <row r="67" spans="1:9" ht="15">
      <c r="A67" s="2">
        <f>A66+1</f>
        <v>36</v>
      </c>
      <c r="C67" s="99" t="s">
        <v>1388</v>
      </c>
      <c r="D67" s="108">
        <f>D55</f>
        <v>0</v>
      </c>
      <c r="E67" s="515">
        <f>E55</f>
        <v>589.57748901134596</v>
      </c>
      <c r="F67" s="16" t="str">
        <f>"Line "&amp;A55&amp;""</f>
        <v>Line 30</v>
      </c>
    </row>
    <row r="68" spans="1:9">
      <c r="A68" s="513">
        <f t="shared" ref="A68:A69" si="2">A67+1</f>
        <v>37</v>
      </c>
      <c r="C68" s="99" t="s">
        <v>1635</v>
      </c>
      <c r="D68" s="98">
        <f>SUM(D64:D67)*('28-FFU'!D22+'28-FFU'!E22)</f>
        <v>392668.93803323095</v>
      </c>
      <c r="E68" s="98">
        <f>SUM(E64:E67)*('28-FFU'!D22)</f>
        <v>397285.35881934233</v>
      </c>
      <c r="F68" s="13" t="s">
        <v>395</v>
      </c>
    </row>
    <row r="69" spans="1:9">
      <c r="A69" s="513">
        <f t="shared" si="2"/>
        <v>38</v>
      </c>
      <c r="C69" s="99" t="s">
        <v>4</v>
      </c>
      <c r="D69" s="7">
        <f>SUM(D64:D68)</f>
        <v>34597280.264969721</v>
      </c>
      <c r="E69" s="7">
        <f>SUM(E64:E68)</f>
        <v>44055017.097208612</v>
      </c>
      <c r="F69" s="13" t="str">
        <f>"Sum Lines "&amp;A64&amp;" to "&amp;A68&amp;""</f>
        <v>Sum Lines 33 to 37</v>
      </c>
    </row>
    <row r="70" spans="1:9">
      <c r="A70" s="2"/>
      <c r="D70" s="99"/>
      <c r="E70" s="7"/>
      <c r="F70" s="13"/>
    </row>
    <row r="71" spans="1:9" ht="12.75" customHeight="1">
      <c r="A71" s="2"/>
      <c r="C71" s="381" t="s">
        <v>1703</v>
      </c>
      <c r="D71" s="99"/>
      <c r="E71" s="7"/>
      <c r="F71" s="13"/>
    </row>
    <row r="72" spans="1:9">
      <c r="A72" s="2"/>
      <c r="D72" s="99"/>
      <c r="E72" s="7"/>
      <c r="F72" s="13"/>
    </row>
    <row r="73" spans="1:9" ht="12.75" customHeight="1">
      <c r="A73" s="2"/>
      <c r="C73" s="381" t="s">
        <v>1585</v>
      </c>
      <c r="D73" s="99"/>
      <c r="E73" s="7"/>
      <c r="F73" s="13"/>
    </row>
    <row r="74" spans="1:9" ht="15">
      <c r="A74" s="2"/>
      <c r="C74" s="381"/>
      <c r="D74" s="91" t="s">
        <v>394</v>
      </c>
      <c r="E74" s="91" t="s">
        <v>378</v>
      </c>
      <c r="F74" s="91" t="s">
        <v>379</v>
      </c>
      <c r="G74" s="91" t="s">
        <v>380</v>
      </c>
      <c r="H74" s="91" t="s">
        <v>381</v>
      </c>
    </row>
    <row r="75" spans="1:9" ht="15">
      <c r="A75" s="2"/>
      <c r="C75" s="381"/>
      <c r="D75" s="2" t="s">
        <v>1586</v>
      </c>
      <c r="E75" s="505" t="s">
        <v>1587</v>
      </c>
      <c r="F75" s="2"/>
      <c r="H75" s="101" t="s">
        <v>1644</v>
      </c>
    </row>
    <row r="76" spans="1:9" ht="15">
      <c r="A76" s="2"/>
      <c r="C76" s="3" t="s">
        <v>250</v>
      </c>
      <c r="D76" s="3" t="s">
        <v>1588</v>
      </c>
      <c r="E76" s="437" t="s">
        <v>1589</v>
      </c>
      <c r="F76" s="3" t="s">
        <v>9</v>
      </c>
      <c r="G76" s="3" t="s">
        <v>1593</v>
      </c>
      <c r="H76" s="3" t="s">
        <v>215</v>
      </c>
      <c r="I76" s="3" t="s">
        <v>198</v>
      </c>
    </row>
    <row r="77" spans="1:9">
      <c r="A77" s="2">
        <f>A69+1</f>
        <v>39</v>
      </c>
      <c r="C77" s="99" t="s">
        <v>1396</v>
      </c>
      <c r="D77" s="506">
        <f t="shared" ref="D77:D85" si="3">$D$26*(D9/$D$20)</f>
        <v>16285224.076481201</v>
      </c>
      <c r="E77" s="506">
        <f t="shared" ref="E77:E85" si="4">$D$34*(D9/$D$20)</f>
        <v>8009200.1403952707</v>
      </c>
      <c r="F77" s="506">
        <f>D48</f>
        <v>2276251.2913415418</v>
      </c>
      <c r="G77" s="7">
        <f>(D77+E77+F77)*('28-FFU'!$D$22+'28-FFU'!$E$22)</f>
        <v>305031.35483434278</v>
      </c>
      <c r="H77" s="148">
        <f>SUM(D77:G77)</f>
        <v>26875706.863052357</v>
      </c>
      <c r="I77" s="13" t="s">
        <v>396</v>
      </c>
    </row>
    <row r="78" spans="1:9">
      <c r="A78" s="2">
        <f t="shared" ref="A78:A88" si="5">A77+1</f>
        <v>40</v>
      </c>
      <c r="C78" s="99" t="s">
        <v>1397</v>
      </c>
      <c r="D78" s="506">
        <f t="shared" si="3"/>
        <v>0</v>
      </c>
      <c r="E78" s="506">
        <f t="shared" si="4"/>
        <v>0</v>
      </c>
      <c r="F78" s="506">
        <f>D55</f>
        <v>0</v>
      </c>
      <c r="G78" s="7">
        <f>(D78+E78+F78)*('28-FFU'!$D$22+'28-FFU'!$E$22)</f>
        <v>0</v>
      </c>
      <c r="H78" s="148">
        <f t="shared" ref="H78:H85" si="6">SUM(D78:G78)</f>
        <v>0</v>
      </c>
      <c r="I78" s="13" t="s">
        <v>396</v>
      </c>
    </row>
    <row r="79" spans="1:9">
      <c r="A79" s="2">
        <f t="shared" si="5"/>
        <v>41</v>
      </c>
      <c r="C79" s="99" t="s">
        <v>1398</v>
      </c>
      <c r="D79" s="506">
        <f t="shared" si="3"/>
        <v>0</v>
      </c>
      <c r="E79" s="506">
        <f t="shared" si="4"/>
        <v>0</v>
      </c>
      <c r="F79" s="506">
        <v>0</v>
      </c>
      <c r="G79" s="7">
        <f>(D79+E79+F79)*('28-FFU'!$D$22+'28-FFU'!$E$22)</f>
        <v>0</v>
      </c>
      <c r="H79" s="148">
        <f t="shared" si="6"/>
        <v>0</v>
      </c>
      <c r="I79" s="13" t="s">
        <v>396</v>
      </c>
    </row>
    <row r="80" spans="1:9">
      <c r="A80" s="2">
        <f t="shared" si="5"/>
        <v>42</v>
      </c>
      <c r="C80" s="99" t="s">
        <v>1399</v>
      </c>
      <c r="D80" s="506">
        <f t="shared" si="3"/>
        <v>0</v>
      </c>
      <c r="E80" s="506">
        <f t="shared" si="4"/>
        <v>0</v>
      </c>
      <c r="F80" s="506">
        <v>0</v>
      </c>
      <c r="G80" s="7">
        <f>(D80+E80+F80)*('28-FFU'!$D$22+'28-FFU'!$E$22)</f>
        <v>0</v>
      </c>
      <c r="H80" s="148">
        <f t="shared" si="6"/>
        <v>0</v>
      </c>
      <c r="I80" s="13" t="s">
        <v>396</v>
      </c>
    </row>
    <row r="81" spans="1:9">
      <c r="A81" s="2">
        <f t="shared" si="5"/>
        <v>43</v>
      </c>
      <c r="C81" s="99" t="s">
        <v>1400</v>
      </c>
      <c r="D81" s="506">
        <f t="shared" si="3"/>
        <v>665300.33837501064</v>
      </c>
      <c r="E81" s="506">
        <f t="shared" si="4"/>
        <v>327199.89227618335</v>
      </c>
      <c r="F81" s="506">
        <v>0</v>
      </c>
      <c r="G81" s="7">
        <f>(D81+E81+F81)*('28-FFU'!$D$22+'28-FFU'!$E$22)</f>
        <v>11393.902647875708</v>
      </c>
      <c r="H81" s="148">
        <f t="shared" si="6"/>
        <v>1003894.1332990697</v>
      </c>
      <c r="I81" s="13" t="s">
        <v>396</v>
      </c>
    </row>
    <row r="82" spans="1:9">
      <c r="A82" s="2">
        <f t="shared" si="5"/>
        <v>44</v>
      </c>
      <c r="C82" s="99" t="s">
        <v>1401</v>
      </c>
      <c r="D82" s="506">
        <f t="shared" si="3"/>
        <v>488441.37799440674</v>
      </c>
      <c r="E82" s="506">
        <f t="shared" si="4"/>
        <v>240219.27698602137</v>
      </c>
      <c r="F82" s="506">
        <v>0</v>
      </c>
      <c r="G82" s="7">
        <f>(D82+E82+F82)*('28-FFU'!$D$22+'28-FFU'!$E$22)</f>
        <v>8365.0243191753143</v>
      </c>
      <c r="H82" s="148">
        <f t="shared" si="6"/>
        <v>737025.67929960333</v>
      </c>
      <c r="I82" s="13" t="s">
        <v>396</v>
      </c>
    </row>
    <row r="83" spans="1:9">
      <c r="A83" s="2">
        <f t="shared" si="5"/>
        <v>45</v>
      </c>
      <c r="C83" s="99" t="s">
        <v>1402</v>
      </c>
      <c r="D83" s="506">
        <f t="shared" si="3"/>
        <v>0</v>
      </c>
      <c r="E83" s="506">
        <f t="shared" si="4"/>
        <v>0</v>
      </c>
      <c r="F83" s="506">
        <v>0</v>
      </c>
      <c r="G83" s="7">
        <f>(D83+E83+F83)*('28-FFU'!$D$22+'28-FFU'!$E$22)</f>
        <v>0</v>
      </c>
      <c r="H83" s="148">
        <f t="shared" si="6"/>
        <v>0</v>
      </c>
      <c r="I83" s="13" t="s">
        <v>396</v>
      </c>
    </row>
    <row r="84" spans="1:9">
      <c r="A84" s="2">
        <f t="shared" si="5"/>
        <v>46</v>
      </c>
      <c r="C84" s="99" t="s">
        <v>1403</v>
      </c>
      <c r="D84" s="506">
        <f t="shared" si="3"/>
        <v>205224.72877959328</v>
      </c>
      <c r="E84" s="506">
        <f t="shared" si="4"/>
        <v>100931.12129343548</v>
      </c>
      <c r="F84" s="506">
        <v>0</v>
      </c>
      <c r="G84" s="7">
        <f>(D84+E84+F84)*('28-FFU'!$D$22+'28-FFU'!$E$22)</f>
        <v>3514.6691588383705</v>
      </c>
      <c r="H84" s="148">
        <f t="shared" si="6"/>
        <v>309670.51923186716</v>
      </c>
      <c r="I84" s="13" t="s">
        <v>396</v>
      </c>
    </row>
    <row r="85" spans="1:9">
      <c r="A85" s="2">
        <f t="shared" si="5"/>
        <v>47</v>
      </c>
      <c r="C85" s="99" t="s">
        <v>1404</v>
      </c>
      <c r="D85" s="506">
        <f t="shared" si="3"/>
        <v>3758271.7443012898</v>
      </c>
      <c r="E85" s="506">
        <f t="shared" si="4"/>
        <v>1848347.3387125437</v>
      </c>
      <c r="F85" s="506">
        <v>0</v>
      </c>
      <c r="G85" s="7">
        <f>(D85+E85+F85)*('28-FFU'!$D$22+'28-FFU'!$E$22)</f>
        <v>64363.987072998811</v>
      </c>
      <c r="H85" s="148">
        <f t="shared" si="6"/>
        <v>5670983.0700868322</v>
      </c>
      <c r="I85" s="13" t="s">
        <v>396</v>
      </c>
    </row>
    <row r="86" spans="1:9">
      <c r="A86" s="2">
        <f t="shared" si="5"/>
        <v>48</v>
      </c>
      <c r="C86" s="445"/>
      <c r="D86" s="203" t="s">
        <v>86</v>
      </c>
      <c r="E86" s="203" t="s">
        <v>86</v>
      </c>
      <c r="F86" s="203" t="s">
        <v>86</v>
      </c>
      <c r="G86" s="203" t="s">
        <v>86</v>
      </c>
      <c r="H86" s="203" t="s">
        <v>86</v>
      </c>
      <c r="I86" s="13" t="s">
        <v>396</v>
      </c>
    </row>
    <row r="87" spans="1:9">
      <c r="A87" s="2">
        <f t="shared" si="5"/>
        <v>49</v>
      </c>
      <c r="C87" s="445"/>
      <c r="D87" s="203" t="s">
        <v>86</v>
      </c>
      <c r="E87" s="203" t="s">
        <v>86</v>
      </c>
      <c r="F87" s="203" t="s">
        <v>86</v>
      </c>
      <c r="G87" s="203" t="s">
        <v>86</v>
      </c>
      <c r="H87" s="203" t="s">
        <v>86</v>
      </c>
      <c r="I87" s="13" t="s">
        <v>396</v>
      </c>
    </row>
    <row r="88" spans="1:9">
      <c r="A88" s="2">
        <f t="shared" si="5"/>
        <v>50</v>
      </c>
      <c r="C88" s="99" t="s">
        <v>216</v>
      </c>
      <c r="D88" s="60">
        <f>SUM(D77:D87)</f>
        <v>21402462.265931498</v>
      </c>
      <c r="E88" s="60">
        <f>SUM(E77:E87)</f>
        <v>10525897.769663453</v>
      </c>
      <c r="F88" s="60">
        <f>SUM(F77:F87)</f>
        <v>2276251.2913415418</v>
      </c>
      <c r="G88" s="60">
        <f>SUM(G77:G87)</f>
        <v>392668.93803323107</v>
      </c>
      <c r="H88" s="60">
        <f>SUM(H77:H87)</f>
        <v>34597280.264969729</v>
      </c>
      <c r="I88" s="13" t="str">
        <f>"Sum L "&amp;A77&amp;" to L "&amp;A87&amp;""</f>
        <v>Sum L 39 to L 49</v>
      </c>
    </row>
    <row r="89" spans="1:9">
      <c r="A89" s="2"/>
      <c r="C89" s="99"/>
      <c r="D89" s="99"/>
      <c r="E89" s="7"/>
      <c r="F89" s="13"/>
    </row>
    <row r="90" spans="1:9" ht="15">
      <c r="A90" s="2"/>
      <c r="C90" s="381" t="s">
        <v>1704</v>
      </c>
      <c r="D90" s="99"/>
      <c r="E90" s="7"/>
      <c r="F90" s="13"/>
    </row>
    <row r="91" spans="1:9" ht="15">
      <c r="A91" s="2"/>
      <c r="C91" s="381"/>
      <c r="D91" s="91" t="s">
        <v>394</v>
      </c>
      <c r="E91" s="91" t="s">
        <v>378</v>
      </c>
      <c r="F91" s="91" t="s">
        <v>379</v>
      </c>
      <c r="G91" s="91" t="s">
        <v>380</v>
      </c>
      <c r="H91" s="91" t="s">
        <v>381</v>
      </c>
    </row>
    <row r="92" spans="1:9" ht="15">
      <c r="A92" s="2"/>
      <c r="C92" s="381"/>
      <c r="D92" s="2" t="s">
        <v>1586</v>
      </c>
      <c r="E92" s="505" t="s">
        <v>1587</v>
      </c>
      <c r="F92" s="2"/>
      <c r="H92" s="101" t="s">
        <v>1644</v>
      </c>
    </row>
    <row r="93" spans="1:9" ht="15">
      <c r="A93" s="2"/>
      <c r="C93" s="3" t="s">
        <v>250</v>
      </c>
      <c r="D93" s="3" t="s">
        <v>1588</v>
      </c>
      <c r="E93" s="437" t="s">
        <v>1589</v>
      </c>
      <c r="F93" s="3" t="s">
        <v>9</v>
      </c>
      <c r="G93" s="3" t="s">
        <v>1643</v>
      </c>
      <c r="H93" s="3" t="s">
        <v>215</v>
      </c>
      <c r="I93" s="3" t="s">
        <v>198</v>
      </c>
    </row>
    <row r="94" spans="1:9">
      <c r="A94" s="2">
        <f>A88+1</f>
        <v>51</v>
      </c>
      <c r="C94" s="99" t="s">
        <v>1396</v>
      </c>
      <c r="D94" s="60">
        <f t="shared" ref="D94:D102" si="7">$E$26*(E9/$E$20)</f>
        <v>20783449.505853225</v>
      </c>
      <c r="E94" s="60">
        <f t="shared" ref="E94:E102" si="8">$E$34*(E9/$E$20)</f>
        <v>10221462.469194649</v>
      </c>
      <c r="F94" s="507">
        <f>E48</f>
        <v>2904986.3578206403</v>
      </c>
      <c r="G94" s="7">
        <f>(D94+E94+F94)*('28-FFU'!$D$22)</f>
        <v>308580.07482910343</v>
      </c>
      <c r="H94" s="427">
        <f>SUM(D94:G94)</f>
        <v>34218478.407697611</v>
      </c>
      <c r="I94" s="13" t="s">
        <v>1293</v>
      </c>
    </row>
    <row r="95" spans="1:9">
      <c r="A95" s="2">
        <f t="shared" ref="A95:A105" si="9">A94+1</f>
        <v>52</v>
      </c>
      <c r="C95" s="99" t="s">
        <v>1397</v>
      </c>
      <c r="D95" s="60">
        <f t="shared" si="7"/>
        <v>5272.5953168708456</v>
      </c>
      <c r="E95" s="60">
        <f t="shared" si="8"/>
        <v>2593.103475506739</v>
      </c>
      <c r="F95" s="507">
        <f>E55</f>
        <v>589.57748901134596</v>
      </c>
      <c r="G95" s="7">
        <f>(D95+E95+F95)*('28-FFU'!$D$22)</f>
        <v>76.943014160639279</v>
      </c>
      <c r="H95" s="427">
        <f t="shared" ref="H95:H102" si="10">SUM(D95:G95)</f>
        <v>8532.2192955495702</v>
      </c>
      <c r="I95" s="13" t="s">
        <v>1293</v>
      </c>
    </row>
    <row r="96" spans="1:9">
      <c r="A96" s="2">
        <f t="shared" si="9"/>
        <v>53</v>
      </c>
      <c r="C96" s="99" t="s">
        <v>1398</v>
      </c>
      <c r="D96" s="60">
        <f t="shared" si="7"/>
        <v>0</v>
      </c>
      <c r="E96" s="60">
        <f t="shared" si="8"/>
        <v>0</v>
      </c>
      <c r="F96" s="507">
        <v>0</v>
      </c>
      <c r="G96" s="7">
        <f>(D96+E96+F96)*('28-FFU'!$D$22)</f>
        <v>0</v>
      </c>
      <c r="H96" s="427">
        <f t="shared" si="10"/>
        <v>0</v>
      </c>
      <c r="I96" s="13" t="s">
        <v>1293</v>
      </c>
    </row>
    <row r="97" spans="1:9">
      <c r="A97" s="2">
        <f t="shared" si="9"/>
        <v>54</v>
      </c>
      <c r="C97" s="99" t="s">
        <v>1399</v>
      </c>
      <c r="D97" s="60">
        <f t="shared" si="7"/>
        <v>0</v>
      </c>
      <c r="E97" s="60">
        <f t="shared" si="8"/>
        <v>0</v>
      </c>
      <c r="F97" s="507">
        <v>0</v>
      </c>
      <c r="G97" s="7">
        <f>(D97+E97+F97)*('28-FFU'!$D$22)</f>
        <v>0</v>
      </c>
      <c r="H97" s="427">
        <f t="shared" si="10"/>
        <v>0</v>
      </c>
      <c r="I97" s="13" t="s">
        <v>1293</v>
      </c>
    </row>
    <row r="98" spans="1:9">
      <c r="A98" s="2">
        <f t="shared" si="9"/>
        <v>55</v>
      </c>
      <c r="C98" s="99" t="s">
        <v>1400</v>
      </c>
      <c r="D98" s="60">
        <f t="shared" si="7"/>
        <v>498501.27573616442</v>
      </c>
      <c r="E98" s="60">
        <f t="shared" si="8"/>
        <v>245166.81311001047</v>
      </c>
      <c r="F98" s="507">
        <v>0</v>
      </c>
      <c r="G98" s="7">
        <f>(D98+E98+F98)*('28-FFU'!$D$22)</f>
        <v>6767.3796085001914</v>
      </c>
      <c r="H98" s="427">
        <f t="shared" si="10"/>
        <v>750435.46845467505</v>
      </c>
      <c r="I98" s="13" t="s">
        <v>1293</v>
      </c>
    </row>
    <row r="99" spans="1:9">
      <c r="A99" s="2">
        <f t="shared" si="9"/>
        <v>56</v>
      </c>
      <c r="C99" s="99" t="s">
        <v>1401</v>
      </c>
      <c r="D99" s="60">
        <f t="shared" si="7"/>
        <v>184808.7742092351</v>
      </c>
      <c r="E99" s="60">
        <f t="shared" si="8"/>
        <v>90890.395698055916</v>
      </c>
      <c r="F99" s="507">
        <v>0</v>
      </c>
      <c r="G99" s="7">
        <f>(D99+E99+F99)*('28-FFU'!$D$22)</f>
        <v>2508.8624461563481</v>
      </c>
      <c r="H99" s="427">
        <f t="shared" si="10"/>
        <v>278208.03235344734</v>
      </c>
      <c r="I99" s="13" t="s">
        <v>1293</v>
      </c>
    </row>
    <row r="100" spans="1:9">
      <c r="A100" s="2">
        <f t="shared" si="9"/>
        <v>57</v>
      </c>
      <c r="C100" s="99" t="s">
        <v>1402</v>
      </c>
      <c r="D100" s="60">
        <f t="shared" si="7"/>
        <v>32000.119067316515</v>
      </c>
      <c r="E100" s="60">
        <f t="shared" si="8"/>
        <v>15737.907990885646</v>
      </c>
      <c r="F100" s="507">
        <v>0</v>
      </c>
      <c r="G100" s="7">
        <f>(D100+E100+F100)*('28-FFU'!$D$22)</f>
        <v>434.41604622963968</v>
      </c>
      <c r="H100" s="427">
        <f t="shared" si="10"/>
        <v>48172.443104431804</v>
      </c>
      <c r="I100" s="13" t="s">
        <v>1293</v>
      </c>
    </row>
    <row r="101" spans="1:9">
      <c r="A101" s="2">
        <f t="shared" si="9"/>
        <v>58</v>
      </c>
      <c r="C101" s="99" t="s">
        <v>1403</v>
      </c>
      <c r="D101" s="60">
        <f t="shared" si="7"/>
        <v>2585635.8359687165</v>
      </c>
      <c r="E101" s="60">
        <f t="shared" si="8"/>
        <v>1271635.8585669715</v>
      </c>
      <c r="F101" s="507">
        <v>0</v>
      </c>
      <c r="G101" s="7">
        <f>(D101+E101+F101)*('28-FFU'!$D$22)</f>
        <v>35101.172420274765</v>
      </c>
      <c r="H101" s="427">
        <f t="shared" si="10"/>
        <v>3892372.866955963</v>
      </c>
      <c r="I101" s="13" t="s">
        <v>1293</v>
      </c>
    </row>
    <row r="102" spans="1:9">
      <c r="A102" s="2">
        <f t="shared" si="9"/>
        <v>59</v>
      </c>
      <c r="C102" s="99" t="s">
        <v>1404</v>
      </c>
      <c r="D102" s="60">
        <f t="shared" si="7"/>
        <v>3227628.3618917777</v>
      </c>
      <c r="E102" s="60">
        <f t="shared" si="8"/>
        <v>1587372.7870002405</v>
      </c>
      <c r="F102" s="507">
        <v>0</v>
      </c>
      <c r="G102" s="7">
        <f>(D102+E102+F102)*('28-FFU'!$D$22)</f>
        <v>43816.510454917363</v>
      </c>
      <c r="H102" s="427">
        <f t="shared" si="10"/>
        <v>4858817.6593469353</v>
      </c>
      <c r="I102" s="13" t="s">
        <v>1293</v>
      </c>
    </row>
    <row r="103" spans="1:9">
      <c r="A103" s="2">
        <f t="shared" si="9"/>
        <v>60</v>
      </c>
      <c r="C103" s="445"/>
      <c r="D103" s="203" t="s">
        <v>86</v>
      </c>
      <c r="E103" s="203" t="s">
        <v>86</v>
      </c>
      <c r="F103" s="203" t="s">
        <v>86</v>
      </c>
      <c r="G103" s="203" t="s">
        <v>86</v>
      </c>
      <c r="H103" s="203" t="s">
        <v>86</v>
      </c>
      <c r="I103" s="13" t="s">
        <v>1293</v>
      </c>
    </row>
    <row r="104" spans="1:9">
      <c r="A104" s="2">
        <f t="shared" si="9"/>
        <v>61</v>
      </c>
      <c r="C104" s="445"/>
      <c r="D104" s="203" t="s">
        <v>86</v>
      </c>
      <c r="E104" s="203" t="s">
        <v>86</v>
      </c>
      <c r="F104" s="203" t="s">
        <v>86</v>
      </c>
      <c r="G104" s="203" t="s">
        <v>86</v>
      </c>
      <c r="H104" s="203" t="s">
        <v>86</v>
      </c>
      <c r="I104" s="13" t="s">
        <v>1293</v>
      </c>
    </row>
    <row r="105" spans="1:9">
      <c r="A105" s="2">
        <f t="shared" si="9"/>
        <v>62</v>
      </c>
      <c r="C105" s="99" t="s">
        <v>216</v>
      </c>
      <c r="D105" s="7">
        <f>SUM(D94:D104)</f>
        <v>27317296.468043305</v>
      </c>
      <c r="E105" s="7">
        <f>SUM(E94:E104)</f>
        <v>13434859.335036321</v>
      </c>
      <c r="F105" s="7">
        <f>SUM(F94:F104)</f>
        <v>2905575.9353096518</v>
      </c>
      <c r="G105" s="60">
        <f>SUM(G94:G104)</f>
        <v>397285.35881934233</v>
      </c>
      <c r="H105" s="7">
        <f>SUM(H94:H104)</f>
        <v>44055017.097208612</v>
      </c>
      <c r="I105" s="13" t="str">
        <f>"Sum of L "&amp;A94&amp;" to "&amp;A104&amp;""</f>
        <v>Sum of L 51 to 61</v>
      </c>
    </row>
    <row r="106" spans="1:9">
      <c r="C106" s="99"/>
    </row>
    <row r="107" spans="1:9">
      <c r="B107" s="1" t="s">
        <v>1394</v>
      </c>
    </row>
    <row r="108" spans="1:9">
      <c r="B108" s="1"/>
    </row>
    <row r="109" spans="1:9" ht="15">
      <c r="B109" s="1"/>
      <c r="C109" s="381" t="s">
        <v>1590</v>
      </c>
    </row>
    <row r="110" spans="1:9">
      <c r="E110" s="3" t="s">
        <v>190</v>
      </c>
      <c r="F110" s="3" t="s">
        <v>198</v>
      </c>
    </row>
    <row r="111" spans="1:9">
      <c r="A111" s="2">
        <f>A105+1</f>
        <v>63</v>
      </c>
      <c r="D111" s="99" t="s">
        <v>389</v>
      </c>
      <c r="E111" s="7">
        <f>F20</f>
        <v>-103852112.36607754</v>
      </c>
      <c r="F111" s="16" t="str">
        <f>"Line "&amp;A20&amp;", Col 3"</f>
        <v>Line 12, Col 3</v>
      </c>
    </row>
    <row r="112" spans="1:9">
      <c r="A112" s="2">
        <f>A111+1</f>
        <v>64</v>
      </c>
      <c r="D112" s="99" t="s">
        <v>387</v>
      </c>
      <c r="E112" s="392">
        <f>'2-IFPTRR'!D25</f>
        <v>0.10764534533632783</v>
      </c>
      <c r="F112" s="46" t="str">
        <f>"2-IFPTRR, Line "&amp;'2-IFPTRR'!A25&amp;""</f>
        <v>2-IFPTRR, Line 16</v>
      </c>
      <c r="G112" s="14"/>
      <c r="H112" s="14"/>
    </row>
    <row r="113" spans="1:8">
      <c r="A113" s="2">
        <f>A112+1</f>
        <v>65</v>
      </c>
      <c r="D113" s="99" t="s">
        <v>1636</v>
      </c>
      <c r="E113" s="7">
        <f>E111*E112</f>
        <v>-11179196.499553539</v>
      </c>
      <c r="F113" s="120" t="str">
        <f>"Line "&amp;A111&amp;" * Line "&amp;A112&amp;""</f>
        <v>Line 63 * Line 64</v>
      </c>
      <c r="G113" s="14"/>
      <c r="H113" s="14"/>
    </row>
    <row r="114" spans="1:8">
      <c r="A114" s="513">
        <f>A113+1</f>
        <v>66</v>
      </c>
      <c r="D114" s="99" t="s">
        <v>1635</v>
      </c>
      <c r="E114" s="98">
        <f>E113*('28-FFU'!D22+'28-FFU'!E22)</f>
        <v>-128337.17581487463</v>
      </c>
      <c r="F114" s="521" t="str">
        <f>"Line "&amp;A113&amp;" * (28-FFU, L"&amp;'28-FFU'!A22&amp;" FF Factor + U Factor)"</f>
        <v>Line 65 * (28-FFU, L5 FF Factor + U Factor)</v>
      </c>
      <c r="G114" s="14"/>
      <c r="H114" s="14"/>
    </row>
    <row r="115" spans="1:8">
      <c r="A115" s="518">
        <f>A114+1</f>
        <v>67</v>
      </c>
      <c r="D115" s="99" t="s">
        <v>1637</v>
      </c>
      <c r="E115" s="7">
        <f>SUM(E113:E114)</f>
        <v>-11307533.675368413</v>
      </c>
      <c r="F115" s="16" t="str">
        <f>"Line "&amp;A113&amp;" + Line "&amp;A114&amp;""</f>
        <v>Line 65 + Line 66</v>
      </c>
    </row>
    <row r="116" spans="1:8">
      <c r="A116" s="513"/>
      <c r="D116" s="99"/>
      <c r="E116" s="7"/>
    </row>
    <row r="117" spans="1:8" ht="15">
      <c r="A117" s="2"/>
      <c r="C117" s="381" t="s">
        <v>1591</v>
      </c>
      <c r="D117" s="99"/>
      <c r="E117" s="7"/>
      <c r="F117" s="16"/>
    </row>
    <row r="118" spans="1:8">
      <c r="A118" s="2"/>
      <c r="D118" s="543" t="s">
        <v>194</v>
      </c>
      <c r="E118" s="543" t="s">
        <v>194</v>
      </c>
    </row>
    <row r="119" spans="1:8">
      <c r="A119" s="2"/>
      <c r="C119" s="3" t="s">
        <v>250</v>
      </c>
      <c r="D119" s="3" t="s">
        <v>1671</v>
      </c>
      <c r="E119" s="3" t="s">
        <v>1672</v>
      </c>
      <c r="F119" s="3" t="s">
        <v>198</v>
      </c>
    </row>
    <row r="120" spans="1:8">
      <c r="A120" s="2">
        <f>A115+1</f>
        <v>68</v>
      </c>
      <c r="C120" s="99" t="s">
        <v>1396</v>
      </c>
      <c r="D120" s="60">
        <f>$E$113*(F9/$F$20)</f>
        <v>-24294424.216876432</v>
      </c>
      <c r="E120" s="60">
        <f>$E$115*(F9/$F$20)</f>
        <v>-24573324.206886176</v>
      </c>
      <c r="F120" s="13" t="s">
        <v>1308</v>
      </c>
    </row>
    <row r="121" spans="1:8">
      <c r="A121" s="2">
        <f t="shared" ref="A121:A131" si="11">A120+1</f>
        <v>69</v>
      </c>
      <c r="C121" s="99" t="s">
        <v>1397</v>
      </c>
      <c r="D121" s="60">
        <f t="shared" ref="D121:D128" si="12">$E$113*(F10/$F$20)</f>
        <v>0</v>
      </c>
      <c r="E121" s="60">
        <f t="shared" ref="E121:E128" si="13">$E$115*(F10/$F$20)</f>
        <v>0</v>
      </c>
      <c r="F121" s="13" t="s">
        <v>1308</v>
      </c>
    </row>
    <row r="122" spans="1:8">
      <c r="A122" s="2">
        <f t="shared" si="11"/>
        <v>70</v>
      </c>
      <c r="C122" s="99" t="s">
        <v>1398</v>
      </c>
      <c r="D122" s="60">
        <f t="shared" si="12"/>
        <v>0</v>
      </c>
      <c r="E122" s="60">
        <f t="shared" si="13"/>
        <v>0</v>
      </c>
      <c r="F122" s="13" t="s">
        <v>1308</v>
      </c>
    </row>
    <row r="123" spans="1:8">
      <c r="A123" s="2">
        <f t="shared" si="11"/>
        <v>71</v>
      </c>
      <c r="C123" s="99" t="s">
        <v>1399</v>
      </c>
      <c r="D123" s="60">
        <f t="shared" si="12"/>
        <v>0</v>
      </c>
      <c r="E123" s="60">
        <f t="shared" si="13"/>
        <v>0</v>
      </c>
      <c r="F123" s="13" t="s">
        <v>1308</v>
      </c>
    </row>
    <row r="124" spans="1:8">
      <c r="A124" s="2">
        <f t="shared" si="11"/>
        <v>72</v>
      </c>
      <c r="C124" s="99" t="s">
        <v>1400</v>
      </c>
      <c r="D124" s="60">
        <f t="shared" si="12"/>
        <v>-992500.2306511933</v>
      </c>
      <c r="E124" s="60">
        <f t="shared" si="13"/>
        <v>-1003894.133299069</v>
      </c>
      <c r="F124" s="13" t="s">
        <v>1308</v>
      </c>
    </row>
    <row r="125" spans="1:8">
      <c r="A125" s="2">
        <f t="shared" si="11"/>
        <v>73</v>
      </c>
      <c r="C125" s="99" t="s">
        <v>1401</v>
      </c>
      <c r="D125" s="60">
        <f t="shared" si="12"/>
        <v>-117659.14683195045</v>
      </c>
      <c r="E125" s="60">
        <f t="shared" si="13"/>
        <v>-119009.87383758124</v>
      </c>
      <c r="F125" s="13" t="s">
        <v>1308</v>
      </c>
    </row>
    <row r="126" spans="1:8">
      <c r="A126" s="2">
        <f t="shared" si="11"/>
        <v>74</v>
      </c>
      <c r="C126" s="99" t="s">
        <v>1402</v>
      </c>
      <c r="D126" s="60">
        <f t="shared" si="12"/>
        <v>0</v>
      </c>
      <c r="E126" s="60">
        <f t="shared" si="13"/>
        <v>0</v>
      </c>
      <c r="F126" s="13" t="s">
        <v>1308</v>
      </c>
    </row>
    <row r="127" spans="1:8">
      <c r="A127" s="2">
        <f t="shared" si="11"/>
        <v>75</v>
      </c>
      <c r="C127" s="99" t="s">
        <v>1403</v>
      </c>
      <c r="D127" s="60">
        <f t="shared" si="12"/>
        <v>464092.78974514623</v>
      </c>
      <c r="E127" s="60">
        <f t="shared" si="13"/>
        <v>469420.57497142052</v>
      </c>
      <c r="F127" s="13" t="s">
        <v>1308</v>
      </c>
    </row>
    <row r="128" spans="1:8">
      <c r="A128" s="2">
        <f t="shared" si="11"/>
        <v>76</v>
      </c>
      <c r="C128" s="99" t="s">
        <v>1404</v>
      </c>
      <c r="D128" s="60">
        <f t="shared" si="12"/>
        <v>13761294.305060895</v>
      </c>
      <c r="E128" s="60">
        <f t="shared" si="13"/>
        <v>13919273.963682992</v>
      </c>
      <c r="F128" s="13" t="s">
        <v>1308</v>
      </c>
    </row>
    <row r="129" spans="1:8">
      <c r="A129" s="2">
        <f t="shared" si="11"/>
        <v>77</v>
      </c>
      <c r="C129" s="445"/>
      <c r="D129" s="504" t="s">
        <v>86</v>
      </c>
      <c r="E129" s="504" t="s">
        <v>86</v>
      </c>
      <c r="F129" s="13" t="s">
        <v>1308</v>
      </c>
    </row>
    <row r="130" spans="1:8">
      <c r="A130" s="2">
        <f t="shared" si="11"/>
        <v>78</v>
      </c>
      <c r="C130" s="445"/>
      <c r="D130" s="504" t="s">
        <v>86</v>
      </c>
      <c r="E130" s="504" t="s">
        <v>86</v>
      </c>
      <c r="F130" s="13" t="s">
        <v>1308</v>
      </c>
    </row>
    <row r="131" spans="1:8">
      <c r="A131" s="2">
        <f t="shared" si="11"/>
        <v>79</v>
      </c>
      <c r="C131" s="99" t="s">
        <v>216</v>
      </c>
      <c r="D131" s="7">
        <f>SUM(D120:D130)</f>
        <v>-11179196.499553537</v>
      </c>
      <c r="E131" s="7">
        <f>SUM(E120:E130)</f>
        <v>-11307533.675368415</v>
      </c>
      <c r="F131" s="13" t="str">
        <f>"Sum of Lines "&amp;A120&amp;" to "&amp;A130&amp;""</f>
        <v>Sum of Lines 68 to 78</v>
      </c>
    </row>
    <row r="133" spans="1:8">
      <c r="B133" s="1" t="s">
        <v>1677</v>
      </c>
    </row>
    <row r="134" spans="1:8">
      <c r="B134" s="1"/>
    </row>
    <row r="135" spans="1:8" ht="15">
      <c r="C135" s="381" t="s">
        <v>1590</v>
      </c>
    </row>
    <row r="136" spans="1:8">
      <c r="E136" s="3" t="s">
        <v>190</v>
      </c>
      <c r="F136" s="3" t="s">
        <v>198</v>
      </c>
      <c r="H136" s="1"/>
    </row>
    <row r="137" spans="1:8">
      <c r="A137" s="2">
        <f>A131+1</f>
        <v>80</v>
      </c>
      <c r="D137" s="99" t="s">
        <v>1405</v>
      </c>
      <c r="E137" s="7">
        <f>SUM(D64:D67)</f>
        <v>34204611.326936491</v>
      </c>
      <c r="F137" s="16" t="str">
        <f>"Sum Line "&amp;A64&amp;" to "&amp;A67&amp;""</f>
        <v>Sum Line 33 to 36</v>
      </c>
    </row>
    <row r="138" spans="1:8">
      <c r="A138" s="2">
        <f t="shared" ref="A138:A145" si="14">A137+1</f>
        <v>81</v>
      </c>
      <c r="D138" s="520" t="s">
        <v>1669</v>
      </c>
      <c r="E138" s="7">
        <f>E113</f>
        <v>-11179196.499553539</v>
      </c>
      <c r="F138" s="16" t="str">
        <f>"Line "&amp;A113&amp;""</f>
        <v>Line 65</v>
      </c>
    </row>
    <row r="139" spans="1:8">
      <c r="A139" s="2">
        <f t="shared" si="14"/>
        <v>82</v>
      </c>
      <c r="D139" s="99" t="s">
        <v>1406</v>
      </c>
      <c r="E139" s="7">
        <f>SUM(E137:E138)</f>
        <v>23025414.827382952</v>
      </c>
      <c r="F139" s="16" t="str">
        <f>"Line "&amp;A137&amp;" + Line "&amp;A138&amp;""</f>
        <v>Line 80 + Line 81</v>
      </c>
    </row>
    <row r="140" spans="1:8">
      <c r="A140" s="2">
        <f t="shared" si="14"/>
        <v>83</v>
      </c>
      <c r="D140" s="99" t="s">
        <v>1389</v>
      </c>
      <c r="E140" s="8">
        <f>'28-FFU'!D22</f>
        <v>9.1000000000000004E-3</v>
      </c>
      <c r="F140" s="46" t="str">
        <f>"28-FFU, Line "&amp;'28-FFU'!A22&amp;""</f>
        <v>28-FFU, Line 5</v>
      </c>
    </row>
    <row r="141" spans="1:8">
      <c r="A141" s="2">
        <f t="shared" si="14"/>
        <v>84</v>
      </c>
      <c r="D141" s="99" t="s">
        <v>1390</v>
      </c>
      <c r="E141" s="8">
        <f>'28-FFU'!E22</f>
        <v>2.3800000000000002E-3</v>
      </c>
      <c r="F141" s="46" t="str">
        <f>"28-FFU, Line "&amp;'28-FFU'!A22&amp;""</f>
        <v>28-FFU, Line 5</v>
      </c>
    </row>
    <row r="142" spans="1:8">
      <c r="A142" s="2">
        <f t="shared" si="14"/>
        <v>85</v>
      </c>
      <c r="D142" s="520" t="s">
        <v>1675</v>
      </c>
      <c r="E142" s="7">
        <f>E139*E140</f>
        <v>209531.27492918487</v>
      </c>
      <c r="F142" s="16" t="str">
        <f>"Line "&amp;A139&amp;" * Line "&amp;A140&amp;""</f>
        <v>Line 82 * Line 83</v>
      </c>
    </row>
    <row r="143" spans="1:8">
      <c r="A143" s="544">
        <f t="shared" si="14"/>
        <v>86</v>
      </c>
      <c r="D143" s="520" t="s">
        <v>1676</v>
      </c>
      <c r="E143" s="7">
        <f>E139*E141</f>
        <v>54800.487289171433</v>
      </c>
      <c r="F143" s="16" t="str">
        <f>"Line "&amp;A139&amp;" * Line "&amp;A141&amp;""</f>
        <v>Line 82 * Line 84</v>
      </c>
    </row>
    <row r="144" spans="1:8">
      <c r="A144" s="544">
        <f t="shared" si="14"/>
        <v>87</v>
      </c>
      <c r="D144" s="99" t="s">
        <v>1407</v>
      </c>
      <c r="E144" s="7">
        <f>E139+E142+E143</f>
        <v>23289746.589601308</v>
      </c>
      <c r="F144" s="13" t="str">
        <f>"Line "&amp;A139&amp;" + Line "&amp;A142&amp;" + Line "&amp;A143&amp;""</f>
        <v>Line 82 + Line 85 + Line 86</v>
      </c>
    </row>
    <row r="145" spans="1:8">
      <c r="A145" s="544">
        <f t="shared" si="14"/>
        <v>88</v>
      </c>
      <c r="D145" s="520" t="s">
        <v>1674</v>
      </c>
      <c r="E145" s="7">
        <f>E139+E142</f>
        <v>23234946.102312136</v>
      </c>
      <c r="F145" s="13" t="str">
        <f>"Line "&amp;A139&amp;" + Line "&amp;A142&amp;""</f>
        <v>Line 82 + Line 85</v>
      </c>
    </row>
    <row r="147" spans="1:8" ht="15">
      <c r="C147" s="381" t="s">
        <v>1592</v>
      </c>
    </row>
    <row r="148" spans="1:8" ht="15">
      <c r="C148" s="381"/>
      <c r="D148" s="91" t="s">
        <v>394</v>
      </c>
      <c r="E148" s="91" t="s">
        <v>378</v>
      </c>
      <c r="F148" s="91" t="s">
        <v>379</v>
      </c>
      <c r="G148" s="91" t="s">
        <v>380</v>
      </c>
    </row>
    <row r="149" spans="1:8" ht="12.75" customHeight="1">
      <c r="D149" s="254" t="s">
        <v>1584</v>
      </c>
      <c r="E149" s="254" t="s">
        <v>1214</v>
      </c>
    </row>
    <row r="150" spans="1:8" ht="12.75" customHeight="1">
      <c r="D150" s="3" t="s">
        <v>1671</v>
      </c>
      <c r="E150" s="3" t="s">
        <v>1671</v>
      </c>
      <c r="F150" s="3" t="s">
        <v>1593</v>
      </c>
      <c r="G150" s="256" t="s">
        <v>215</v>
      </c>
      <c r="H150" s="3" t="s">
        <v>198</v>
      </c>
    </row>
    <row r="151" spans="1:8">
      <c r="A151" s="544">
        <f>A145+1</f>
        <v>89</v>
      </c>
      <c r="C151" s="99" t="s">
        <v>1396</v>
      </c>
      <c r="D151" s="7">
        <f t="shared" ref="D151:D159" si="15">D77+E77+F77</f>
        <v>26570675.508218013</v>
      </c>
      <c r="E151" s="7">
        <f t="shared" ref="E151:E159" si="16">D120</f>
        <v>-24294424.216876432</v>
      </c>
      <c r="F151" s="7">
        <f>(D151+E151)*('28-FFU'!$D$22+'28-FFU'!$E$22)</f>
        <v>26131.364824601344</v>
      </c>
      <c r="G151" s="7">
        <f>SUM(D151:F151)</f>
        <v>2302382.6561661819</v>
      </c>
      <c r="H151" s="13" t="s">
        <v>1310</v>
      </c>
    </row>
    <row r="152" spans="1:8">
      <c r="A152" s="544">
        <f t="shared" ref="A152:A162" si="17">A151+1</f>
        <v>90</v>
      </c>
      <c r="C152" s="99" t="s">
        <v>1397</v>
      </c>
      <c r="D152" s="7">
        <f t="shared" si="15"/>
        <v>0</v>
      </c>
      <c r="E152" s="7">
        <f t="shared" si="16"/>
        <v>0</v>
      </c>
      <c r="F152" s="7">
        <f>(D152+E152)*('28-FFU'!$D$22+'28-FFU'!$E$22)</f>
        <v>0</v>
      </c>
      <c r="G152" s="7">
        <f t="shared" ref="G152:G159" si="18">SUM(D152:F152)</f>
        <v>0</v>
      </c>
      <c r="H152" s="13" t="s">
        <v>1310</v>
      </c>
    </row>
    <row r="153" spans="1:8">
      <c r="A153" s="544">
        <f t="shared" si="17"/>
        <v>91</v>
      </c>
      <c r="C153" s="99" t="s">
        <v>1398</v>
      </c>
      <c r="D153" s="7">
        <f t="shared" si="15"/>
        <v>0</v>
      </c>
      <c r="E153" s="7">
        <f t="shared" si="16"/>
        <v>0</v>
      </c>
      <c r="F153" s="7">
        <f>(D153+E153)*('28-FFU'!$D$22+'28-FFU'!$E$22)</f>
        <v>0</v>
      </c>
      <c r="G153" s="7">
        <f t="shared" si="18"/>
        <v>0</v>
      </c>
      <c r="H153" s="13" t="s">
        <v>1310</v>
      </c>
    </row>
    <row r="154" spans="1:8">
      <c r="A154" s="544">
        <f t="shared" si="17"/>
        <v>92</v>
      </c>
      <c r="C154" s="99" t="s">
        <v>1399</v>
      </c>
      <c r="D154" s="7">
        <f t="shared" si="15"/>
        <v>0</v>
      </c>
      <c r="E154" s="7">
        <f t="shared" si="16"/>
        <v>0</v>
      </c>
      <c r="F154" s="7">
        <f>(D154+E154)*('28-FFU'!$D$22+'28-FFU'!$E$22)</f>
        <v>0</v>
      </c>
      <c r="G154" s="7">
        <f t="shared" si="18"/>
        <v>0</v>
      </c>
      <c r="H154" s="13" t="s">
        <v>1310</v>
      </c>
    </row>
    <row r="155" spans="1:8">
      <c r="A155" s="544">
        <f t="shared" si="17"/>
        <v>93</v>
      </c>
      <c r="C155" s="99" t="s">
        <v>1400</v>
      </c>
      <c r="D155" s="7">
        <f t="shared" si="15"/>
        <v>992500.230651194</v>
      </c>
      <c r="E155" s="7">
        <f t="shared" si="16"/>
        <v>-992500.2306511933</v>
      </c>
      <c r="F155" s="7">
        <f>(D155+E155)*('28-FFU'!$D$22+'28-FFU'!$E$22)</f>
        <v>8.0186873674392696E-12</v>
      </c>
      <c r="G155" s="7">
        <f t="shared" si="18"/>
        <v>7.0651061832904816E-10</v>
      </c>
      <c r="H155" s="13" t="s">
        <v>1310</v>
      </c>
    </row>
    <row r="156" spans="1:8">
      <c r="A156" s="544">
        <f t="shared" si="17"/>
        <v>94</v>
      </c>
      <c r="C156" s="99" t="s">
        <v>1401</v>
      </c>
      <c r="D156" s="7">
        <f t="shared" si="15"/>
        <v>728660.65498042805</v>
      </c>
      <c r="E156" s="7">
        <f t="shared" si="16"/>
        <v>-117659.14683195045</v>
      </c>
      <c r="F156" s="7">
        <f>(D156+E156)*('28-FFU'!$D$22+'28-FFU'!$E$22)</f>
        <v>7014.2973135445236</v>
      </c>
      <c r="G156" s="7">
        <f t="shared" si="18"/>
        <v>618015.8054620222</v>
      </c>
      <c r="H156" s="13" t="s">
        <v>1310</v>
      </c>
    </row>
    <row r="157" spans="1:8">
      <c r="A157" s="544">
        <f t="shared" si="17"/>
        <v>95</v>
      </c>
      <c r="C157" s="99" t="s">
        <v>1402</v>
      </c>
      <c r="D157" s="7">
        <f t="shared" si="15"/>
        <v>0</v>
      </c>
      <c r="E157" s="7">
        <f t="shared" si="16"/>
        <v>0</v>
      </c>
      <c r="F157" s="7">
        <f>(D157+E157)*('28-FFU'!$D$22+'28-FFU'!$E$22)</f>
        <v>0</v>
      </c>
      <c r="G157" s="7">
        <f t="shared" si="18"/>
        <v>0</v>
      </c>
      <c r="H157" s="13" t="s">
        <v>1310</v>
      </c>
    </row>
    <row r="158" spans="1:8">
      <c r="A158" s="544">
        <f t="shared" si="17"/>
        <v>96</v>
      </c>
      <c r="C158" s="99" t="s">
        <v>1403</v>
      </c>
      <c r="D158" s="7">
        <f t="shared" si="15"/>
        <v>306155.85007302876</v>
      </c>
      <c r="E158" s="7">
        <f t="shared" si="16"/>
        <v>464092.78974514623</v>
      </c>
      <c r="F158" s="7">
        <f>(D158+E158)*('28-FFU'!$D$22+'28-FFU'!$E$22)</f>
        <v>8842.4543851126491</v>
      </c>
      <c r="G158" s="7">
        <f t="shared" si="18"/>
        <v>779091.09420328762</v>
      </c>
      <c r="H158" s="13" t="s">
        <v>1310</v>
      </c>
    </row>
    <row r="159" spans="1:8">
      <c r="A159" s="544">
        <f t="shared" si="17"/>
        <v>97</v>
      </c>
      <c r="C159" s="99" t="s">
        <v>1404</v>
      </c>
      <c r="D159" s="7">
        <f t="shared" si="15"/>
        <v>5606619.0830138335</v>
      </c>
      <c r="E159" s="7">
        <f t="shared" si="16"/>
        <v>13761294.305060895</v>
      </c>
      <c r="F159" s="7">
        <f>(D159+E159)*('28-FFU'!$D$22+'28-FFU'!$E$22)</f>
        <v>222343.64569509792</v>
      </c>
      <c r="G159" s="7">
        <f t="shared" si="18"/>
        <v>19590257.033769827</v>
      </c>
      <c r="H159" s="13" t="s">
        <v>1310</v>
      </c>
    </row>
    <row r="160" spans="1:8">
      <c r="A160" s="544">
        <f t="shared" si="17"/>
        <v>98</v>
      </c>
      <c r="C160" s="445"/>
      <c r="D160" s="504" t="s">
        <v>86</v>
      </c>
      <c r="E160" s="504" t="s">
        <v>86</v>
      </c>
      <c r="F160" s="504" t="s">
        <v>86</v>
      </c>
      <c r="G160" s="504" t="s">
        <v>86</v>
      </c>
      <c r="H160" s="13" t="s">
        <v>1310</v>
      </c>
    </row>
    <row r="161" spans="1:8">
      <c r="A161" s="544">
        <f t="shared" si="17"/>
        <v>99</v>
      </c>
      <c r="C161" s="445"/>
      <c r="D161" s="504" t="s">
        <v>86</v>
      </c>
      <c r="E161" s="504" t="s">
        <v>86</v>
      </c>
      <c r="F161" s="504" t="s">
        <v>86</v>
      </c>
      <c r="G161" s="504" t="s">
        <v>86</v>
      </c>
      <c r="H161" s="13" t="s">
        <v>1310</v>
      </c>
    </row>
    <row r="162" spans="1:8">
      <c r="A162" s="544">
        <f t="shared" si="17"/>
        <v>100</v>
      </c>
      <c r="C162" s="99" t="s">
        <v>216</v>
      </c>
      <c r="D162" s="7">
        <f>SUM(D151:D161)</f>
        <v>34204611.326936498</v>
      </c>
      <c r="E162" s="7">
        <f>SUM(E151:E161)</f>
        <v>-11179196.499553537</v>
      </c>
      <c r="F162" s="7">
        <f>SUM(F151:F161)</f>
        <v>264331.76221835642</v>
      </c>
      <c r="G162" s="7">
        <f>SUM(G151:G161)</f>
        <v>23289746.589601319</v>
      </c>
    </row>
    <row r="164" spans="1:8" ht="15">
      <c r="C164" s="381" t="s">
        <v>1670</v>
      </c>
    </row>
    <row r="165" spans="1:8" ht="15">
      <c r="C165" s="381"/>
    </row>
    <row r="166" spans="1:8">
      <c r="D166" s="91" t="s">
        <v>394</v>
      </c>
      <c r="E166" s="91" t="s">
        <v>378</v>
      </c>
      <c r="F166" s="91" t="s">
        <v>379</v>
      </c>
      <c r="G166" s="91" t="s">
        <v>380</v>
      </c>
    </row>
    <row r="167" spans="1:8" ht="12.75" customHeight="1">
      <c r="D167" s="254" t="s">
        <v>1584</v>
      </c>
      <c r="E167" s="254" t="s">
        <v>1214</v>
      </c>
      <c r="F167" s="91"/>
      <c r="G167" s="91"/>
    </row>
    <row r="168" spans="1:8" ht="12.75" customHeight="1">
      <c r="D168" s="3" t="s">
        <v>1671</v>
      </c>
      <c r="E168" s="3" t="s">
        <v>1671</v>
      </c>
      <c r="F168" s="3" t="s">
        <v>1643</v>
      </c>
      <c r="G168" s="256" t="s">
        <v>215</v>
      </c>
      <c r="H168" s="3" t="s">
        <v>198</v>
      </c>
    </row>
    <row r="169" spans="1:8">
      <c r="A169" s="544">
        <f>A162+1</f>
        <v>101</v>
      </c>
      <c r="C169" s="99" t="s">
        <v>1396</v>
      </c>
      <c r="D169" s="7">
        <f t="shared" ref="D169:D177" si="19">D77+E77+F77</f>
        <v>26570675.508218013</v>
      </c>
      <c r="E169" s="7">
        <f t="shared" ref="E169:E177" si="20">D120</f>
        <v>-24294424.216876432</v>
      </c>
      <c r="F169" s="7">
        <f>(D169+E169)*('28-FFU'!$D$22)</f>
        <v>20713.886751208382</v>
      </c>
      <c r="G169" s="7">
        <f>SUM(D169:F169)</f>
        <v>2296965.1780927889</v>
      </c>
      <c r="H169" s="526" t="s">
        <v>1311</v>
      </c>
    </row>
    <row r="170" spans="1:8">
      <c r="A170" s="544">
        <f t="shared" ref="A170:A180" si="21">A169+1</f>
        <v>102</v>
      </c>
      <c r="C170" s="99" t="s">
        <v>1397</v>
      </c>
      <c r="D170" s="7">
        <f t="shared" si="19"/>
        <v>0</v>
      </c>
      <c r="E170" s="7">
        <f t="shared" si="20"/>
        <v>0</v>
      </c>
      <c r="F170" s="7">
        <f>(D170+E170)*('28-FFU'!$D$22)</f>
        <v>0</v>
      </c>
      <c r="G170" s="7">
        <f t="shared" ref="G170:G177" si="22">SUM(D170:F170)</f>
        <v>0</v>
      </c>
      <c r="H170" s="526" t="s">
        <v>1311</v>
      </c>
    </row>
    <row r="171" spans="1:8">
      <c r="A171" s="544">
        <f t="shared" si="21"/>
        <v>103</v>
      </c>
      <c r="C171" s="99" t="s">
        <v>1398</v>
      </c>
      <c r="D171" s="7">
        <f t="shared" si="19"/>
        <v>0</v>
      </c>
      <c r="E171" s="7">
        <f t="shared" si="20"/>
        <v>0</v>
      </c>
      <c r="F171" s="7">
        <f>(D171+E171)*('28-FFU'!$D$22)</f>
        <v>0</v>
      </c>
      <c r="G171" s="7">
        <f t="shared" si="22"/>
        <v>0</v>
      </c>
      <c r="H171" s="526" t="s">
        <v>1311</v>
      </c>
    </row>
    <row r="172" spans="1:8">
      <c r="A172" s="544">
        <f t="shared" si="21"/>
        <v>104</v>
      </c>
      <c r="C172" s="99" t="s">
        <v>1399</v>
      </c>
      <c r="D172" s="7">
        <f t="shared" si="19"/>
        <v>0</v>
      </c>
      <c r="E172" s="7">
        <f t="shared" si="20"/>
        <v>0</v>
      </c>
      <c r="F172" s="7">
        <f>(D172+E172)*('28-FFU'!$D$22)</f>
        <v>0</v>
      </c>
      <c r="G172" s="7">
        <f t="shared" si="22"/>
        <v>0</v>
      </c>
      <c r="H172" s="526" t="s">
        <v>1311</v>
      </c>
    </row>
    <row r="173" spans="1:8">
      <c r="A173" s="544">
        <f t="shared" si="21"/>
        <v>105</v>
      </c>
      <c r="C173" s="99" t="s">
        <v>1400</v>
      </c>
      <c r="D173" s="7">
        <f t="shared" si="19"/>
        <v>992500.230651194</v>
      </c>
      <c r="E173" s="7">
        <f t="shared" si="20"/>
        <v>-992500.2306511933</v>
      </c>
      <c r="F173" s="7">
        <f>(D173+E173)*('28-FFU'!$D$22)</f>
        <v>6.3562765717506412E-12</v>
      </c>
      <c r="G173" s="7">
        <f t="shared" si="22"/>
        <v>7.048482075333595E-10</v>
      </c>
      <c r="H173" s="526" t="s">
        <v>1311</v>
      </c>
    </row>
    <row r="174" spans="1:8">
      <c r="A174" s="544">
        <f t="shared" si="21"/>
        <v>106</v>
      </c>
      <c r="C174" s="99" t="s">
        <v>1401</v>
      </c>
      <c r="D174" s="7">
        <f t="shared" si="19"/>
        <v>728660.65498042805</v>
      </c>
      <c r="E174" s="7">
        <f t="shared" si="20"/>
        <v>-117659.14683195045</v>
      </c>
      <c r="F174" s="7">
        <f>(D174+E174)*('28-FFU'!$D$22)</f>
        <v>5560.1137241511469</v>
      </c>
      <c r="G174" s="7">
        <f t="shared" si="22"/>
        <v>616561.62187262881</v>
      </c>
      <c r="H174" s="526" t="s">
        <v>1311</v>
      </c>
    </row>
    <row r="175" spans="1:8">
      <c r="A175" s="544">
        <f t="shared" si="21"/>
        <v>107</v>
      </c>
      <c r="C175" s="99" t="s">
        <v>1402</v>
      </c>
      <c r="D175" s="7">
        <f t="shared" si="19"/>
        <v>0</v>
      </c>
      <c r="E175" s="7">
        <f t="shared" si="20"/>
        <v>0</v>
      </c>
      <c r="F175" s="7">
        <f>(D175+E175)*('28-FFU'!$D$22)</f>
        <v>0</v>
      </c>
      <c r="G175" s="7">
        <f t="shared" si="22"/>
        <v>0</v>
      </c>
      <c r="H175" s="526" t="s">
        <v>1311</v>
      </c>
    </row>
    <row r="176" spans="1:8">
      <c r="A176" s="544">
        <f t="shared" si="21"/>
        <v>108</v>
      </c>
      <c r="C176" s="99" t="s">
        <v>1403</v>
      </c>
      <c r="D176" s="7">
        <f t="shared" si="19"/>
        <v>306155.85007302876</v>
      </c>
      <c r="E176" s="7">
        <f t="shared" si="20"/>
        <v>464092.78974514623</v>
      </c>
      <c r="F176" s="7">
        <f>(D176+E176)*('28-FFU'!$D$22)</f>
        <v>7009.2626223453926</v>
      </c>
      <c r="G176" s="7">
        <f t="shared" si="22"/>
        <v>777257.90244052035</v>
      </c>
      <c r="H176" s="526" t="s">
        <v>1311</v>
      </c>
    </row>
    <row r="177" spans="1:11">
      <c r="A177" s="544">
        <f t="shared" si="21"/>
        <v>109</v>
      </c>
      <c r="C177" s="99" t="s">
        <v>1404</v>
      </c>
      <c r="D177" s="7">
        <f t="shared" si="19"/>
        <v>5606619.0830138335</v>
      </c>
      <c r="E177" s="7">
        <f t="shared" si="20"/>
        <v>13761294.305060895</v>
      </c>
      <c r="F177" s="7">
        <f>(D177+E177)*('28-FFU'!$D$22)</f>
        <v>176248.01183148005</v>
      </c>
      <c r="G177" s="7">
        <f t="shared" si="22"/>
        <v>19544161.399906211</v>
      </c>
      <c r="H177" s="526" t="s">
        <v>1311</v>
      </c>
    </row>
    <row r="178" spans="1:11">
      <c r="A178" s="544">
        <f t="shared" si="21"/>
        <v>110</v>
      </c>
      <c r="C178" s="445"/>
      <c r="D178" s="504" t="s">
        <v>86</v>
      </c>
      <c r="E178" s="504" t="s">
        <v>86</v>
      </c>
      <c r="F178" s="504" t="s">
        <v>86</v>
      </c>
      <c r="G178" s="504" t="s">
        <v>86</v>
      </c>
      <c r="H178" s="526" t="s">
        <v>1311</v>
      </c>
    </row>
    <row r="179" spans="1:11">
      <c r="A179" s="544">
        <f t="shared" si="21"/>
        <v>111</v>
      </c>
      <c r="C179" s="445"/>
      <c r="D179" s="504" t="s">
        <v>86</v>
      </c>
      <c r="E179" s="504" t="s">
        <v>86</v>
      </c>
      <c r="F179" s="504" t="s">
        <v>86</v>
      </c>
      <c r="G179" s="504" t="s">
        <v>86</v>
      </c>
      <c r="H179" s="526" t="s">
        <v>1311</v>
      </c>
    </row>
    <row r="180" spans="1:11">
      <c r="A180" s="544">
        <f t="shared" si="21"/>
        <v>112</v>
      </c>
      <c r="C180" s="99" t="s">
        <v>216</v>
      </c>
      <c r="D180" s="7">
        <f>SUM(D169:D179)</f>
        <v>34204611.326936498</v>
      </c>
      <c r="E180" s="7">
        <f>SUM(E169:E179)</f>
        <v>-11179196.499553537</v>
      </c>
      <c r="F180" s="7">
        <f>SUM(F169:F179)</f>
        <v>209531.27492918499</v>
      </c>
      <c r="G180" s="7">
        <f>SUM(G169:G179)</f>
        <v>23234946.102312151</v>
      </c>
    </row>
    <row r="182" spans="1:11">
      <c r="B182" s="1" t="s">
        <v>256</v>
      </c>
    </row>
    <row r="183" spans="1:11">
      <c r="B183" s="116" t="str">
        <f>"1) (Sum Lines "&amp;A64&amp;" to "&amp;A67&amp;") * (FF + U Factors from 28-FFU) for Prior Year TRR"</f>
        <v>1) (Sum Lines 33 to 36) * (FF + U Factors from 28-FFU) for Prior Year TRR</v>
      </c>
      <c r="C183" s="14"/>
      <c r="D183" s="14"/>
      <c r="E183" s="14"/>
      <c r="F183" s="14"/>
      <c r="G183" s="14"/>
      <c r="H183" s="14"/>
      <c r="I183" s="14"/>
      <c r="J183" s="14"/>
      <c r="K183" s="14"/>
    </row>
    <row r="184" spans="1:11">
      <c r="B184" s="46" t="str">
        <f>"(Sum Lines "&amp;A65&amp;" to "&amp;A68&amp;") * (FF Factor from 28-FFU) for True Up TRR"</f>
        <v>(Sum Lines 34 to 37) * (FF Factor from 28-FFU) for True Up TRR</v>
      </c>
      <c r="C184" s="14"/>
      <c r="D184" s="14"/>
      <c r="E184" s="14"/>
      <c r="F184" s="14"/>
      <c r="G184" s="14"/>
      <c r="H184" s="14"/>
      <c r="I184" s="14"/>
      <c r="J184" s="14"/>
      <c r="K184" s="14"/>
    </row>
    <row r="185" spans="1:11">
      <c r="B185" s="15" t="str">
        <f>"2) Project Cost of capital is a fraction of total Cost of Capital on Line "&amp;A26&amp;" based on fraction of project CWIP Balances on Lines "&amp;A9&amp;" to "&amp;A20&amp;", Col 1."</f>
        <v>2) Project Cost of capital is a fraction of total Cost of Capital on Line 15 based on fraction of project CWIP Balances on Lines 1 to 12, Col 1.</v>
      </c>
      <c r="C185" s="14"/>
      <c r="D185" s="14"/>
      <c r="E185" s="14"/>
      <c r="F185" s="14"/>
      <c r="G185" s="14"/>
      <c r="H185" s="14"/>
      <c r="I185" s="14"/>
      <c r="J185" s="14"/>
      <c r="K185" s="14"/>
    </row>
    <row r="186" spans="1:11">
      <c r="B186" s="46" t="str">
        <f>"Project Income Taxes is a fraction of total Income on Line "&amp;A34&amp;" based on fraction of project CWIP Balances on Lines "&amp;A9&amp;" to "&amp;A20&amp;", Col 1."</f>
        <v>Project Income Taxes is a fraction of total Income on Line 19 based on fraction of project CWIP Balances on Lines 1 to 12, Col 1.</v>
      </c>
      <c r="C186" s="14"/>
      <c r="D186" s="14"/>
      <c r="E186" s="14"/>
      <c r="F186" s="14"/>
      <c r="G186" s="14"/>
      <c r="H186" s="14"/>
      <c r="I186" s="14"/>
      <c r="J186" s="14"/>
      <c r="K186" s="14"/>
    </row>
    <row r="187" spans="1:11">
      <c r="B187" s="120" t="str">
        <f>"ROE Adder is from Lines "&amp;A66&amp;" and "&amp;A67&amp;".  FF&amp;U Expenses are based on FF&amp;U Factors on 28-FFU."</f>
        <v>ROE Adder is from Lines 35 and 36.  FF&amp;U Expenses are based on FF&amp;U Factors on 28-FFU.</v>
      </c>
      <c r="C187" s="14"/>
      <c r="D187" s="14"/>
      <c r="E187" s="14"/>
      <c r="F187" s="14"/>
      <c r="G187" s="14"/>
      <c r="H187" s="14"/>
      <c r="I187" s="14"/>
      <c r="J187" s="14"/>
      <c r="K187" s="14"/>
    </row>
    <row r="188" spans="1:11">
      <c r="B188" s="15" t="str">
        <f>"3) Project Cost of capital is a fraction of total Cost of Capital on Line "&amp;A26&amp;" based on fraction of project CWIP Balances on Lines "&amp;A9&amp;" to "&amp;A20&amp;", Col 2."</f>
        <v>3) Project Cost of capital is a fraction of total Cost of Capital on Line 15 based on fraction of project CWIP Balances on Lines 1 to 12, Col 2.</v>
      </c>
      <c r="C188" s="14"/>
      <c r="D188" s="14"/>
      <c r="E188" s="14"/>
      <c r="F188" s="14"/>
      <c r="G188" s="14"/>
      <c r="H188" s="14"/>
      <c r="I188" s="14"/>
      <c r="J188" s="14"/>
      <c r="K188" s="14"/>
    </row>
    <row r="189" spans="1:11">
      <c r="B189" s="46" t="str">
        <f>"Project Income Taxes is a fraction of total Income on Line "&amp;A34&amp;" based on fraction of project CWIP Balances on Lines "&amp;A9&amp;" to "&amp;A20&amp;", Col 2."</f>
        <v>Project Income Taxes is a fraction of total Income on Line 19 based on fraction of project CWIP Balances on Lines 1 to 12, Col 2.</v>
      </c>
      <c r="C189" s="14"/>
      <c r="D189" s="14"/>
      <c r="E189" s="14"/>
      <c r="F189" s="14"/>
      <c r="G189" s="14"/>
      <c r="H189" s="14"/>
      <c r="I189" s="14"/>
      <c r="J189" s="14"/>
      <c r="K189" s="14"/>
    </row>
    <row r="190" spans="1:11">
      <c r="B190" s="120" t="str">
        <f>"ROE Adder is from Lines "&amp;A66&amp;" and "&amp;A67&amp;".  FF Expenses is based on FF Factor on 28-FFU."</f>
        <v>ROE Adder is from Lines 35 and 36.  FF Expenses is based on FF Factor on 28-FFU.</v>
      </c>
      <c r="C190" s="14"/>
      <c r="D190" s="14"/>
      <c r="E190" s="14"/>
      <c r="F190" s="14"/>
      <c r="G190" s="14"/>
      <c r="H190" s="14"/>
      <c r="I190" s="14"/>
      <c r="J190" s="14"/>
      <c r="K190" s="14"/>
    </row>
    <row r="191" spans="1:11">
      <c r="B191" s="15" t="str">
        <f>"4) Project contribution to total IFPTRR is based on fraction of Forecast Period CWIP Balances on Lines "&amp;A9&amp;" to "&amp;A20&amp;", Col 3."</f>
        <v>4) Project contribution to total IFPTRR is based on fraction of Forecast Period CWIP Balances on Lines 1 to 12, Col 3.</v>
      </c>
      <c r="C191" s="14"/>
      <c r="D191" s="14"/>
      <c r="E191" s="14"/>
      <c r="F191" s="14"/>
      <c r="G191" s="14"/>
      <c r="H191" s="14"/>
      <c r="I191" s="14"/>
      <c r="J191" s="14"/>
      <c r="K191" s="14"/>
    </row>
    <row r="192" spans="1:11">
      <c r="B192" s="15" t="str">
        <f>"5) Column 1 is from Lines "&amp;A77&amp;" to "&amp;A87&amp;", Sum of Column 1-3 (no FF&amp;U)."</f>
        <v>5) Column 1 is from Lines 39 to 49, Sum of Column 1-3 (no FF&amp;U).</v>
      </c>
      <c r="C192" s="14"/>
      <c r="D192" s="14"/>
      <c r="E192" s="14"/>
      <c r="F192" s="14"/>
      <c r="G192" s="14"/>
      <c r="H192" s="14"/>
      <c r="I192" s="14"/>
      <c r="J192" s="14"/>
      <c r="K192" s="14"/>
    </row>
    <row r="193" spans="2:11">
      <c r="B193" s="46" t="str">
        <f>"Column 2 is from Lines "&amp;A120&amp;" to "&amp;A130&amp;" (no FF&amp;U)."</f>
        <v>Column 2 is from Lines 68 to 78 (no FF&amp;U).</v>
      </c>
      <c r="C193" s="14"/>
      <c r="D193" s="14"/>
      <c r="E193" s="14"/>
      <c r="F193" s="14"/>
      <c r="G193" s="14"/>
      <c r="H193" s="14"/>
      <c r="I193" s="14"/>
      <c r="J193" s="14"/>
      <c r="K193" s="14"/>
    </row>
    <row r="194" spans="2:11">
      <c r="B194" s="521" t="str">
        <f>"Column 3 is the product of (C1 + C2) and the sum of FF and U factors (28-FFU, L"&amp;'28-FFU'!A22&amp;")"</f>
        <v>Column 3 is the product of (C1 + C2) and the sum of FF and U factors (28-FFU, L5)</v>
      </c>
      <c r="C194" s="14"/>
      <c r="D194" s="14"/>
      <c r="E194" s="14"/>
      <c r="F194" s="14"/>
      <c r="G194" s="14"/>
      <c r="H194" s="14"/>
      <c r="I194" s="14"/>
      <c r="J194" s="14"/>
      <c r="K194" s="14"/>
    </row>
    <row r="195" spans="2:11">
      <c r="B195" s="522" t="s">
        <v>1673</v>
      </c>
    </row>
  </sheetData>
  <pageMargins left="0.7" right="0.7" top="0.75" bottom="0.75" header="0.3" footer="0.3"/>
  <pageSetup scale="70" orientation="portrait" cellComments="asDisplayed" r:id="rId1"/>
  <headerFooter>
    <oddHeader>&amp;CSchedule 24
CWIP TRR
&amp;RTO11 Draft Annual Update
Attachment 1</oddHeader>
    <oddFooter>&amp;R24-CWIPTRR</oddFooter>
  </headerFooter>
  <rowBreaks count="2" manualBreakCount="2">
    <brk id="70" max="16383" man="1"/>
    <brk id="132"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2"/>
  <sheetViews>
    <sheetView zoomScaleNormal="100" workbookViewId="0"/>
  </sheetViews>
  <sheetFormatPr defaultRowHeight="12.75"/>
  <cols>
    <col min="1" max="1" width="4.7109375" customWidth="1"/>
    <col min="6" max="6" width="11.7109375" customWidth="1"/>
    <col min="7" max="7" width="21.7109375" customWidth="1"/>
    <col min="8" max="9" width="14.7109375" customWidth="1"/>
  </cols>
  <sheetData>
    <row r="1" spans="1:12">
      <c r="A1" s="1" t="s">
        <v>1510</v>
      </c>
      <c r="B1" s="241"/>
      <c r="C1" s="241"/>
      <c r="D1" s="241"/>
      <c r="E1" s="241"/>
      <c r="F1" s="241"/>
      <c r="G1" s="241"/>
      <c r="H1" s="241"/>
      <c r="I1" s="241"/>
      <c r="J1" s="241"/>
      <c r="K1" s="241"/>
      <c r="L1" s="241"/>
    </row>
    <row r="2" spans="1:12">
      <c r="A2" s="1"/>
      <c r="B2" s="241"/>
      <c r="C2" s="241"/>
      <c r="D2" s="241"/>
      <c r="E2" s="241"/>
      <c r="F2" s="241"/>
      <c r="G2" s="241"/>
      <c r="H2" s="490" t="s">
        <v>17</v>
      </c>
      <c r="I2" s="429"/>
      <c r="J2" s="241"/>
      <c r="K2" s="241"/>
      <c r="L2" s="241"/>
    </row>
    <row r="3" spans="1:12">
      <c r="A3" s="1"/>
      <c r="B3" s="241" t="s">
        <v>1511</v>
      </c>
      <c r="C3" s="241"/>
      <c r="D3" s="241"/>
      <c r="E3" s="241"/>
      <c r="F3" s="241"/>
      <c r="G3" s="241"/>
      <c r="H3" s="251"/>
      <c r="I3" s="251"/>
      <c r="J3" s="241"/>
      <c r="K3" s="241"/>
      <c r="L3" s="241"/>
    </row>
    <row r="4" spans="1:12">
      <c r="A4" s="1"/>
      <c r="B4" s="251" t="s">
        <v>2189</v>
      </c>
      <c r="C4" s="251"/>
      <c r="D4" s="251"/>
      <c r="E4" s="251"/>
      <c r="F4" s="251"/>
      <c r="G4" s="251"/>
      <c r="H4" s="251"/>
      <c r="I4" s="251"/>
      <c r="J4" s="241"/>
      <c r="K4" s="241"/>
      <c r="L4" s="241"/>
    </row>
    <row r="5" spans="1:12">
      <c r="A5" s="1"/>
      <c r="B5" s="251" t="s">
        <v>1999</v>
      </c>
      <c r="C5" s="251"/>
      <c r="D5" s="251"/>
      <c r="E5" s="251"/>
      <c r="F5" s="251"/>
      <c r="G5" s="251"/>
      <c r="H5" s="251"/>
      <c r="I5" s="251"/>
      <c r="J5" s="241"/>
      <c r="K5" s="241"/>
      <c r="L5" s="241"/>
    </row>
    <row r="6" spans="1:12">
      <c r="A6" s="1"/>
      <c r="B6" s="251"/>
      <c r="C6" s="251"/>
      <c r="D6" s="251"/>
      <c r="E6" s="251"/>
      <c r="F6" s="251"/>
      <c r="G6" s="251"/>
      <c r="H6" s="251"/>
      <c r="I6" s="251"/>
      <c r="J6" s="241"/>
      <c r="K6" s="241"/>
      <c r="L6" s="241"/>
    </row>
    <row r="7" spans="1:12">
      <c r="A7" s="1"/>
      <c r="B7" s="251" t="s">
        <v>2190</v>
      </c>
      <c r="C7" s="251"/>
      <c r="D7" s="251"/>
      <c r="E7" s="251"/>
      <c r="F7" s="251"/>
      <c r="G7" s="251"/>
      <c r="H7" s="251"/>
      <c r="I7" s="251"/>
      <c r="J7" s="241"/>
      <c r="K7" s="241"/>
      <c r="L7" s="241"/>
    </row>
    <row r="8" spans="1:12">
      <c r="A8" s="1"/>
      <c r="B8" s="251" t="s">
        <v>1512</v>
      </c>
      <c r="C8" s="251"/>
      <c r="D8" s="251"/>
      <c r="E8" s="251"/>
      <c r="F8" s="251"/>
      <c r="G8" s="251"/>
      <c r="H8" s="251"/>
      <c r="I8" s="251"/>
      <c r="J8" s="241"/>
      <c r="K8" s="241"/>
      <c r="L8" s="241"/>
    </row>
    <row r="9" spans="1:12">
      <c r="A9" s="1"/>
      <c r="B9" s="251" t="s">
        <v>1513</v>
      </c>
      <c r="C9" s="251"/>
      <c r="D9" s="251"/>
      <c r="E9" s="251"/>
      <c r="F9" s="251"/>
      <c r="G9" s="251"/>
      <c r="H9" s="251"/>
      <c r="I9" s="251"/>
      <c r="J9" s="241"/>
      <c r="K9" s="241"/>
      <c r="L9" s="241"/>
    </row>
    <row r="10" spans="1:12">
      <c r="A10" s="1"/>
      <c r="B10" s="251"/>
      <c r="C10" s="251"/>
      <c r="D10" s="251"/>
      <c r="E10" s="251"/>
      <c r="F10" s="251"/>
      <c r="G10" s="251"/>
      <c r="H10" s="491" t="s">
        <v>1514</v>
      </c>
      <c r="I10" s="251"/>
      <c r="J10" s="241"/>
      <c r="K10" s="241"/>
      <c r="L10" s="241"/>
    </row>
    <row r="11" spans="1:12" ht="15">
      <c r="A11" s="1"/>
      <c r="B11" s="251"/>
      <c r="C11" s="251"/>
      <c r="D11" s="251"/>
      <c r="E11" s="251"/>
      <c r="F11" s="251"/>
      <c r="G11" s="491" t="s">
        <v>192</v>
      </c>
      <c r="H11" s="1099" t="s">
        <v>1515</v>
      </c>
      <c r="I11" s="491" t="s">
        <v>354</v>
      </c>
      <c r="J11" s="241"/>
      <c r="K11" s="241"/>
      <c r="L11" s="241"/>
    </row>
    <row r="12" spans="1:12">
      <c r="A12" s="52" t="s">
        <v>360</v>
      </c>
      <c r="B12" s="251"/>
      <c r="C12" s="251"/>
      <c r="D12" s="251"/>
      <c r="E12" s="251"/>
      <c r="F12" s="251"/>
      <c r="G12" s="492" t="s">
        <v>317</v>
      </c>
      <c r="H12" s="492" t="s">
        <v>317</v>
      </c>
      <c r="I12" s="492" t="s">
        <v>1516</v>
      </c>
      <c r="J12" s="241"/>
      <c r="K12" s="241"/>
      <c r="L12" s="241"/>
    </row>
    <row r="13" spans="1:12">
      <c r="A13" s="2">
        <v>1</v>
      </c>
      <c r="B13" s="251" t="s">
        <v>1517</v>
      </c>
      <c r="C13" s="251"/>
      <c r="D13" s="251"/>
      <c r="E13" s="251"/>
      <c r="F13" s="251"/>
      <c r="G13" s="493" t="s">
        <v>246</v>
      </c>
      <c r="H13" s="493" t="s">
        <v>246</v>
      </c>
      <c r="I13" s="1016" t="s">
        <v>248</v>
      </c>
      <c r="J13" s="241"/>
      <c r="K13" s="241"/>
      <c r="L13" s="241"/>
    </row>
    <row r="14" spans="1:12">
      <c r="A14" s="2">
        <f>A13+1</f>
        <v>2</v>
      </c>
      <c r="B14" s="251" t="s">
        <v>1518</v>
      </c>
      <c r="C14" s="251"/>
      <c r="D14" s="251"/>
      <c r="E14" s="251"/>
      <c r="F14" s="251"/>
      <c r="G14" s="493" t="s">
        <v>246</v>
      </c>
      <c r="H14" s="493" t="s">
        <v>246</v>
      </c>
      <c r="I14" s="493" t="s">
        <v>246</v>
      </c>
      <c r="J14" s="241"/>
      <c r="K14" s="241"/>
      <c r="L14" s="241"/>
    </row>
    <row r="15" spans="1:12">
      <c r="A15" s="117">
        <f>A14+1</f>
        <v>3</v>
      </c>
      <c r="B15" s="251" t="s">
        <v>1708</v>
      </c>
      <c r="C15" s="251"/>
      <c r="D15" s="251"/>
      <c r="E15" s="251"/>
      <c r="F15" s="251"/>
      <c r="G15" s="493" t="s">
        <v>246</v>
      </c>
      <c r="H15" s="493" t="s">
        <v>246</v>
      </c>
      <c r="I15" s="493" t="s">
        <v>246</v>
      </c>
      <c r="J15" s="241"/>
      <c r="K15" s="241"/>
      <c r="L15" s="241"/>
    </row>
    <row r="16" spans="1:12">
      <c r="A16" s="2">
        <f>A15+1</f>
        <v>4</v>
      </c>
      <c r="B16" s="251" t="s">
        <v>1519</v>
      </c>
      <c r="C16" s="251"/>
      <c r="D16" s="251"/>
      <c r="E16" s="251"/>
      <c r="F16" s="251"/>
      <c r="G16" s="493" t="s">
        <v>246</v>
      </c>
      <c r="H16" s="493" t="s">
        <v>246</v>
      </c>
      <c r="I16" s="493" t="s">
        <v>248</v>
      </c>
      <c r="J16" s="241"/>
      <c r="K16" s="241"/>
      <c r="L16" s="241"/>
    </row>
    <row r="17" spans="1:12">
      <c r="A17" s="2">
        <f>A16+1</f>
        <v>5</v>
      </c>
      <c r="B17" s="251" t="s">
        <v>1520</v>
      </c>
      <c r="C17" s="251"/>
      <c r="D17" s="251"/>
      <c r="E17" s="251"/>
      <c r="F17" s="251"/>
      <c r="G17" s="493" t="s">
        <v>248</v>
      </c>
      <c r="H17" s="493" t="s">
        <v>246</v>
      </c>
      <c r="I17" s="493" t="s">
        <v>248</v>
      </c>
      <c r="J17" s="241"/>
      <c r="K17" s="241"/>
      <c r="L17" s="241"/>
    </row>
    <row r="18" spans="1:12">
      <c r="A18" s="117">
        <f>A17+1</f>
        <v>6</v>
      </c>
      <c r="B18" s="251" t="s">
        <v>2439</v>
      </c>
      <c r="C18" s="251"/>
      <c r="D18" s="251"/>
      <c r="E18" s="251"/>
      <c r="F18" s="251"/>
      <c r="G18" s="493" t="s">
        <v>248</v>
      </c>
      <c r="H18" s="493" t="s">
        <v>246</v>
      </c>
      <c r="I18" s="493" t="s">
        <v>248</v>
      </c>
      <c r="J18" s="241"/>
      <c r="K18" s="241"/>
      <c r="L18" s="241"/>
    </row>
    <row r="19" spans="1:12">
      <c r="A19" s="241"/>
      <c r="B19" s="241"/>
      <c r="C19" s="494"/>
      <c r="D19" s="251"/>
      <c r="E19" s="251"/>
      <c r="F19" s="251"/>
      <c r="G19" s="241"/>
      <c r="H19" s="241"/>
      <c r="I19" s="241"/>
      <c r="J19" s="241"/>
      <c r="K19" s="241"/>
      <c r="L19" s="241"/>
    </row>
    <row r="20" spans="1:12">
      <c r="A20" s="241"/>
      <c r="B20" s="428" t="s">
        <v>1521</v>
      </c>
      <c r="C20" s="388"/>
      <c r="D20" s="251"/>
      <c r="E20" s="251"/>
      <c r="F20" s="251"/>
      <c r="G20" s="241"/>
      <c r="H20" s="241"/>
      <c r="I20" s="241"/>
      <c r="J20" s="241"/>
      <c r="K20" s="241"/>
      <c r="L20" s="241"/>
    </row>
    <row r="21" spans="1:12">
      <c r="A21" s="241"/>
      <c r="B21" s="428"/>
      <c r="C21" s="388"/>
      <c r="D21" s="251"/>
      <c r="E21" s="251"/>
      <c r="F21" s="251"/>
      <c r="G21" s="241"/>
      <c r="H21" s="241"/>
      <c r="I21" s="241"/>
      <c r="J21" s="241"/>
      <c r="K21" s="241"/>
      <c r="L21" s="241"/>
    </row>
    <row r="22" spans="1:12">
      <c r="A22" s="241"/>
      <c r="B22" s="495" t="s">
        <v>1522</v>
      </c>
      <c r="C22" s="390"/>
      <c r="D22" s="251"/>
      <c r="E22" s="251"/>
      <c r="F22" s="251"/>
      <c r="G22" s="241"/>
      <c r="H22" s="241"/>
      <c r="I22" s="241"/>
      <c r="J22" s="241"/>
      <c r="K22" s="241"/>
      <c r="L22" s="241"/>
    </row>
    <row r="23" spans="1:12">
      <c r="A23" s="241"/>
      <c r="B23" s="260" t="s">
        <v>1523</v>
      </c>
      <c r="C23" s="390"/>
      <c r="D23" s="251"/>
      <c r="E23" s="251"/>
      <c r="F23" s="251"/>
      <c r="G23" s="241"/>
      <c r="H23" s="241"/>
      <c r="I23" s="241"/>
      <c r="J23" s="241"/>
      <c r="K23" s="241"/>
      <c r="L23" s="241"/>
    </row>
    <row r="24" spans="1:12">
      <c r="A24" s="241"/>
      <c r="B24" s="260" t="s">
        <v>1524</v>
      </c>
      <c r="C24" s="241"/>
      <c r="D24" s="241"/>
      <c r="E24" s="241"/>
      <c r="F24" s="241"/>
      <c r="G24" s="241"/>
      <c r="H24" s="241"/>
      <c r="I24" s="241"/>
      <c r="J24" s="241"/>
      <c r="K24" s="241"/>
      <c r="L24" s="241"/>
    </row>
    <row r="25" spans="1:12">
      <c r="A25" s="241"/>
      <c r="B25" s="241"/>
      <c r="C25" s="241"/>
      <c r="D25" s="241"/>
      <c r="E25" s="241"/>
      <c r="F25" s="241"/>
      <c r="G25" s="241"/>
      <c r="H25" s="91" t="s">
        <v>394</v>
      </c>
      <c r="I25" s="91" t="s">
        <v>378</v>
      </c>
      <c r="J25" s="241"/>
      <c r="K25" s="241"/>
      <c r="L25" s="241"/>
    </row>
    <row r="26" spans="1:12">
      <c r="A26" s="241"/>
      <c r="B26" s="241"/>
      <c r="C26" s="241"/>
      <c r="D26" s="241"/>
      <c r="E26" s="241"/>
      <c r="F26" s="241"/>
      <c r="G26" s="241"/>
      <c r="H26" s="496" t="s">
        <v>1525</v>
      </c>
      <c r="I26" s="241"/>
      <c r="J26" s="241"/>
      <c r="K26" s="241"/>
      <c r="L26" s="241"/>
    </row>
    <row r="27" spans="1:12">
      <c r="A27" s="241"/>
      <c r="B27" s="241"/>
      <c r="C27" s="241"/>
      <c r="D27" s="241"/>
      <c r="E27" s="241"/>
      <c r="F27" s="241"/>
      <c r="G27" s="241"/>
      <c r="H27" s="496" t="s">
        <v>317</v>
      </c>
      <c r="I27" s="244" t="s">
        <v>1526</v>
      </c>
      <c r="J27" s="241"/>
      <c r="K27" s="241"/>
      <c r="L27" s="241"/>
    </row>
    <row r="28" spans="1:12">
      <c r="A28" s="241"/>
      <c r="B28" s="241"/>
      <c r="C28" s="241"/>
      <c r="D28" s="241"/>
      <c r="E28" s="241"/>
      <c r="F28" s="241"/>
      <c r="G28" s="26" t="s">
        <v>213</v>
      </c>
      <c r="H28" s="244" t="s">
        <v>1527</v>
      </c>
      <c r="I28" s="244" t="s">
        <v>1528</v>
      </c>
      <c r="J28" s="241"/>
      <c r="K28" s="241"/>
      <c r="L28" s="241"/>
    </row>
    <row r="29" spans="1:12" ht="15">
      <c r="A29" s="52"/>
      <c r="B29" s="241"/>
      <c r="C29" s="241"/>
      <c r="D29" s="241"/>
      <c r="E29" s="241"/>
      <c r="F29" s="241"/>
      <c r="G29" s="25" t="s">
        <v>198</v>
      </c>
      <c r="H29" s="497" t="s">
        <v>1529</v>
      </c>
      <c r="I29" s="256" t="s">
        <v>1515</v>
      </c>
      <c r="J29" s="379"/>
      <c r="K29" s="241"/>
      <c r="L29" s="241"/>
    </row>
    <row r="30" spans="1:12">
      <c r="A30" s="117">
        <f>A18+1</f>
        <v>7</v>
      </c>
      <c r="B30" s="251"/>
      <c r="C30" s="251" t="s">
        <v>1530</v>
      </c>
      <c r="D30" s="251"/>
      <c r="E30" s="251"/>
      <c r="F30" s="251"/>
      <c r="G30" s="46" t="s">
        <v>1531</v>
      </c>
      <c r="H30" s="245">
        <v>31556000</v>
      </c>
      <c r="I30" s="243">
        <v>-2176300</v>
      </c>
      <c r="J30" s="241"/>
      <c r="K30" s="241"/>
      <c r="L30" s="241"/>
    </row>
    <row r="31" spans="1:12">
      <c r="A31" s="117">
        <f>A30+1</f>
        <v>8</v>
      </c>
      <c r="B31" s="251"/>
      <c r="C31" s="251" t="s">
        <v>1532</v>
      </c>
      <c r="D31" s="251"/>
      <c r="E31" s="251"/>
      <c r="F31" s="251"/>
      <c r="G31" s="46" t="s">
        <v>1531</v>
      </c>
      <c r="H31" s="243">
        <v>-35044000</v>
      </c>
      <c r="I31" s="243">
        <v>2503000</v>
      </c>
      <c r="J31" s="241"/>
      <c r="K31" s="241"/>
      <c r="L31" s="241"/>
    </row>
    <row r="32" spans="1:12">
      <c r="A32" s="117">
        <f>A31+1</f>
        <v>9</v>
      </c>
      <c r="B32" s="251"/>
      <c r="C32" s="251" t="s">
        <v>1709</v>
      </c>
      <c r="D32" s="251"/>
      <c r="E32" s="251"/>
      <c r="F32" s="251"/>
      <c r="G32" s="46" t="s">
        <v>1531</v>
      </c>
      <c r="H32" s="245">
        <v>-624650</v>
      </c>
      <c r="I32" s="245">
        <v>43100</v>
      </c>
      <c r="J32" s="241"/>
      <c r="K32" s="241"/>
      <c r="L32" s="241"/>
    </row>
    <row r="33" spans="1:12">
      <c r="A33" s="117">
        <f>A32+1</f>
        <v>10</v>
      </c>
      <c r="B33" s="251"/>
      <c r="C33" s="251" t="s">
        <v>1533</v>
      </c>
      <c r="D33" s="251"/>
      <c r="E33" s="251"/>
      <c r="F33" s="251"/>
      <c r="G33" s="46" t="s">
        <v>1531</v>
      </c>
      <c r="H33" s="378">
        <v>-7410000</v>
      </c>
      <c r="I33" s="498">
        <v>511200</v>
      </c>
      <c r="J33" s="241"/>
      <c r="K33" s="241"/>
      <c r="L33" s="241"/>
    </row>
    <row r="34" spans="1:12">
      <c r="A34" s="117">
        <f>A33+1</f>
        <v>11</v>
      </c>
      <c r="B34" s="251"/>
      <c r="C34" s="251"/>
      <c r="D34" s="251"/>
      <c r="E34" s="251"/>
      <c r="F34" s="14"/>
      <c r="G34" s="1039" t="s">
        <v>216</v>
      </c>
      <c r="H34" s="243">
        <f>SUM(H30:H33)</f>
        <v>-11522650</v>
      </c>
      <c r="I34" s="243">
        <f>SUM(I30:I33)</f>
        <v>881000</v>
      </c>
      <c r="J34" s="241"/>
      <c r="K34" s="241"/>
      <c r="L34" s="241"/>
    </row>
    <row r="35" spans="1:12">
      <c r="A35" s="117"/>
      <c r="B35" s="251"/>
      <c r="C35" s="251"/>
      <c r="D35" s="251"/>
      <c r="E35" s="251"/>
      <c r="F35" s="14"/>
      <c r="G35" s="1039"/>
      <c r="H35" s="243"/>
      <c r="I35" s="243"/>
      <c r="J35" s="241"/>
      <c r="K35" s="241"/>
      <c r="L35" s="241"/>
    </row>
    <row r="36" spans="1:12">
      <c r="A36" s="117"/>
      <c r="B36" s="1100" t="s">
        <v>1534</v>
      </c>
      <c r="C36" s="251"/>
      <c r="D36" s="251"/>
      <c r="E36" s="251"/>
      <c r="F36" s="14"/>
      <c r="G36" s="1039"/>
      <c r="H36" s="243"/>
      <c r="I36" s="243"/>
      <c r="J36" s="241"/>
      <c r="K36" s="241"/>
      <c r="L36" s="241"/>
    </row>
    <row r="37" spans="1:12">
      <c r="A37" s="117"/>
      <c r="B37" s="503" t="s">
        <v>1854</v>
      </c>
      <c r="C37" s="251"/>
      <c r="D37" s="251"/>
      <c r="E37" s="251"/>
      <c r="F37" s="14"/>
      <c r="G37" s="1039"/>
      <c r="H37" s="243"/>
      <c r="I37" s="243"/>
      <c r="J37" s="241"/>
      <c r="K37" s="241"/>
      <c r="L37" s="241"/>
    </row>
    <row r="38" spans="1:12">
      <c r="A38" s="117"/>
      <c r="B38" s="503" t="s">
        <v>1535</v>
      </c>
      <c r="C38" s="251"/>
      <c r="D38" s="251"/>
      <c r="E38" s="251"/>
      <c r="F38" s="14"/>
      <c r="G38" s="1039"/>
      <c r="H38" s="243"/>
      <c r="I38" s="243"/>
      <c r="J38" s="241"/>
      <c r="K38" s="241"/>
      <c r="L38" s="241"/>
    </row>
    <row r="39" spans="1:12">
      <c r="A39" s="491"/>
      <c r="B39" s="251"/>
      <c r="C39" s="251"/>
      <c r="D39" s="251"/>
      <c r="E39" s="251"/>
      <c r="F39" s="251"/>
      <c r="G39" s="461" t="s">
        <v>213</v>
      </c>
      <c r="H39" s="241"/>
      <c r="I39" s="241"/>
      <c r="J39" s="241"/>
      <c r="K39" s="241"/>
      <c r="L39" s="241"/>
    </row>
    <row r="40" spans="1:12">
      <c r="A40" s="491"/>
      <c r="B40" s="1101"/>
      <c r="C40" s="388"/>
      <c r="D40" s="251"/>
      <c r="E40" s="251"/>
      <c r="F40" s="251"/>
      <c r="G40" s="29" t="s">
        <v>198</v>
      </c>
      <c r="H40" s="3" t="s">
        <v>190</v>
      </c>
      <c r="I40" s="500" t="s">
        <v>1536</v>
      </c>
      <c r="J40" s="241"/>
      <c r="K40" s="241"/>
      <c r="L40" s="241"/>
    </row>
    <row r="41" spans="1:12">
      <c r="A41" s="117">
        <f>A34+1</f>
        <v>12</v>
      </c>
      <c r="B41" s="503" t="s">
        <v>1537</v>
      </c>
      <c r="C41" s="251"/>
      <c r="D41" s="251"/>
      <c r="E41" s="251"/>
      <c r="F41" s="251"/>
      <c r="G41" s="503" t="str">
        <f>"2-IFPTRR Line "&amp;'2-IFPTRR'!A25&amp;""</f>
        <v>2-IFPTRR Line 16</v>
      </c>
      <c r="H41" s="377">
        <f>'2-IFPTRR'!D25</f>
        <v>0.10764534533632783</v>
      </c>
      <c r="I41" s="262">
        <v>1</v>
      </c>
      <c r="J41" s="241"/>
      <c r="K41" s="241"/>
      <c r="L41" s="241"/>
    </row>
    <row r="42" spans="1:12">
      <c r="A42" s="117">
        <f>A41+1</f>
        <v>13</v>
      </c>
      <c r="B42" s="503" t="s">
        <v>73</v>
      </c>
      <c r="C42" s="251"/>
      <c r="D42" s="251"/>
      <c r="E42" s="251"/>
      <c r="F42" s="251"/>
      <c r="G42" s="503"/>
      <c r="H42" s="501">
        <v>2015</v>
      </c>
      <c r="I42" s="262">
        <v>2</v>
      </c>
      <c r="J42" s="241"/>
      <c r="K42" s="241"/>
      <c r="L42" s="241"/>
    </row>
    <row r="43" spans="1:12">
      <c r="A43" s="117">
        <f>A42+1</f>
        <v>14</v>
      </c>
      <c r="B43" s="503" t="s">
        <v>1538</v>
      </c>
      <c r="C43" s="251"/>
      <c r="D43" s="251"/>
      <c r="E43" s="251"/>
      <c r="F43" s="251"/>
      <c r="G43" s="245"/>
      <c r="H43" s="243">
        <f>H34+ (I34*(H42-2010))</f>
        <v>-7117650</v>
      </c>
      <c r="I43" s="262">
        <v>3</v>
      </c>
      <c r="J43" s="241"/>
      <c r="K43" s="241"/>
      <c r="L43" s="241"/>
    </row>
    <row r="44" spans="1:12">
      <c r="A44" s="117">
        <f>A43+1</f>
        <v>15</v>
      </c>
      <c r="B44" s="503" t="s">
        <v>1539</v>
      </c>
      <c r="C44" s="388"/>
      <c r="D44" s="251"/>
      <c r="E44" s="251"/>
      <c r="F44" s="251"/>
      <c r="G44" s="46" t="str">
        <f>"Line "&amp;A43&amp;" * Line "&amp;A41&amp;""</f>
        <v>Line 14 * Line 12</v>
      </c>
      <c r="H44" s="243">
        <f xml:space="preserve"> H43*H41</f>
        <v>-766181.89223311376</v>
      </c>
      <c r="I44" s="241"/>
      <c r="J44" s="241"/>
      <c r="K44" s="241"/>
      <c r="L44" s="241"/>
    </row>
    <row r="45" spans="1:12">
      <c r="A45" s="14"/>
      <c r="B45" s="14"/>
      <c r="C45" s="14"/>
      <c r="D45" s="14"/>
      <c r="E45" s="14"/>
      <c r="F45" s="14"/>
      <c r="G45" s="14"/>
      <c r="L45" s="241"/>
    </row>
    <row r="46" spans="1:12">
      <c r="B46" s="428" t="s">
        <v>1714</v>
      </c>
      <c r="L46" s="241"/>
    </row>
    <row r="47" spans="1:12">
      <c r="L47" s="241"/>
    </row>
    <row r="48" spans="1:12">
      <c r="B48" s="241" t="str">
        <f>"The annual Wholesale Expense Difference impact is the negative of amounts stated in Lines "&amp;A30&amp;" to "&amp;A33&amp;" above, Column 2."</f>
        <v>The annual Wholesale Expense Difference impact is the negative of amounts stated in Lines 7 to 10 above, Column 2.</v>
      </c>
      <c r="L48" s="241"/>
    </row>
    <row r="49" spans="1:12">
      <c r="B49" s="241" t="s">
        <v>1565</v>
      </c>
      <c r="L49" s="241"/>
    </row>
    <row r="50" spans="1:12">
      <c r="A50" s="241"/>
      <c r="B50" s="241" t="s">
        <v>1855</v>
      </c>
      <c r="C50" s="241"/>
      <c r="D50" s="241"/>
      <c r="E50" s="241"/>
      <c r="F50" s="241"/>
      <c r="G50" s="241"/>
      <c r="H50" s="241"/>
      <c r="I50" s="241"/>
      <c r="J50" s="241"/>
      <c r="K50" s="241"/>
      <c r="L50" s="241"/>
    </row>
    <row r="52" spans="1:12">
      <c r="A52" s="241"/>
      <c r="B52" s="75" t="s">
        <v>1540</v>
      </c>
      <c r="C52" s="241"/>
      <c r="D52" s="241"/>
      <c r="E52" s="241"/>
      <c r="F52" s="241"/>
      <c r="G52" s="241"/>
      <c r="H52" s="241"/>
      <c r="I52" s="241"/>
      <c r="J52" s="241"/>
      <c r="K52" s="241"/>
      <c r="L52" s="241"/>
    </row>
    <row r="53" spans="1:12">
      <c r="A53" s="241"/>
      <c r="B53" s="241"/>
      <c r="C53" s="241"/>
      <c r="D53" s="241"/>
      <c r="E53" s="241"/>
      <c r="F53" s="241"/>
      <c r="G53" s="26"/>
      <c r="H53" s="241"/>
      <c r="I53" s="241"/>
      <c r="J53" s="241"/>
      <c r="K53" s="241"/>
      <c r="L53" s="241"/>
    </row>
    <row r="54" spans="1:12">
      <c r="B54" s="241"/>
      <c r="C54" s="241"/>
      <c r="D54" s="241"/>
      <c r="E54" s="241"/>
      <c r="F54" s="241"/>
      <c r="G54" s="25" t="s">
        <v>198</v>
      </c>
      <c r="H54" s="3" t="s">
        <v>190</v>
      </c>
      <c r="I54" s="241"/>
      <c r="J54" s="379"/>
      <c r="K54" s="241"/>
      <c r="L54" s="241"/>
    </row>
    <row r="55" spans="1:12">
      <c r="A55" s="117">
        <f>A44+1</f>
        <v>16</v>
      </c>
      <c r="B55" s="503" t="s">
        <v>1541</v>
      </c>
      <c r="C55" s="251"/>
      <c r="D55" s="251"/>
      <c r="E55" s="251"/>
      <c r="F55" s="251"/>
      <c r="G55" s="46" t="str">
        <f>"Line "&amp;A31&amp;""</f>
        <v>Line 8</v>
      </c>
      <c r="H55" s="243">
        <f>I31</f>
        <v>2503000</v>
      </c>
      <c r="I55" s="241"/>
      <c r="J55" s="241"/>
      <c r="K55" s="241"/>
      <c r="L55" s="241"/>
    </row>
    <row r="56" spans="1:12">
      <c r="A56" s="117">
        <f>A55+1</f>
        <v>17</v>
      </c>
      <c r="B56" s="46" t="s">
        <v>319</v>
      </c>
      <c r="C56" s="251"/>
      <c r="D56" s="251"/>
      <c r="E56" s="251"/>
      <c r="F56" s="251"/>
      <c r="G56" s="503" t="str">
        <f>"1-BaseTRR L "&amp;'1-BaseTRR'!A102&amp;""</f>
        <v>1-BaseTRR L 58</v>
      </c>
      <c r="H56" s="425">
        <f>'1-BaseTRR'!K102</f>
        <v>0.40754725118781476</v>
      </c>
      <c r="I56" s="241"/>
      <c r="J56" s="241"/>
      <c r="K56" s="241"/>
      <c r="L56" s="241"/>
    </row>
    <row r="57" spans="1:12">
      <c r="A57" s="117">
        <f>A56+1</f>
        <v>18</v>
      </c>
      <c r="B57" s="46" t="s">
        <v>1564</v>
      </c>
      <c r="C57" s="251"/>
      <c r="D57" s="251"/>
      <c r="E57" s="251"/>
      <c r="F57" s="251"/>
      <c r="G57" s="74" t="s">
        <v>318</v>
      </c>
      <c r="H57" s="502">
        <f>1/(1-H56)</f>
        <v>1.6878983210136345</v>
      </c>
      <c r="I57" s="241"/>
      <c r="J57" s="241"/>
      <c r="K57" s="241"/>
      <c r="L57" s="241"/>
    </row>
    <row r="58" spans="1:12">
      <c r="A58" s="117">
        <f>A57+1</f>
        <v>19</v>
      </c>
      <c r="B58" s="46" t="s">
        <v>362</v>
      </c>
      <c r="C58" s="251"/>
      <c r="D58" s="251"/>
      <c r="E58" s="251"/>
      <c r="F58" s="251"/>
      <c r="G58" s="251"/>
      <c r="H58" s="241"/>
      <c r="I58" s="241"/>
      <c r="J58" s="241"/>
      <c r="K58" s="241"/>
      <c r="L58" s="241"/>
    </row>
    <row r="59" spans="1:12">
      <c r="A59" s="117">
        <f>A58+1</f>
        <v>20</v>
      </c>
      <c r="B59" s="46" t="s">
        <v>361</v>
      </c>
      <c r="C59" s="251"/>
      <c r="D59" s="251"/>
      <c r="E59" s="251"/>
      <c r="F59" s="251"/>
      <c r="G59" s="46" t="str">
        <f>"- Line "&amp;A55&amp;" * Line "&amp;A57&amp;""</f>
        <v>- Line 16 * Line 18</v>
      </c>
      <c r="H59" s="243">
        <f>-H57*H55</f>
        <v>-4224809.4974971274</v>
      </c>
      <c r="I59" s="241"/>
      <c r="J59" s="241"/>
      <c r="K59" s="241"/>
      <c r="L59" s="241"/>
    </row>
    <row r="60" spans="1:12">
      <c r="A60" s="14"/>
      <c r="B60" s="14"/>
      <c r="C60" s="14"/>
      <c r="D60" s="14"/>
      <c r="E60" s="14"/>
      <c r="F60" s="14"/>
      <c r="G60" s="14"/>
    </row>
    <row r="61" spans="1:12">
      <c r="A61" s="14"/>
      <c r="B61" s="1102" t="s">
        <v>1711</v>
      </c>
      <c r="C61" s="14"/>
      <c r="D61" s="14"/>
      <c r="E61" s="14"/>
      <c r="F61" s="14"/>
      <c r="G61" s="14"/>
    </row>
    <row r="62" spans="1:12">
      <c r="A62" s="14"/>
      <c r="B62" s="14"/>
      <c r="C62" s="14"/>
      <c r="D62" s="14"/>
      <c r="E62" s="14"/>
      <c r="F62" s="14"/>
      <c r="G62" s="14"/>
    </row>
    <row r="63" spans="1:12">
      <c r="A63" s="14"/>
      <c r="B63" s="14"/>
      <c r="C63" s="14"/>
      <c r="D63" s="14"/>
      <c r="E63" s="14"/>
      <c r="F63" s="14"/>
      <c r="G63" s="29" t="s">
        <v>198</v>
      </c>
      <c r="H63" s="3" t="s">
        <v>190</v>
      </c>
    </row>
    <row r="64" spans="1:12">
      <c r="A64" s="117">
        <f>A59+1</f>
        <v>21</v>
      </c>
      <c r="B64" s="503" t="s">
        <v>1710</v>
      </c>
      <c r="C64" s="14"/>
      <c r="D64" s="14"/>
      <c r="E64" s="14"/>
      <c r="F64" s="14"/>
      <c r="G64" s="46" t="str">
        <f>"Line "&amp;A32&amp;""</f>
        <v>Line 9</v>
      </c>
      <c r="H64" s="7">
        <f>I32</f>
        <v>43100</v>
      </c>
    </row>
    <row r="65" spans="1:12">
      <c r="A65" s="117">
        <f>A64+1</f>
        <v>22</v>
      </c>
      <c r="B65" s="46" t="s">
        <v>1564</v>
      </c>
      <c r="C65" s="251"/>
      <c r="D65" s="251"/>
      <c r="E65" s="251"/>
      <c r="F65" s="251"/>
      <c r="G65" s="46" t="str">
        <f>"Line "&amp;A57&amp;""</f>
        <v>Line 18</v>
      </c>
      <c r="H65" s="502">
        <f>H57</f>
        <v>1.6878983210136345</v>
      </c>
    </row>
    <row r="66" spans="1:12">
      <c r="A66" s="117">
        <f>A65+1</f>
        <v>23</v>
      </c>
      <c r="B66" s="503" t="s">
        <v>1712</v>
      </c>
      <c r="C66" s="14"/>
      <c r="D66" s="14"/>
      <c r="E66" s="14"/>
      <c r="F66" s="14"/>
      <c r="G66" s="46" t="str">
        <f>"- Line "&amp;A64&amp;" * Line "&amp;A65&amp;""</f>
        <v>- Line 21 * Line 22</v>
      </c>
      <c r="H66" s="7">
        <f>-H64*H65</f>
        <v>-72748.417635687641</v>
      </c>
    </row>
    <row r="67" spans="1:12">
      <c r="A67" s="117">
        <f t="shared" ref="A67:A74" si="0">A66+1</f>
        <v>24</v>
      </c>
      <c r="B67" s="503"/>
      <c r="C67" s="14"/>
      <c r="D67" s="14"/>
      <c r="E67" s="14"/>
      <c r="F67" s="14"/>
      <c r="G67" s="46"/>
      <c r="H67" s="7"/>
    </row>
    <row r="68" spans="1:12">
      <c r="A68" s="117">
        <f t="shared" si="0"/>
        <v>25</v>
      </c>
      <c r="B68" s="1102" t="s">
        <v>2440</v>
      </c>
      <c r="C68" s="14"/>
      <c r="D68" s="14"/>
      <c r="E68" s="14"/>
      <c r="F68" s="14"/>
      <c r="G68" s="46"/>
      <c r="H68" s="7"/>
    </row>
    <row r="69" spans="1:12">
      <c r="A69" s="117">
        <f t="shared" si="0"/>
        <v>26</v>
      </c>
      <c r="B69" s="503"/>
      <c r="C69" s="14"/>
      <c r="D69" s="14"/>
      <c r="E69" s="14"/>
      <c r="F69" s="14"/>
      <c r="G69" s="29" t="s">
        <v>198</v>
      </c>
      <c r="H69" s="7"/>
      <c r="I69" s="619" t="s">
        <v>1536</v>
      </c>
    </row>
    <row r="70" spans="1:12">
      <c r="A70" s="117">
        <f t="shared" si="0"/>
        <v>27</v>
      </c>
      <c r="B70" s="503" t="s">
        <v>2191</v>
      </c>
      <c r="C70" s="14"/>
      <c r="D70" s="14"/>
      <c r="E70" s="14"/>
      <c r="F70" s="14"/>
      <c r="G70" s="521" t="s">
        <v>33</v>
      </c>
      <c r="H70" s="114">
        <v>688999.71</v>
      </c>
      <c r="I70" s="521" t="s">
        <v>1310</v>
      </c>
    </row>
    <row r="71" spans="1:12">
      <c r="A71" s="117">
        <f t="shared" si="0"/>
        <v>28</v>
      </c>
      <c r="B71" s="503" t="s">
        <v>2441</v>
      </c>
      <c r="C71" s="14"/>
      <c r="D71" s="14"/>
      <c r="E71" s="14"/>
      <c r="F71" s="14"/>
      <c r="G71" s="521" t="s">
        <v>33</v>
      </c>
      <c r="H71" s="114">
        <v>1631278.68</v>
      </c>
    </row>
    <row r="72" spans="1:12">
      <c r="A72" s="117">
        <f t="shared" si="0"/>
        <v>29</v>
      </c>
      <c r="B72" s="503" t="s">
        <v>2443</v>
      </c>
      <c r="C72" s="14"/>
      <c r="D72" s="14"/>
      <c r="E72" s="14"/>
      <c r="F72" s="14"/>
      <c r="G72" s="1028" t="str">
        <f>"Line "&amp;A70&amp;" + "&amp;A71&amp;""</f>
        <v>Line 27 + 28</v>
      </c>
      <c r="H72" s="1103">
        <f>SUM(H70:H71)</f>
        <v>2320278.3899999997</v>
      </c>
    </row>
    <row r="73" spans="1:12">
      <c r="A73" s="117">
        <f t="shared" si="0"/>
        <v>30</v>
      </c>
      <c r="B73" s="503" t="s">
        <v>104</v>
      </c>
      <c r="C73" s="14"/>
      <c r="D73" s="14"/>
      <c r="E73" s="14"/>
      <c r="F73" s="14"/>
      <c r="G73" s="503" t="str">
        <f>"27-Allocators, Line "&amp;'27-Allocators'!A15&amp;""</f>
        <v>27-Allocators, Line 9</v>
      </c>
      <c r="H73" s="49">
        <f>'27-Allocators'!G15</f>
        <v>6.0220089469584258E-2</v>
      </c>
    </row>
    <row r="74" spans="1:12">
      <c r="A74" s="117">
        <f t="shared" si="0"/>
        <v>31</v>
      </c>
      <c r="B74" s="503" t="s">
        <v>2442</v>
      </c>
      <c r="C74" s="14"/>
      <c r="D74" s="14"/>
      <c r="E74" s="14"/>
      <c r="F74" s="14"/>
      <c r="G74" s="1028" t="str">
        <f>"Line "&amp;A72&amp;" * "&amp;A73&amp;""</f>
        <v>Line 29 * 30</v>
      </c>
      <c r="H74" s="64">
        <f>H72*H73</f>
        <v>139727.3722401429</v>
      </c>
    </row>
    <row r="76" spans="1:12">
      <c r="A76" s="251"/>
      <c r="B76" s="1100" t="s">
        <v>2192</v>
      </c>
      <c r="C76" s="251"/>
      <c r="D76" s="251"/>
      <c r="E76" s="251"/>
      <c r="F76" s="251"/>
      <c r="G76" s="251"/>
      <c r="H76" s="251"/>
      <c r="I76" s="500" t="s">
        <v>1536</v>
      </c>
      <c r="J76" s="241"/>
      <c r="K76" s="241"/>
      <c r="L76" s="241"/>
    </row>
    <row r="77" spans="1:12">
      <c r="A77" s="117">
        <f>A74+1</f>
        <v>32</v>
      </c>
      <c r="B77" s="494" t="s">
        <v>1731</v>
      </c>
      <c r="C77" s="251"/>
      <c r="D77" s="251"/>
      <c r="E77" s="251"/>
      <c r="F77" s="251"/>
      <c r="G77" s="503" t="str">
        <f>" - Line "&amp;A30&amp;", Col. 2"</f>
        <v xml:space="preserve"> - Line 7, Col. 2</v>
      </c>
      <c r="H77" s="245">
        <f>-I30</f>
        <v>2176300</v>
      </c>
      <c r="I77" s="241"/>
      <c r="J77" s="241"/>
      <c r="K77" s="241"/>
      <c r="L77" s="241"/>
    </row>
    <row r="78" spans="1:12">
      <c r="A78" s="117">
        <f>A77+1</f>
        <v>33</v>
      </c>
      <c r="B78" s="494" t="s">
        <v>1532</v>
      </c>
      <c r="C78" s="251"/>
      <c r="D78" s="251"/>
      <c r="E78" s="251"/>
      <c r="F78" s="251"/>
      <c r="G78" s="503" t="str">
        <f>"Line "&amp;A59&amp;""</f>
        <v>Line 20</v>
      </c>
      <c r="H78" s="245">
        <f>H59</f>
        <v>-4224809.4974971274</v>
      </c>
      <c r="I78" s="241"/>
      <c r="J78" s="241"/>
      <c r="K78" s="241"/>
      <c r="L78" s="241"/>
    </row>
    <row r="79" spans="1:12">
      <c r="A79" s="117">
        <f>A78+1</f>
        <v>34</v>
      </c>
      <c r="B79" s="494" t="s">
        <v>1709</v>
      </c>
      <c r="C79" s="251"/>
      <c r="D79" s="251"/>
      <c r="E79" s="251"/>
      <c r="F79" s="251"/>
      <c r="G79" s="503" t="str">
        <f>"Line "&amp;A66&amp;""</f>
        <v>Line 23</v>
      </c>
      <c r="H79" s="245">
        <f>H66</f>
        <v>-72748.417635687641</v>
      </c>
      <c r="I79" s="241"/>
      <c r="J79" s="241"/>
      <c r="K79" s="241"/>
      <c r="L79" s="241"/>
    </row>
    <row r="80" spans="1:12">
      <c r="A80" s="117">
        <f>A79+1</f>
        <v>35</v>
      </c>
      <c r="B80" s="494" t="s">
        <v>1533</v>
      </c>
      <c r="C80" s="251"/>
      <c r="D80" s="251"/>
      <c r="E80" s="251"/>
      <c r="F80" s="251"/>
      <c r="G80" s="503" t="str">
        <f>"- Line "&amp;A33&amp;", Col. 2"</f>
        <v>- Line 10, Col. 2</v>
      </c>
      <c r="H80" s="245">
        <f>-I33</f>
        <v>-511200</v>
      </c>
      <c r="I80" s="241"/>
      <c r="J80" s="241"/>
      <c r="K80" s="241"/>
      <c r="L80" s="241"/>
    </row>
    <row r="81" spans="1:12">
      <c r="A81" s="117">
        <f t="shared" ref="A81:A82" si="1">A80+1</f>
        <v>36</v>
      </c>
      <c r="B81" s="494" t="s">
        <v>2444</v>
      </c>
      <c r="C81" s="251"/>
      <c r="D81" s="251"/>
      <c r="E81" s="251"/>
      <c r="F81" s="251"/>
      <c r="G81" s="1028" t="str">
        <f>" - Line "&amp;A74&amp;""</f>
        <v xml:space="preserve"> - Line 31</v>
      </c>
      <c r="H81" s="498">
        <f>-H74</f>
        <v>-139727.3722401429</v>
      </c>
      <c r="I81" s="241"/>
      <c r="J81" s="241"/>
      <c r="K81" s="241"/>
      <c r="L81" s="241"/>
    </row>
    <row r="82" spans="1:12">
      <c r="A82" s="117">
        <f t="shared" si="1"/>
        <v>37</v>
      </c>
      <c r="B82" s="251"/>
      <c r="C82" s="251"/>
      <c r="D82" s="251"/>
      <c r="E82" s="251"/>
      <c r="F82" s="251"/>
      <c r="G82" s="1039" t="s">
        <v>1542</v>
      </c>
      <c r="H82" s="245">
        <f>SUM(H77:H81)</f>
        <v>-2772185.2873729579</v>
      </c>
      <c r="I82" s="241"/>
      <c r="J82" s="241"/>
      <c r="K82" s="241"/>
      <c r="L82" s="241"/>
    </row>
    <row r="83" spans="1:12">
      <c r="A83" s="251"/>
      <c r="B83" s="251"/>
      <c r="C83" s="251"/>
      <c r="D83" s="251"/>
      <c r="E83" s="251"/>
      <c r="F83" s="251"/>
      <c r="G83" s="251"/>
      <c r="H83" s="251"/>
      <c r="I83" s="241"/>
      <c r="J83" s="241"/>
      <c r="K83" s="241"/>
      <c r="L83" s="241"/>
    </row>
    <row r="84" spans="1:12">
      <c r="A84" s="251"/>
      <c r="B84" s="1104" t="s">
        <v>1543</v>
      </c>
      <c r="C84" s="251"/>
      <c r="D84" s="251"/>
      <c r="E84" s="251"/>
      <c r="F84" s="251"/>
      <c r="G84" s="251"/>
      <c r="H84" s="251"/>
      <c r="I84" s="241"/>
      <c r="J84" s="241"/>
      <c r="K84" s="241"/>
      <c r="L84" s="241"/>
    </row>
    <row r="85" spans="1:12">
      <c r="A85" s="251"/>
      <c r="B85" s="14"/>
      <c r="C85" s="251"/>
      <c r="D85" s="251"/>
      <c r="E85" s="251"/>
      <c r="F85" s="251"/>
      <c r="G85" s="29" t="s">
        <v>198</v>
      </c>
      <c r="H85" s="131" t="s">
        <v>190</v>
      </c>
      <c r="I85" s="241"/>
      <c r="J85" s="241"/>
      <c r="K85" s="241"/>
      <c r="L85" s="241"/>
    </row>
    <row r="86" spans="1:12">
      <c r="A86" s="117">
        <f>A82+1</f>
        <v>38</v>
      </c>
      <c r="B86" s="1026" t="s">
        <v>1539</v>
      </c>
      <c r="C86" s="251"/>
      <c r="D86" s="251"/>
      <c r="E86" s="251"/>
      <c r="F86" s="251"/>
      <c r="G86" s="503" t="str">
        <f>"Line "&amp;A44&amp;""</f>
        <v>Line 15</v>
      </c>
      <c r="H86" s="245">
        <f>H44</f>
        <v>-766181.89223311376</v>
      </c>
      <c r="I86" s="241"/>
      <c r="J86" s="241"/>
      <c r="K86" s="241"/>
      <c r="L86" s="241"/>
    </row>
    <row r="87" spans="1:12">
      <c r="A87" s="117">
        <f>A86+1</f>
        <v>39</v>
      </c>
      <c r="B87" s="251" t="s">
        <v>1544</v>
      </c>
      <c r="C87" s="251"/>
      <c r="D87" s="251"/>
      <c r="E87" s="251"/>
      <c r="F87" s="251"/>
      <c r="G87" s="503" t="str">
        <f>"Line "&amp;A82&amp;""</f>
        <v>Line 37</v>
      </c>
      <c r="H87" s="245">
        <f>H82</f>
        <v>-2772185.2873729579</v>
      </c>
      <c r="I87" s="241"/>
      <c r="J87" s="241"/>
      <c r="K87" s="241"/>
      <c r="L87" s="241"/>
    </row>
    <row r="88" spans="1:12">
      <c r="A88" s="117">
        <f>A87+1</f>
        <v>40</v>
      </c>
      <c r="B88" s="15" t="s">
        <v>1633</v>
      </c>
      <c r="C88" s="251"/>
      <c r="D88" s="251"/>
      <c r="E88" s="251"/>
      <c r="F88" s="251"/>
      <c r="G88" s="503" t="str">
        <f>"- 1-Base TRR, L "&amp;'1-BaseTRR'!A139&amp;""</f>
        <v>- 1-Base TRR, L 79</v>
      </c>
      <c r="H88" s="245">
        <f>-'1-BaseTRR'!K139</f>
        <v>-2329642.937348505</v>
      </c>
      <c r="I88" s="241"/>
      <c r="J88" s="241"/>
      <c r="K88" s="241"/>
      <c r="L88" s="241"/>
    </row>
    <row r="89" spans="1:12">
      <c r="A89" s="117">
        <f t="shared" ref="A89:A92" si="2">A88+1</f>
        <v>41</v>
      </c>
      <c r="B89" s="15" t="s">
        <v>1634</v>
      </c>
      <c r="C89" s="251"/>
      <c r="D89" s="251"/>
      <c r="E89" s="251"/>
      <c r="F89" s="251"/>
      <c r="G89" s="503" t="str">
        <f>"- 2-IFPTRR, L "&amp;'2-IFPTRR'!A89&amp;""</f>
        <v>- 2-IFPTRR, L 80</v>
      </c>
      <c r="H89" s="498">
        <f>-'2-IFPTRR'!D89</f>
        <v>-247020.10682968347</v>
      </c>
      <c r="I89" s="241"/>
      <c r="J89" s="241"/>
      <c r="K89" s="241"/>
      <c r="L89" s="241"/>
    </row>
    <row r="90" spans="1:12">
      <c r="A90" s="117">
        <f t="shared" si="2"/>
        <v>42</v>
      </c>
      <c r="B90" s="15" t="s">
        <v>108</v>
      </c>
      <c r="C90" s="251"/>
      <c r="D90" s="251"/>
      <c r="E90" s="251"/>
      <c r="F90" s="251"/>
      <c r="G90" s="46" t="str">
        <f>"Sum Line "&amp;A86&amp;" to Line "&amp;A89&amp;""</f>
        <v>Sum Line 38 to Line 41</v>
      </c>
      <c r="H90" s="245">
        <f>SUM(H86:H89)</f>
        <v>-6115030.2237842595</v>
      </c>
      <c r="I90" s="241"/>
      <c r="J90" s="241"/>
      <c r="K90" s="241"/>
      <c r="L90" s="241"/>
    </row>
    <row r="91" spans="1:12">
      <c r="A91" s="117">
        <f t="shared" si="2"/>
        <v>43</v>
      </c>
      <c r="B91" s="15" t="s">
        <v>1551</v>
      </c>
      <c r="C91" s="251"/>
      <c r="D91" s="251"/>
      <c r="E91" s="251"/>
      <c r="F91" s="251"/>
      <c r="G91" s="14"/>
      <c r="H91" s="498">
        <f>'28-FFU'!D22*SUM(H86+H87)</f>
        <v>-32199.141334415253</v>
      </c>
      <c r="I91" s="260" t="s">
        <v>1308</v>
      </c>
      <c r="J91" s="241"/>
      <c r="K91" s="241"/>
      <c r="L91" s="241"/>
    </row>
    <row r="92" spans="1:12">
      <c r="A92" s="117">
        <f t="shared" si="2"/>
        <v>44</v>
      </c>
      <c r="B92" s="14" t="s">
        <v>1545</v>
      </c>
      <c r="C92" s="251"/>
      <c r="D92" s="251"/>
      <c r="E92" s="251"/>
      <c r="F92" s="251"/>
      <c r="G92" s="46" t="str">
        <f>"Line "&amp;A90&amp;" + Line "&amp;A91&amp;""</f>
        <v>Line 42 + Line 43</v>
      </c>
      <c r="H92" s="245">
        <f>H90+H91</f>
        <v>-6147229.3651186749</v>
      </c>
      <c r="I92" s="241"/>
      <c r="J92" s="241"/>
      <c r="K92" s="241"/>
      <c r="L92" s="241"/>
    </row>
    <row r="93" spans="1:12">
      <c r="A93" s="251"/>
      <c r="B93" s="14"/>
      <c r="C93" s="251"/>
      <c r="D93" s="251"/>
      <c r="E93" s="251"/>
      <c r="F93" s="251"/>
      <c r="G93" s="251"/>
      <c r="H93" s="251"/>
      <c r="I93" s="241"/>
      <c r="J93" s="241"/>
      <c r="K93" s="241"/>
      <c r="L93" s="241"/>
    </row>
    <row r="94" spans="1:12">
      <c r="A94" s="251"/>
      <c r="B94" s="1046" t="s">
        <v>1546</v>
      </c>
      <c r="C94" s="251"/>
      <c r="D94" s="251"/>
      <c r="E94" s="251"/>
      <c r="F94" s="251"/>
      <c r="G94" s="251"/>
      <c r="H94" s="251"/>
      <c r="I94" s="241"/>
      <c r="J94" s="241"/>
      <c r="K94" s="241"/>
      <c r="L94" s="241"/>
    </row>
    <row r="95" spans="1:12">
      <c r="A95" s="251"/>
      <c r="B95" s="251" t="s">
        <v>1547</v>
      </c>
      <c r="C95" s="251"/>
      <c r="D95" s="251"/>
      <c r="E95" s="251"/>
      <c r="F95" s="251"/>
      <c r="G95" s="251"/>
      <c r="H95" s="251"/>
      <c r="I95" s="241"/>
      <c r="J95" s="241"/>
      <c r="K95" s="241"/>
      <c r="L95" s="241"/>
    </row>
    <row r="96" spans="1:12">
      <c r="A96" s="251"/>
      <c r="B96" s="251" t="s">
        <v>1548</v>
      </c>
      <c r="C96" s="251"/>
      <c r="D96" s="251"/>
      <c r="E96" s="251"/>
      <c r="F96" s="251"/>
      <c r="G96" s="251"/>
      <c r="H96" s="251"/>
      <c r="I96" s="241"/>
      <c r="J96" s="241"/>
      <c r="K96" s="241"/>
      <c r="L96" s="241"/>
    </row>
    <row r="97" spans="1:12">
      <c r="A97" s="251"/>
      <c r="B97" s="251" t="str">
        <f>"2) Input Prior Year for this Informational Filing in Line "&amp;A42&amp;"."</f>
        <v>2) Input Prior Year for this Informational Filing in Line 13.</v>
      </c>
      <c r="C97" s="14"/>
      <c r="D97" s="14"/>
      <c r="E97" s="14"/>
      <c r="F97" s="14"/>
      <c r="G97" s="14"/>
      <c r="H97" s="14"/>
      <c r="I97" s="241"/>
      <c r="J97" s="241"/>
      <c r="K97" s="241"/>
      <c r="L97" s="241"/>
    </row>
    <row r="98" spans="1:12">
      <c r="A98" s="251"/>
      <c r="B98" s="251" t="str">
        <f>"3) Calculation: (Line "&amp;A34&amp;", "&amp;H25&amp;") + ((Line "&amp;A34&amp;", "&amp;I25&amp;") * (Line "&amp;A42&amp;" - 2010))."</f>
        <v>3) Calculation: (Line 11, Col 1) + ((Line 11, Col 2) * (Line 13 - 2010)).</v>
      </c>
      <c r="C98" s="14"/>
      <c r="D98" s="14"/>
      <c r="E98" s="14"/>
      <c r="F98" s="14"/>
      <c r="G98" s="14"/>
      <c r="H98" s="14"/>
      <c r="I98" s="241"/>
      <c r="J98" s="241"/>
      <c r="K98" s="241"/>
      <c r="L98" s="241"/>
    </row>
    <row r="99" spans="1:12">
      <c r="A99" s="251"/>
      <c r="B99" s="251" t="str">
        <f>"4) Franchise Fee Exclusion is equal to the Franchise Fee Factor on the 28-FFU Line "&amp;'28-FFU'!A22&amp;""</f>
        <v>4) Franchise Fee Exclusion is equal to the Franchise Fee Factor on the 28-FFU Line 5</v>
      </c>
      <c r="C99" s="251"/>
      <c r="D99" s="251"/>
      <c r="E99" s="251"/>
      <c r="F99" s="251"/>
      <c r="G99" s="251"/>
      <c r="H99" s="251"/>
      <c r="I99" s="241"/>
      <c r="J99" s="241"/>
      <c r="K99" s="241"/>
      <c r="L99" s="241"/>
    </row>
    <row r="100" spans="1:12">
      <c r="A100" s="241"/>
      <c r="B100" s="241" t="str">
        <f>"times Line "&amp;A86&amp;" + "&amp;A87&amp;"."</f>
        <v>times Line 38 + 39.</v>
      </c>
      <c r="C100" s="241"/>
      <c r="D100" s="241"/>
      <c r="E100" s="241"/>
      <c r="F100" s="241"/>
      <c r="G100" s="241"/>
      <c r="H100" s="241"/>
      <c r="I100" s="241"/>
      <c r="J100" s="241"/>
      <c r="K100" s="241"/>
      <c r="L100" s="241"/>
    </row>
    <row r="101" spans="1:12">
      <c r="A101" s="241"/>
      <c r="B101" s="251" t="s">
        <v>2825</v>
      </c>
      <c r="C101" s="251"/>
      <c r="D101" s="251"/>
      <c r="E101" s="251"/>
      <c r="F101" s="251"/>
      <c r="G101" s="241"/>
      <c r="H101" s="241"/>
      <c r="I101" s="241"/>
      <c r="J101" s="241"/>
      <c r="K101" s="241"/>
      <c r="L101" s="241"/>
    </row>
    <row r="102" spans="1:12">
      <c r="A102" s="241"/>
      <c r="B102" s="241"/>
      <c r="C102" s="241"/>
      <c r="D102" s="241"/>
      <c r="E102" s="241"/>
      <c r="F102" s="241"/>
      <c r="G102" s="241"/>
      <c r="H102" s="241"/>
      <c r="I102" s="241"/>
      <c r="J102" s="241"/>
      <c r="K102" s="241"/>
      <c r="L102" s="241"/>
    </row>
    <row r="103" spans="1:12">
      <c r="A103" s="241"/>
      <c r="B103" s="241"/>
      <c r="C103" s="241"/>
      <c r="D103" s="241"/>
      <c r="E103" s="241"/>
      <c r="F103" s="241"/>
      <c r="G103" s="241"/>
      <c r="H103" s="241"/>
      <c r="I103" s="241"/>
      <c r="J103" s="241"/>
      <c r="K103" s="241"/>
      <c r="L103" s="241"/>
    </row>
    <row r="104" spans="1:12">
      <c r="A104" s="241"/>
      <c r="B104" s="241"/>
      <c r="C104" s="241"/>
      <c r="D104" s="241"/>
      <c r="E104" s="241"/>
      <c r="F104" s="241"/>
      <c r="G104" s="241"/>
      <c r="H104" s="241"/>
      <c r="I104" s="241"/>
      <c r="J104" s="241"/>
      <c r="K104" s="241"/>
      <c r="L104" s="241"/>
    </row>
    <row r="105" spans="1:12">
      <c r="A105" s="241"/>
      <c r="B105" s="241"/>
      <c r="C105" s="241"/>
      <c r="D105" s="241"/>
      <c r="E105" s="241"/>
      <c r="F105" s="241"/>
      <c r="G105" s="241"/>
      <c r="H105" s="241"/>
      <c r="I105" s="241"/>
      <c r="J105" s="241"/>
      <c r="K105" s="241"/>
      <c r="L105" s="241"/>
    </row>
    <row r="106" spans="1:12">
      <c r="A106" s="241"/>
      <c r="B106" s="241"/>
      <c r="C106" s="241"/>
      <c r="D106" s="241"/>
      <c r="E106" s="241"/>
      <c r="F106" s="241"/>
      <c r="G106" s="241"/>
      <c r="H106" s="241"/>
      <c r="I106" s="241"/>
      <c r="J106" s="241"/>
      <c r="K106" s="241"/>
      <c r="L106" s="241"/>
    </row>
    <row r="107" spans="1:12">
      <c r="A107" s="241"/>
      <c r="B107" s="241"/>
      <c r="C107" s="241"/>
      <c r="D107" s="241"/>
      <c r="E107" s="241"/>
      <c r="F107" s="241"/>
      <c r="G107" s="241"/>
      <c r="H107" s="241"/>
      <c r="I107" s="241"/>
      <c r="J107" s="241"/>
      <c r="K107" s="241"/>
      <c r="L107" s="241"/>
    </row>
    <row r="108" spans="1:12">
      <c r="A108" s="241"/>
      <c r="B108" s="241"/>
      <c r="C108" s="241"/>
      <c r="D108" s="241"/>
      <c r="E108" s="241"/>
      <c r="F108" s="241"/>
      <c r="G108" s="241"/>
      <c r="H108" s="241"/>
      <c r="I108" s="241"/>
      <c r="J108" s="241"/>
      <c r="K108" s="241"/>
      <c r="L108" s="241"/>
    </row>
    <row r="109" spans="1:12">
      <c r="A109" s="241"/>
      <c r="B109" s="241"/>
      <c r="C109" s="241"/>
      <c r="D109" s="241"/>
      <c r="E109" s="241"/>
      <c r="F109" s="241"/>
      <c r="G109" s="241"/>
      <c r="H109" s="241"/>
      <c r="I109" s="241"/>
      <c r="J109" s="241"/>
      <c r="K109" s="241"/>
      <c r="L109" s="241"/>
    </row>
    <row r="110" spans="1:12">
      <c r="A110" s="241"/>
      <c r="B110" s="241"/>
      <c r="C110" s="241"/>
      <c r="D110" s="241"/>
      <c r="E110" s="241"/>
      <c r="F110" s="241"/>
      <c r="G110" s="241"/>
      <c r="H110" s="241"/>
      <c r="I110" s="241"/>
      <c r="J110" s="241"/>
      <c r="K110" s="241"/>
      <c r="L110" s="241"/>
    </row>
    <row r="111" spans="1:12">
      <c r="A111" s="241"/>
      <c r="B111" s="241"/>
      <c r="C111" s="241"/>
      <c r="D111" s="241"/>
      <c r="E111" s="241"/>
      <c r="F111" s="241"/>
      <c r="G111" s="241"/>
      <c r="H111" s="241"/>
      <c r="I111" s="241"/>
      <c r="J111" s="241"/>
      <c r="K111" s="241"/>
      <c r="L111" s="241"/>
    </row>
    <row r="112" spans="1:12">
      <c r="A112" s="241"/>
      <c r="B112" s="241"/>
      <c r="C112" s="241"/>
      <c r="D112" s="241"/>
      <c r="E112" s="241"/>
      <c r="F112" s="241"/>
      <c r="G112" s="241"/>
      <c r="H112" s="241"/>
      <c r="I112" s="241"/>
      <c r="J112" s="241"/>
      <c r="K112" s="241"/>
      <c r="L112" s="241"/>
    </row>
    <row r="113" spans="1:12">
      <c r="A113" s="241"/>
      <c r="B113" s="241"/>
      <c r="C113" s="241"/>
      <c r="D113" s="241"/>
      <c r="E113" s="241"/>
      <c r="F113" s="241"/>
      <c r="G113" s="241"/>
      <c r="H113" s="241"/>
      <c r="I113" s="241"/>
      <c r="J113" s="241"/>
      <c r="K113" s="241"/>
      <c r="L113" s="241"/>
    </row>
    <row r="114" spans="1:12">
      <c r="A114" s="241"/>
      <c r="B114" s="241"/>
      <c r="C114" s="241"/>
      <c r="D114" s="241"/>
      <c r="E114" s="241"/>
      <c r="F114" s="241"/>
      <c r="G114" s="241"/>
      <c r="H114" s="241"/>
      <c r="I114" s="241"/>
      <c r="J114" s="241"/>
      <c r="K114" s="241"/>
      <c r="L114" s="241"/>
    </row>
    <row r="115" spans="1:12">
      <c r="A115" s="241"/>
      <c r="B115" s="241"/>
      <c r="C115" s="241"/>
      <c r="D115" s="241"/>
      <c r="E115" s="241"/>
      <c r="F115" s="241"/>
      <c r="G115" s="241"/>
      <c r="H115" s="241"/>
      <c r="I115" s="241"/>
      <c r="J115" s="241"/>
      <c r="K115" s="241"/>
      <c r="L115" s="241"/>
    </row>
    <row r="116" spans="1:12">
      <c r="A116" s="241"/>
      <c r="B116" s="241"/>
      <c r="C116" s="241"/>
      <c r="D116" s="241"/>
      <c r="E116" s="241"/>
      <c r="F116" s="241"/>
      <c r="G116" s="241"/>
      <c r="H116" s="241"/>
      <c r="I116" s="241"/>
      <c r="J116" s="241"/>
      <c r="K116" s="241"/>
      <c r="L116" s="241"/>
    </row>
    <row r="117" spans="1:12">
      <c r="A117" s="241"/>
      <c r="B117" s="241"/>
      <c r="C117" s="241"/>
      <c r="D117" s="241"/>
      <c r="E117" s="241"/>
      <c r="F117" s="241"/>
      <c r="G117" s="241"/>
      <c r="H117" s="241"/>
      <c r="I117" s="241"/>
      <c r="J117" s="241"/>
      <c r="K117" s="241"/>
      <c r="L117" s="241"/>
    </row>
    <row r="118" spans="1:12">
      <c r="A118" s="241"/>
      <c r="B118" s="241"/>
      <c r="C118" s="241"/>
      <c r="D118" s="241"/>
      <c r="E118" s="241"/>
      <c r="F118" s="241"/>
      <c r="G118" s="241"/>
      <c r="H118" s="241"/>
      <c r="I118" s="241"/>
      <c r="J118" s="241"/>
      <c r="K118" s="241"/>
      <c r="L118" s="241"/>
    </row>
    <row r="119" spans="1:12">
      <c r="A119" s="241"/>
      <c r="B119" s="241"/>
      <c r="C119" s="241"/>
      <c r="D119" s="241"/>
      <c r="E119" s="241"/>
      <c r="F119" s="241"/>
      <c r="G119" s="241"/>
      <c r="H119" s="241"/>
      <c r="I119" s="241"/>
      <c r="J119" s="241"/>
      <c r="K119" s="241"/>
      <c r="L119" s="241"/>
    </row>
    <row r="120" spans="1:12">
      <c r="A120" s="241"/>
      <c r="B120" s="241"/>
      <c r="C120" s="241"/>
      <c r="D120" s="241"/>
      <c r="E120" s="241"/>
      <c r="F120" s="241"/>
      <c r="G120" s="241"/>
      <c r="H120" s="241"/>
      <c r="I120" s="241"/>
      <c r="J120" s="241"/>
      <c r="K120" s="241"/>
      <c r="L120" s="241"/>
    </row>
    <row r="121" spans="1:12">
      <c r="A121" s="241"/>
      <c r="B121" s="241"/>
      <c r="C121" s="241"/>
      <c r="D121" s="241"/>
      <c r="E121" s="241"/>
      <c r="F121" s="241"/>
      <c r="G121" s="241"/>
      <c r="H121" s="241"/>
      <c r="I121" s="241"/>
      <c r="J121" s="241"/>
      <c r="K121" s="241"/>
      <c r="L121" s="241"/>
    </row>
    <row r="122" spans="1:12">
      <c r="A122" s="241"/>
      <c r="B122" s="241"/>
      <c r="C122" s="241"/>
      <c r="D122" s="241"/>
      <c r="E122" s="241"/>
      <c r="F122" s="241"/>
      <c r="G122" s="241"/>
      <c r="H122" s="241"/>
      <c r="I122" s="241"/>
      <c r="J122" s="241"/>
      <c r="K122" s="241"/>
      <c r="L122" s="241"/>
    </row>
    <row r="123" spans="1:12">
      <c r="A123" s="241"/>
      <c r="B123" s="241"/>
      <c r="C123" s="241"/>
      <c r="D123" s="241"/>
      <c r="E123" s="241"/>
      <c r="F123" s="241"/>
      <c r="G123" s="241"/>
      <c r="H123" s="241"/>
      <c r="I123" s="241"/>
      <c r="J123" s="241"/>
      <c r="K123" s="241"/>
      <c r="L123" s="241"/>
    </row>
    <row r="124" spans="1:12">
      <c r="A124" s="241"/>
      <c r="B124" s="241"/>
      <c r="C124" s="241"/>
      <c r="D124" s="241"/>
      <c r="E124" s="241"/>
      <c r="F124" s="241"/>
      <c r="G124" s="241"/>
      <c r="H124" s="241"/>
      <c r="I124" s="241"/>
      <c r="J124" s="241"/>
      <c r="K124" s="241"/>
      <c r="L124" s="241"/>
    </row>
    <row r="125" spans="1:12">
      <c r="A125" s="241"/>
      <c r="B125" s="241"/>
      <c r="C125" s="241"/>
      <c r="D125" s="241"/>
      <c r="E125" s="241"/>
      <c r="F125" s="241"/>
      <c r="G125" s="241"/>
      <c r="H125" s="241"/>
      <c r="I125" s="241"/>
      <c r="J125" s="241"/>
      <c r="K125" s="241"/>
      <c r="L125" s="241"/>
    </row>
    <row r="126" spans="1:12">
      <c r="A126" s="241"/>
      <c r="B126" s="241"/>
      <c r="C126" s="241"/>
      <c r="D126" s="241"/>
      <c r="E126" s="241"/>
      <c r="F126" s="241"/>
      <c r="G126" s="241"/>
      <c r="H126" s="241"/>
      <c r="I126" s="241"/>
      <c r="J126" s="241"/>
      <c r="K126" s="241"/>
      <c r="L126" s="241"/>
    </row>
    <row r="127" spans="1:12">
      <c r="A127" s="241"/>
      <c r="B127" s="241"/>
      <c r="C127" s="241"/>
      <c r="D127" s="241"/>
      <c r="E127" s="241"/>
      <c r="F127" s="241"/>
      <c r="G127" s="241"/>
      <c r="H127" s="241"/>
      <c r="I127" s="241"/>
      <c r="J127" s="241"/>
      <c r="K127" s="241"/>
      <c r="L127" s="241"/>
    </row>
    <row r="128" spans="1:12">
      <c r="A128" s="241"/>
      <c r="B128" s="241"/>
      <c r="C128" s="241"/>
      <c r="D128" s="241"/>
      <c r="E128" s="241"/>
      <c r="F128" s="241"/>
      <c r="G128" s="241"/>
      <c r="H128" s="241"/>
      <c r="I128" s="241"/>
      <c r="J128" s="241"/>
      <c r="K128" s="241"/>
      <c r="L128" s="241"/>
    </row>
    <row r="129" spans="1:12">
      <c r="A129" s="241"/>
      <c r="B129" s="241"/>
      <c r="C129" s="241"/>
      <c r="D129" s="241"/>
      <c r="E129" s="241"/>
      <c r="F129" s="241"/>
      <c r="G129" s="241"/>
      <c r="H129" s="241"/>
      <c r="I129" s="241"/>
      <c r="J129" s="241"/>
      <c r="K129" s="241"/>
      <c r="L129" s="241"/>
    </row>
    <row r="130" spans="1:12">
      <c r="A130" s="241"/>
      <c r="B130" s="241"/>
      <c r="C130" s="241"/>
      <c r="D130" s="241"/>
      <c r="E130" s="241"/>
      <c r="F130" s="241"/>
      <c r="G130" s="241"/>
      <c r="H130" s="241"/>
      <c r="I130" s="241"/>
      <c r="J130" s="241"/>
      <c r="K130" s="241"/>
      <c r="L130" s="241"/>
    </row>
    <row r="131" spans="1:12">
      <c r="A131" s="241"/>
      <c r="B131" s="241"/>
      <c r="C131" s="241"/>
      <c r="D131" s="241"/>
      <c r="E131" s="241"/>
      <c r="F131" s="241"/>
      <c r="G131" s="241"/>
      <c r="H131" s="241"/>
      <c r="I131" s="241"/>
      <c r="J131" s="241"/>
      <c r="K131" s="241"/>
      <c r="L131" s="241"/>
    </row>
    <row r="132" spans="1:12">
      <c r="A132" s="241"/>
      <c r="B132" s="241"/>
      <c r="C132" s="241"/>
      <c r="D132" s="241"/>
      <c r="E132" s="241"/>
      <c r="F132" s="241"/>
      <c r="G132" s="241"/>
      <c r="H132" s="241"/>
      <c r="I132" s="241"/>
      <c r="J132" s="241"/>
      <c r="K132" s="241"/>
      <c r="L132" s="241"/>
    </row>
    <row r="133" spans="1:12">
      <c r="A133" s="241"/>
      <c r="B133" s="241"/>
      <c r="C133" s="241"/>
      <c r="D133" s="241"/>
      <c r="E133" s="241"/>
      <c r="F133" s="241"/>
      <c r="G133" s="241"/>
      <c r="H133" s="241"/>
      <c r="I133" s="241"/>
      <c r="J133" s="241"/>
      <c r="K133" s="241"/>
      <c r="L133" s="241"/>
    </row>
    <row r="134" spans="1:12">
      <c r="A134" s="241"/>
      <c r="B134" s="241"/>
      <c r="C134" s="241"/>
      <c r="D134" s="241"/>
      <c r="E134" s="241"/>
      <c r="F134" s="241"/>
      <c r="G134" s="241"/>
      <c r="H134" s="241"/>
      <c r="I134" s="241"/>
      <c r="J134" s="241"/>
      <c r="K134" s="241"/>
      <c r="L134" s="241"/>
    </row>
    <row r="135" spans="1:12">
      <c r="A135" s="241"/>
      <c r="B135" s="241"/>
      <c r="C135" s="241"/>
      <c r="D135" s="241"/>
      <c r="E135" s="241"/>
      <c r="F135" s="241"/>
      <c r="G135" s="241"/>
      <c r="H135" s="241"/>
      <c r="I135" s="241"/>
      <c r="J135" s="241"/>
      <c r="K135" s="241"/>
      <c r="L135" s="241"/>
    </row>
    <row r="136" spans="1:12">
      <c r="A136" s="241"/>
      <c r="B136" s="241"/>
      <c r="C136" s="241"/>
      <c r="D136" s="241"/>
      <c r="E136" s="241"/>
      <c r="F136" s="241"/>
      <c r="G136" s="241"/>
      <c r="H136" s="241"/>
      <c r="I136" s="241"/>
      <c r="J136" s="241"/>
      <c r="K136" s="241"/>
      <c r="L136" s="241"/>
    </row>
    <row r="137" spans="1:12">
      <c r="A137" s="241"/>
      <c r="B137" s="241"/>
      <c r="C137" s="241"/>
      <c r="D137" s="241"/>
      <c r="E137" s="241"/>
      <c r="F137" s="241"/>
      <c r="G137" s="241"/>
      <c r="H137" s="241"/>
      <c r="I137" s="241"/>
      <c r="J137" s="241"/>
      <c r="K137" s="241"/>
      <c r="L137" s="241"/>
    </row>
    <row r="138" spans="1:12">
      <c r="A138" s="241"/>
      <c r="B138" s="241"/>
      <c r="C138" s="241"/>
      <c r="D138" s="241"/>
      <c r="E138" s="241"/>
      <c r="F138" s="241"/>
      <c r="G138" s="241"/>
      <c r="H138" s="241"/>
      <c r="I138" s="241"/>
      <c r="J138" s="241"/>
      <c r="K138" s="241"/>
      <c r="L138" s="241"/>
    </row>
    <row r="139" spans="1:12">
      <c r="A139" s="241"/>
      <c r="B139" s="241"/>
      <c r="C139" s="241"/>
      <c r="D139" s="241"/>
      <c r="E139" s="241"/>
      <c r="F139" s="241"/>
      <c r="G139" s="241"/>
      <c r="H139" s="241"/>
      <c r="I139" s="241"/>
      <c r="J139" s="241"/>
      <c r="K139" s="241"/>
      <c r="L139" s="241"/>
    </row>
    <row r="140" spans="1:12">
      <c r="A140" s="241"/>
      <c r="B140" s="241"/>
      <c r="C140" s="241"/>
      <c r="D140" s="241"/>
      <c r="E140" s="241"/>
      <c r="F140" s="241"/>
      <c r="G140" s="241"/>
      <c r="H140" s="241"/>
      <c r="I140" s="241"/>
      <c r="J140" s="241"/>
      <c r="K140" s="241"/>
      <c r="L140" s="241"/>
    </row>
    <row r="141" spans="1:12">
      <c r="A141" s="241"/>
      <c r="B141" s="241"/>
      <c r="C141" s="241"/>
      <c r="D141" s="241"/>
      <c r="E141" s="241"/>
      <c r="F141" s="241"/>
      <c r="G141" s="241"/>
      <c r="H141" s="241"/>
      <c r="I141" s="241"/>
      <c r="J141" s="241"/>
      <c r="K141" s="241"/>
      <c r="L141" s="241"/>
    </row>
    <row r="142" spans="1:12">
      <c r="A142" s="241"/>
      <c r="B142" s="241"/>
      <c r="C142" s="241"/>
      <c r="D142" s="241"/>
      <c r="E142" s="241"/>
      <c r="F142" s="241"/>
      <c r="G142" s="241"/>
      <c r="H142" s="241"/>
      <c r="I142" s="241"/>
      <c r="J142" s="241"/>
      <c r="K142" s="241"/>
      <c r="L142" s="241"/>
    </row>
    <row r="143" spans="1:12">
      <c r="A143" s="241"/>
      <c r="B143" s="241"/>
      <c r="C143" s="241"/>
      <c r="D143" s="241"/>
      <c r="E143" s="241"/>
      <c r="F143" s="241"/>
      <c r="G143" s="241"/>
      <c r="H143" s="241"/>
      <c r="I143" s="241"/>
      <c r="J143" s="241"/>
      <c r="K143" s="241"/>
      <c r="L143" s="241"/>
    </row>
    <row r="144" spans="1:12">
      <c r="A144" s="241"/>
      <c r="B144" s="241"/>
      <c r="C144" s="241"/>
      <c r="D144" s="241"/>
      <c r="E144" s="241"/>
      <c r="F144" s="241"/>
      <c r="G144" s="241"/>
      <c r="H144" s="241"/>
      <c r="I144" s="241"/>
      <c r="J144" s="241"/>
      <c r="K144" s="241"/>
      <c r="L144" s="241"/>
    </row>
    <row r="145" spans="1:12">
      <c r="A145" s="241"/>
      <c r="B145" s="241"/>
      <c r="C145" s="241"/>
      <c r="D145" s="241"/>
      <c r="E145" s="241"/>
      <c r="F145" s="241"/>
      <c r="G145" s="241"/>
      <c r="H145" s="241"/>
      <c r="I145" s="241"/>
      <c r="J145" s="241"/>
      <c r="K145" s="241"/>
      <c r="L145" s="241"/>
    </row>
    <row r="146" spans="1:12">
      <c r="A146" s="241"/>
      <c r="B146" s="241"/>
      <c r="C146" s="241"/>
      <c r="D146" s="241"/>
      <c r="E146" s="241"/>
      <c r="F146" s="241"/>
      <c r="G146" s="241"/>
      <c r="H146" s="241"/>
      <c r="I146" s="241"/>
      <c r="J146" s="241"/>
      <c r="K146" s="241"/>
      <c r="L146" s="241"/>
    </row>
    <row r="147" spans="1:12">
      <c r="A147" s="241"/>
      <c r="B147" s="241"/>
      <c r="C147" s="241"/>
      <c r="D147" s="241"/>
      <c r="E147" s="241"/>
      <c r="F147" s="241"/>
      <c r="G147" s="241"/>
      <c r="H147" s="241"/>
      <c r="I147" s="241"/>
      <c r="J147" s="241"/>
      <c r="K147" s="241"/>
      <c r="L147" s="241"/>
    </row>
    <row r="148" spans="1:12">
      <c r="A148" s="241"/>
      <c r="B148" s="241"/>
      <c r="C148" s="241"/>
      <c r="D148" s="241"/>
      <c r="E148" s="241"/>
      <c r="F148" s="241"/>
      <c r="G148" s="241"/>
      <c r="H148" s="241"/>
      <c r="I148" s="241"/>
      <c r="J148" s="241"/>
      <c r="K148" s="241"/>
      <c r="L148" s="241"/>
    </row>
    <row r="149" spans="1:12">
      <c r="A149" s="241"/>
      <c r="B149" s="241"/>
      <c r="C149" s="241"/>
      <c r="D149" s="241"/>
      <c r="E149" s="241"/>
      <c r="F149" s="241"/>
      <c r="G149" s="241"/>
      <c r="H149" s="241"/>
      <c r="I149" s="241"/>
      <c r="J149" s="241"/>
      <c r="K149" s="241"/>
      <c r="L149" s="241"/>
    </row>
    <row r="150" spans="1:12">
      <c r="A150" s="241"/>
      <c r="B150" s="241"/>
      <c r="C150" s="241"/>
      <c r="D150" s="241"/>
      <c r="E150" s="241"/>
      <c r="F150" s="241"/>
      <c r="G150" s="241"/>
      <c r="H150" s="241"/>
      <c r="I150" s="241"/>
      <c r="J150" s="241"/>
      <c r="K150" s="241"/>
      <c r="L150" s="241"/>
    </row>
    <row r="151" spans="1:12">
      <c r="A151" s="241"/>
      <c r="B151" s="241"/>
      <c r="C151" s="241"/>
      <c r="D151" s="241"/>
      <c r="E151" s="241"/>
      <c r="F151" s="241"/>
      <c r="G151" s="241"/>
      <c r="H151" s="241"/>
      <c r="I151" s="241"/>
      <c r="J151" s="241"/>
      <c r="K151" s="241"/>
      <c r="L151" s="241"/>
    </row>
    <row r="152" spans="1:12">
      <c r="A152" s="241"/>
      <c r="B152" s="241"/>
      <c r="C152" s="241"/>
      <c r="D152" s="241"/>
      <c r="E152" s="241"/>
      <c r="F152" s="241"/>
      <c r="G152" s="241"/>
      <c r="H152" s="241"/>
      <c r="I152" s="241"/>
      <c r="J152" s="241"/>
      <c r="K152" s="241"/>
      <c r="L152" s="241"/>
    </row>
  </sheetData>
  <pageMargins left="0.7" right="0.7" top="0.75" bottom="0.75" header="0.3" footer="0.3"/>
  <pageSetup scale="80" orientation="portrait" cellComments="asDisplayed" r:id="rId1"/>
  <headerFooter>
    <oddHeader>&amp;CSchedule 25
Wholesale Differences to Base TRR
&amp;RTO11 Draft Annual Update
Attachment 1</oddHeader>
    <oddFooter>&amp;R&amp;A</oddFooter>
  </headerFooter>
  <rowBreaks count="1" manualBreakCount="1">
    <brk id="67"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zoomScaleNormal="100" workbookViewId="0"/>
  </sheetViews>
  <sheetFormatPr defaultRowHeight="12.75"/>
  <cols>
    <col min="1" max="1" width="3.7109375" customWidth="1"/>
    <col min="2" max="2" width="45.7109375" customWidth="1"/>
    <col min="3" max="3" width="13.85546875" bestFit="1" customWidth="1"/>
  </cols>
  <sheetData>
    <row r="1" spans="1:6">
      <c r="A1" s="1" t="s">
        <v>1612</v>
      </c>
    </row>
    <row r="3" spans="1:6">
      <c r="A3" s="522" t="s">
        <v>1883</v>
      </c>
    </row>
    <row r="5" spans="1:6">
      <c r="B5" s="3" t="s">
        <v>193</v>
      </c>
      <c r="C5" s="3" t="s">
        <v>194</v>
      </c>
    </row>
    <row r="6" spans="1:6">
      <c r="B6" t="s">
        <v>106</v>
      </c>
      <c r="C6" s="64">
        <f>'1-BaseTRR'!K141</f>
        <v>990078671.54170823</v>
      </c>
    </row>
    <row r="7" spans="1:6">
      <c r="B7" t="s">
        <v>349</v>
      </c>
      <c r="C7" s="64">
        <f>'1-BaseTRR'!K147</f>
        <v>104981469.60339843</v>
      </c>
    </row>
    <row r="8" spans="1:6">
      <c r="B8" t="s">
        <v>107</v>
      </c>
      <c r="C8" s="47">
        <f>'1-BaseTRR'!K148</f>
        <v>95118367.567442194</v>
      </c>
      <c r="E8" s="1"/>
    </row>
    <row r="9" spans="1:6">
      <c r="B9" s="524" t="s">
        <v>2288</v>
      </c>
      <c r="C9" s="118">
        <f>'1-BaseTRR'!K150</f>
        <v>0</v>
      </c>
      <c r="E9" s="1"/>
    </row>
    <row r="10" spans="1:6">
      <c r="B10" t="s">
        <v>1884</v>
      </c>
      <c r="C10" s="64">
        <f>SUM(C6:C9)</f>
        <v>1190178508.7125487</v>
      </c>
    </row>
    <row r="12" spans="1:6">
      <c r="A12" t="s">
        <v>607</v>
      </c>
    </row>
    <row r="14" spans="1:6">
      <c r="B14" t="s">
        <v>222</v>
      </c>
    </row>
    <row r="15" spans="1:6">
      <c r="B15" s="526" t="s">
        <v>2068</v>
      </c>
      <c r="E15" s="14"/>
      <c r="F15" s="14"/>
    </row>
    <row r="16" spans="1:6">
      <c r="B16" s="16"/>
    </row>
    <row r="17" spans="2:2">
      <c r="B17" t="s">
        <v>606</v>
      </c>
    </row>
    <row r="18" spans="2:2">
      <c r="B18" s="524" t="s">
        <v>2069</v>
      </c>
    </row>
    <row r="19" spans="2:2">
      <c r="B19" s="16"/>
    </row>
    <row r="20" spans="2:2">
      <c r="B20" s="66" t="s">
        <v>1341</v>
      </c>
    </row>
    <row r="21" spans="2:2">
      <c r="B21" s="521" t="s">
        <v>2070</v>
      </c>
    </row>
    <row r="23" spans="2:2">
      <c r="B23" s="524" t="s">
        <v>2289</v>
      </c>
    </row>
  </sheetData>
  <phoneticPr fontId="25" type="noConversion"/>
  <pageMargins left="0.75" right="0.75" top="1.25" bottom="1" header="0.5" footer="0.5"/>
  <pageSetup orientation="landscape" r:id="rId1"/>
  <headerFooter alignWithMargins="0">
    <oddHeader>&amp;COverview
&amp;RTO11 Draft Annual Update
Attachment 1</oddHeader>
    <oddFooter>&amp;ROverview</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heetViews>
  <sheetFormatPr defaultRowHeight="12.75"/>
  <cols>
    <col min="1" max="1" width="4.7109375" customWidth="1"/>
    <col min="2" max="2" width="3.7109375" customWidth="1"/>
    <col min="3" max="3" width="18.7109375" customWidth="1"/>
    <col min="4" max="4" width="14.7109375" customWidth="1"/>
    <col min="5" max="5" width="45.7109375" customWidth="1"/>
    <col min="6" max="6" width="12.140625" bestFit="1" customWidth="1"/>
  </cols>
  <sheetData>
    <row r="1" spans="1:5">
      <c r="A1" s="1" t="s">
        <v>451</v>
      </c>
    </row>
    <row r="3" spans="1:5">
      <c r="B3" s="1" t="s">
        <v>43</v>
      </c>
      <c r="E3" s="102" t="s">
        <v>17</v>
      </c>
    </row>
    <row r="4" spans="1:5">
      <c r="D4" s="2" t="s">
        <v>44</v>
      </c>
    </row>
    <row r="5" spans="1:5">
      <c r="C5" s="2" t="s">
        <v>446</v>
      </c>
      <c r="D5" s="2" t="s">
        <v>448</v>
      </c>
    </row>
    <row r="6" spans="1:5">
      <c r="A6" s="3" t="s">
        <v>360</v>
      </c>
      <c r="C6" s="3" t="s">
        <v>212</v>
      </c>
      <c r="D6" s="3" t="s">
        <v>452</v>
      </c>
      <c r="E6" s="3" t="s">
        <v>198</v>
      </c>
    </row>
    <row r="7" spans="1:5">
      <c r="A7" s="2">
        <v>1</v>
      </c>
      <c r="C7" s="157">
        <v>2015</v>
      </c>
      <c r="D7" s="669">
        <f>D71</f>
        <v>0.35</v>
      </c>
      <c r="E7" s="1006" t="s">
        <v>2052</v>
      </c>
    </row>
    <row r="8" spans="1:5">
      <c r="A8" s="2">
        <f>A7+1</f>
        <v>2</v>
      </c>
      <c r="E8" s="521"/>
    </row>
    <row r="9" spans="1:5">
      <c r="A9" s="2">
        <f t="shared" ref="A9:A58" si="0">A8+1</f>
        <v>3</v>
      </c>
      <c r="B9" s="1" t="s">
        <v>45</v>
      </c>
    </row>
    <row r="10" spans="1:5">
      <c r="A10" s="2">
        <f t="shared" si="0"/>
        <v>4</v>
      </c>
      <c r="B10" s="1"/>
      <c r="D10" s="2"/>
    </row>
    <row r="11" spans="1:5">
      <c r="A11" s="2">
        <f t="shared" si="0"/>
        <v>5</v>
      </c>
      <c r="D11" s="2" t="s">
        <v>310</v>
      </c>
    </row>
    <row r="12" spans="1:5">
      <c r="A12" s="2">
        <f t="shared" si="0"/>
        <v>6</v>
      </c>
      <c r="C12" s="2" t="s">
        <v>446</v>
      </c>
      <c r="D12" s="2" t="s">
        <v>448</v>
      </c>
    </row>
    <row r="13" spans="1:5">
      <c r="A13" s="2">
        <f t="shared" si="0"/>
        <v>7</v>
      </c>
      <c r="C13" s="3" t="s">
        <v>212</v>
      </c>
      <c r="D13" s="3" t="s">
        <v>449</v>
      </c>
      <c r="E13" s="3" t="s">
        <v>198</v>
      </c>
    </row>
    <row r="14" spans="1:5">
      <c r="A14" s="2">
        <f t="shared" si="0"/>
        <v>8</v>
      </c>
      <c r="C14" s="157">
        <v>2015</v>
      </c>
      <c r="D14" s="71">
        <f>D51</f>
        <v>8.8534232596638118E-2</v>
      </c>
      <c r="E14" s="13" t="str">
        <f>"1) See calculation below on Line "&amp;A51&amp;" based on inputs"</f>
        <v>1) See calculation below on Line 45 based on inputs</v>
      </c>
    </row>
    <row r="15" spans="1:5">
      <c r="A15" s="2">
        <f t="shared" si="0"/>
        <v>9</v>
      </c>
      <c r="C15" s="55"/>
      <c r="D15" s="14"/>
      <c r="E15" s="13" t="s">
        <v>320</v>
      </c>
    </row>
    <row r="16" spans="1:5">
      <c r="A16" s="2">
        <f t="shared" si="0"/>
        <v>10</v>
      </c>
      <c r="C16" s="55"/>
      <c r="D16" s="14"/>
      <c r="E16" s="16" t="s">
        <v>450</v>
      </c>
    </row>
    <row r="17" spans="1:5">
      <c r="A17" s="2">
        <f t="shared" si="0"/>
        <v>11</v>
      </c>
      <c r="C17" s="62"/>
      <c r="E17" s="16"/>
    </row>
    <row r="18" spans="1:5">
      <c r="A18" s="2">
        <f t="shared" si="0"/>
        <v>12</v>
      </c>
      <c r="C18" s="1" t="s">
        <v>408</v>
      </c>
      <c r="E18" s="16"/>
    </row>
    <row r="19" spans="1:5">
      <c r="A19" s="2">
        <f t="shared" si="0"/>
        <v>13</v>
      </c>
      <c r="E19" s="16"/>
    </row>
    <row r="20" spans="1:5">
      <c r="A20" s="2">
        <f t="shared" si="0"/>
        <v>14</v>
      </c>
      <c r="C20" s="2"/>
      <c r="D20" s="2" t="s">
        <v>35</v>
      </c>
    </row>
    <row r="21" spans="1:5">
      <c r="A21" s="2">
        <f t="shared" si="0"/>
        <v>15</v>
      </c>
      <c r="C21" s="3" t="s">
        <v>41</v>
      </c>
      <c r="D21" s="3" t="s">
        <v>453</v>
      </c>
      <c r="E21" s="3" t="s">
        <v>198</v>
      </c>
    </row>
    <row r="22" spans="1:5">
      <c r="A22" s="2">
        <f t="shared" si="0"/>
        <v>16</v>
      </c>
      <c r="C22" t="s">
        <v>37</v>
      </c>
      <c r="D22" s="50">
        <v>1</v>
      </c>
      <c r="E22" s="72" t="s">
        <v>445</v>
      </c>
    </row>
    <row r="23" spans="1:5">
      <c r="A23" s="2">
        <f t="shared" si="0"/>
        <v>17</v>
      </c>
      <c r="C23" t="s">
        <v>38</v>
      </c>
      <c r="D23" s="50">
        <v>0</v>
      </c>
      <c r="E23" s="155"/>
    </row>
    <row r="24" spans="1:5">
      <c r="A24" s="2">
        <f t="shared" si="0"/>
        <v>18</v>
      </c>
      <c r="C24" t="s">
        <v>39</v>
      </c>
      <c r="D24" s="50">
        <v>2.5213317374570502E-3</v>
      </c>
      <c r="E24" s="69"/>
    </row>
    <row r="25" spans="1:5">
      <c r="A25" s="2">
        <f t="shared" si="0"/>
        <v>19</v>
      </c>
      <c r="C25" t="s">
        <v>40</v>
      </c>
      <c r="D25" s="50">
        <v>0</v>
      </c>
      <c r="E25" s="70"/>
    </row>
    <row r="26" spans="1:5">
      <c r="A26" s="2">
        <f t="shared" si="0"/>
        <v>20</v>
      </c>
      <c r="D26" s="71"/>
      <c r="E26" s="70"/>
    </row>
    <row r="27" spans="1:5">
      <c r="A27" s="2">
        <f t="shared" si="0"/>
        <v>21</v>
      </c>
      <c r="D27" s="2" t="s">
        <v>42</v>
      </c>
    </row>
    <row r="28" spans="1:5">
      <c r="A28" s="2">
        <f t="shared" si="0"/>
        <v>22</v>
      </c>
      <c r="C28" s="3" t="s">
        <v>41</v>
      </c>
      <c r="D28" s="3" t="s">
        <v>447</v>
      </c>
    </row>
    <row r="29" spans="1:5">
      <c r="A29" s="2">
        <f t="shared" si="0"/>
        <v>23</v>
      </c>
      <c r="C29" t="s">
        <v>37</v>
      </c>
      <c r="D29" s="50">
        <v>8.8400000000000006E-2</v>
      </c>
      <c r="E29" s="155" t="s">
        <v>552</v>
      </c>
    </row>
    <row r="30" spans="1:5">
      <c r="A30" s="2">
        <f t="shared" si="0"/>
        <v>24</v>
      </c>
      <c r="C30" t="s">
        <v>38</v>
      </c>
      <c r="D30" s="50">
        <v>6.9000000000000006E-2</v>
      </c>
      <c r="E30" s="1105" t="s">
        <v>2016</v>
      </c>
    </row>
    <row r="31" spans="1:5">
      <c r="A31" s="2">
        <f t="shared" si="0"/>
        <v>25</v>
      </c>
      <c r="C31" t="s">
        <v>39</v>
      </c>
      <c r="D31" s="50">
        <v>0.06</v>
      </c>
    </row>
    <row r="32" spans="1:5">
      <c r="A32" s="2">
        <f t="shared" si="0"/>
        <v>26</v>
      </c>
      <c r="C32" t="s">
        <v>40</v>
      </c>
      <c r="D32" s="438">
        <v>9.4E-2</v>
      </c>
    </row>
    <row r="33" spans="1:5">
      <c r="A33" s="2">
        <f t="shared" si="0"/>
        <v>27</v>
      </c>
    </row>
    <row r="34" spans="1:5">
      <c r="A34" s="516">
        <f t="shared" si="0"/>
        <v>28</v>
      </c>
      <c r="D34" s="2" t="s">
        <v>1365</v>
      </c>
    </row>
    <row r="35" spans="1:5">
      <c r="A35" s="516">
        <f t="shared" si="0"/>
        <v>29</v>
      </c>
      <c r="D35" s="516" t="s">
        <v>1640</v>
      </c>
    </row>
    <row r="36" spans="1:5">
      <c r="A36" s="516">
        <f t="shared" si="0"/>
        <v>30</v>
      </c>
      <c r="D36" s="440" t="s">
        <v>1641</v>
      </c>
    </row>
    <row r="37" spans="1:5">
      <c r="A37" s="516">
        <f t="shared" si="0"/>
        <v>31</v>
      </c>
      <c r="D37" s="516" t="s">
        <v>37</v>
      </c>
    </row>
    <row r="38" spans="1:5">
      <c r="A38" s="516">
        <f t="shared" si="0"/>
        <v>32</v>
      </c>
      <c r="C38" s="3" t="s">
        <v>41</v>
      </c>
      <c r="D38" s="3" t="s">
        <v>1642</v>
      </c>
    </row>
    <row r="39" spans="1:5">
      <c r="A39" s="516">
        <f t="shared" si="0"/>
        <v>33</v>
      </c>
      <c r="C39" t="s">
        <v>37</v>
      </c>
      <c r="D39" s="50">
        <v>1</v>
      </c>
      <c r="E39" s="489" t="s">
        <v>1497</v>
      </c>
    </row>
    <row r="40" spans="1:5">
      <c r="A40" s="516">
        <f t="shared" si="0"/>
        <v>34</v>
      </c>
      <c r="C40" t="s">
        <v>38</v>
      </c>
      <c r="D40" s="50">
        <v>0</v>
      </c>
      <c r="E40" s="14" t="s">
        <v>1498</v>
      </c>
    </row>
    <row r="41" spans="1:5">
      <c r="A41" s="516">
        <f t="shared" si="0"/>
        <v>35</v>
      </c>
      <c r="C41" t="s">
        <v>39</v>
      </c>
      <c r="D41" s="50">
        <v>0.88731280804199986</v>
      </c>
    </row>
    <row r="42" spans="1:5">
      <c r="A42" s="516">
        <f t="shared" si="0"/>
        <v>36</v>
      </c>
      <c r="C42" t="s">
        <v>40</v>
      </c>
      <c r="D42" s="438">
        <v>0.45995551034182031</v>
      </c>
    </row>
    <row r="43" spans="1:5">
      <c r="A43" s="516">
        <f t="shared" si="0"/>
        <v>37</v>
      </c>
      <c r="D43" s="439"/>
    </row>
    <row r="44" spans="1:5">
      <c r="A44" s="516">
        <f t="shared" si="0"/>
        <v>38</v>
      </c>
      <c r="D44" s="2" t="s">
        <v>1363</v>
      </c>
    </row>
    <row r="45" spans="1:5">
      <c r="A45" s="516">
        <f t="shared" si="0"/>
        <v>39</v>
      </c>
      <c r="C45" s="3" t="s">
        <v>41</v>
      </c>
      <c r="D45" s="3" t="s">
        <v>1364</v>
      </c>
    </row>
    <row r="46" spans="1:5">
      <c r="A46" s="516">
        <f t="shared" si="0"/>
        <v>40</v>
      </c>
      <c r="C46" t="s">
        <v>37</v>
      </c>
      <c r="D46" s="71">
        <f>D22*D29*D39</f>
        <v>8.8400000000000006E-2</v>
      </c>
      <c r="E46" s="13" t="str">
        <f>"Line "&amp;A22&amp;" * Line "&amp;A29&amp;" * Line "&amp;A39&amp;""</f>
        <v>Line 16 * Line 23 * Line 33</v>
      </c>
    </row>
    <row r="47" spans="1:5">
      <c r="A47" s="516">
        <f t="shared" si="0"/>
        <v>41</v>
      </c>
      <c r="C47" t="s">
        <v>38</v>
      </c>
      <c r="D47" s="71">
        <f>D23*D30*D40</f>
        <v>0</v>
      </c>
      <c r="E47" s="13" t="str">
        <f>"Line "&amp;A23&amp;" * Line "&amp;A30&amp;" * Line "&amp;A40&amp;""</f>
        <v>Line 17 * Line 24 * Line 34</v>
      </c>
    </row>
    <row r="48" spans="1:5">
      <c r="A48" s="516">
        <f t="shared" si="0"/>
        <v>42</v>
      </c>
      <c r="C48" t="s">
        <v>39</v>
      </c>
      <c r="D48" s="71">
        <f>D24*D31*D41</f>
        <v>1.3423259663810578E-4</v>
      </c>
      <c r="E48" s="13" t="str">
        <f>"Line "&amp;A24&amp;" * Line "&amp;A31&amp;" * Line "&amp;A41&amp;""</f>
        <v>Line 18 * Line 25 * Line 35</v>
      </c>
    </row>
    <row r="49" spans="1:9">
      <c r="A49" s="516">
        <f t="shared" si="0"/>
        <v>43</v>
      </c>
      <c r="C49" t="s">
        <v>40</v>
      </c>
      <c r="D49" s="71">
        <f>D25*D32*D42</f>
        <v>0</v>
      </c>
      <c r="E49" s="13" t="str">
        <f>"Line "&amp;A25&amp;" * Line "&amp;A32&amp;" * Line "&amp;A42&amp;""</f>
        <v>Line 19 * Line 26 * Line 36</v>
      </c>
    </row>
    <row r="50" spans="1:9">
      <c r="A50" s="516">
        <f t="shared" si="0"/>
        <v>44</v>
      </c>
      <c r="C50" s="73" t="s">
        <v>310</v>
      </c>
    </row>
    <row r="51" spans="1:9">
      <c r="A51" s="516">
        <f t="shared" si="0"/>
        <v>45</v>
      </c>
      <c r="C51" s="73" t="s">
        <v>309</v>
      </c>
      <c r="D51" s="439">
        <f>SUM(D46:D49)</f>
        <v>8.8534232596638118E-2</v>
      </c>
      <c r="E51" s="13" t="str">
        <f>"Sum of Lines "&amp;A46&amp;" to "&amp;A49&amp;""</f>
        <v>Sum of Lines 40 to 43</v>
      </c>
    </row>
    <row r="52" spans="1:9">
      <c r="A52" s="624">
        <f t="shared" si="0"/>
        <v>46</v>
      </c>
      <c r="E52" s="13"/>
    </row>
    <row r="53" spans="1:9" ht="12.75" customHeight="1">
      <c r="A53" s="624">
        <f t="shared" si="0"/>
        <v>47</v>
      </c>
      <c r="B53" s="1" t="s">
        <v>1878</v>
      </c>
      <c r="E53" s="16"/>
    </row>
    <row r="54" spans="1:9" ht="12.75" customHeight="1">
      <c r="A54" s="624">
        <f t="shared" si="0"/>
        <v>48</v>
      </c>
      <c r="E54" s="121"/>
      <c r="F54" s="3" t="s">
        <v>194</v>
      </c>
    </row>
    <row r="55" spans="1:9" ht="12.75" customHeight="1">
      <c r="A55" s="117">
        <f t="shared" si="0"/>
        <v>49</v>
      </c>
      <c r="B55" s="14"/>
      <c r="C55" s="14" t="str">
        <f>"Total Electric Payroll Tax Expense (From 1-BaseTRR, Line "&amp;'1-BaseTRR'!A52&amp;")"</f>
        <v>Total Electric Payroll Tax Expense (From 1-BaseTRR, Line 30)</v>
      </c>
      <c r="D55" s="14"/>
      <c r="E55" s="14"/>
      <c r="F55" s="7">
        <f>'1-BaseTRR'!K52</f>
        <v>111755857</v>
      </c>
      <c r="G55" s="12"/>
    </row>
    <row r="56" spans="1:9" ht="12.75" customHeight="1">
      <c r="A56" s="117">
        <f t="shared" si="0"/>
        <v>50</v>
      </c>
      <c r="B56" s="14"/>
      <c r="C56" s="524" t="s">
        <v>2156</v>
      </c>
      <c r="D56" s="14"/>
      <c r="E56" s="14"/>
      <c r="F56" s="673">
        <v>0.39800000000000002</v>
      </c>
      <c r="G56" s="12"/>
    </row>
    <row r="57" spans="1:9" ht="12.75" customHeight="1">
      <c r="A57" s="117">
        <f t="shared" si="0"/>
        <v>51</v>
      </c>
      <c r="B57" s="14"/>
      <c r="C57" s="524" t="str">
        <f>"Capitalized Overhead portion of Electric Payroll Tax Expense (Line "&amp;A55&amp;" * Line "&amp;A56&amp;")"</f>
        <v>Capitalized Overhead portion of Electric Payroll Tax Expense (Line 49 * Line 50)</v>
      </c>
      <c r="D57" s="14"/>
      <c r="E57" s="14"/>
      <c r="F57" s="498">
        <f>F55*F56</f>
        <v>44478831.086000003</v>
      </c>
      <c r="G57" s="524"/>
      <c r="H57" s="14"/>
      <c r="I57" s="524"/>
    </row>
    <row r="58" spans="1:9">
      <c r="A58" s="117">
        <f t="shared" si="0"/>
        <v>52</v>
      </c>
      <c r="B58" s="14"/>
      <c r="C58" s="524" t="str">
        <f>"Non-Capitalized Overhead portion of Electric Payroll Tax Expense (Line "&amp;A55&amp;" - Line "&amp;A57&amp;")"</f>
        <v>Non-Capitalized Overhead portion of Electric Payroll Tax Expense (Line 49 - Line 51)</v>
      </c>
      <c r="D58" s="14"/>
      <c r="E58" s="14"/>
      <c r="F58" s="7">
        <f>F55-F57</f>
        <v>67277025.914000005</v>
      </c>
      <c r="G58" s="12"/>
      <c r="H58" s="14"/>
    </row>
    <row r="60" spans="1:9">
      <c r="B60" s="52" t="s">
        <v>256</v>
      </c>
    </row>
    <row r="61" spans="1:9">
      <c r="B61" s="511" t="s">
        <v>1627</v>
      </c>
    </row>
    <row r="62" spans="1:9">
      <c r="B62" s="511" t="s">
        <v>1624</v>
      </c>
    </row>
    <row r="63" spans="1:9">
      <c r="B63" s="12" t="s">
        <v>1626</v>
      </c>
    </row>
    <row r="64" spans="1:9">
      <c r="B64" s="512" t="s">
        <v>1625</v>
      </c>
    </row>
    <row r="65" spans="2:6">
      <c r="B65" s="512"/>
      <c r="C65" s="524" t="s">
        <v>2043</v>
      </c>
      <c r="D65" s="14"/>
    </row>
    <row r="66" spans="2:6">
      <c r="B66" s="512"/>
      <c r="C66" s="524"/>
      <c r="D66" s="14"/>
    </row>
    <row r="67" spans="2:6">
      <c r="B67" s="512"/>
      <c r="C67" s="1033" t="s">
        <v>2051</v>
      </c>
      <c r="D67" s="1033" t="s">
        <v>2050</v>
      </c>
    </row>
    <row r="68" spans="2:6">
      <c r="B68" s="131"/>
      <c r="C68" s="386" t="s">
        <v>2044</v>
      </c>
      <c r="D68" s="386" t="s">
        <v>2045</v>
      </c>
      <c r="E68" s="45" t="s">
        <v>2046</v>
      </c>
      <c r="F68" s="14"/>
    </row>
    <row r="69" spans="2:6">
      <c r="B69" s="756" t="s">
        <v>1928</v>
      </c>
      <c r="C69" s="668">
        <v>0.35</v>
      </c>
      <c r="D69" s="102">
        <v>365</v>
      </c>
      <c r="E69" s="524" t="s">
        <v>2047</v>
      </c>
      <c r="F69" s="14"/>
    </row>
    <row r="70" spans="2:6">
      <c r="B70" s="756" t="s">
        <v>1929</v>
      </c>
      <c r="C70" s="529"/>
      <c r="D70" s="102"/>
      <c r="E70" s="524" t="s">
        <v>2048</v>
      </c>
      <c r="F70" s="14"/>
    </row>
    <row r="71" spans="2:6">
      <c r="B71" s="756" t="s">
        <v>1930</v>
      </c>
      <c r="C71" s="1019" t="s">
        <v>2049</v>
      </c>
      <c r="D71" s="84">
        <f>((C69*D69)+(C70*D70))/365</f>
        <v>0.35</v>
      </c>
      <c r="E71" s="672" t="s">
        <v>2053</v>
      </c>
      <c r="F71" s="14"/>
    </row>
    <row r="72" spans="2:6">
      <c r="B72" s="1106" t="s">
        <v>2021</v>
      </c>
      <c r="C72" s="14"/>
      <c r="D72" s="102" t="s">
        <v>2997</v>
      </c>
      <c r="E72" s="102"/>
      <c r="F72" s="102"/>
    </row>
    <row r="73" spans="2:6">
      <c r="B73" s="1106" t="s">
        <v>2022</v>
      </c>
      <c r="C73" s="14"/>
      <c r="D73" s="14"/>
      <c r="E73" s="14"/>
      <c r="F73" s="14"/>
    </row>
    <row r="74" spans="2:6">
      <c r="B74" s="773" t="s">
        <v>2020</v>
      </c>
      <c r="C74" s="14"/>
      <c r="D74" s="102" t="s">
        <v>2998</v>
      </c>
      <c r="E74" s="102"/>
      <c r="F74" s="102"/>
    </row>
    <row r="75" spans="2:6">
      <c r="B75" s="773" t="s">
        <v>2017</v>
      </c>
      <c r="C75" s="14"/>
      <c r="D75" s="1196" t="s">
        <v>2999</v>
      </c>
      <c r="E75" s="102"/>
      <c r="F75" s="102"/>
    </row>
    <row r="76" spans="2:6">
      <c r="B76" s="773" t="s">
        <v>2018</v>
      </c>
      <c r="C76" s="14"/>
      <c r="D76" s="1196" t="s">
        <v>3000</v>
      </c>
      <c r="E76" s="102"/>
      <c r="F76" s="102"/>
    </row>
    <row r="77" spans="2:6">
      <c r="B77" s="773" t="s">
        <v>2019</v>
      </c>
      <c r="C77" s="14"/>
      <c r="D77" s="1196" t="s">
        <v>3001</v>
      </c>
      <c r="E77" s="102"/>
      <c r="F77" s="102"/>
    </row>
    <row r="78" spans="2:6">
      <c r="B78" s="524" t="s">
        <v>2157</v>
      </c>
      <c r="C78" s="14"/>
      <c r="D78" s="14"/>
      <c r="E78" s="529" t="s">
        <v>3002</v>
      </c>
    </row>
    <row r="79" spans="2:6">
      <c r="B79" s="521" t="s">
        <v>2158</v>
      </c>
      <c r="C79" s="14"/>
      <c r="D79" s="14"/>
      <c r="E79" s="588" t="s">
        <v>3003</v>
      </c>
    </row>
  </sheetData>
  <phoneticPr fontId="25" type="noConversion"/>
  <pageMargins left="0.75" right="0.75" top="1" bottom="1" header="0.5" footer="0.5"/>
  <pageSetup scale="75" orientation="portrait" cellComments="asDisplayed" r:id="rId1"/>
  <headerFooter alignWithMargins="0">
    <oddHeader>&amp;CSchedule 26
Tax Rates
&amp;RTO11 Draft Annual Update
Attachment 1</oddHeader>
    <oddFooter>&amp;R&amp;A</oddFooter>
  </headerFooter>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8"/>
  <sheetViews>
    <sheetView zoomScaleNormal="100" workbookViewId="0"/>
  </sheetViews>
  <sheetFormatPr defaultRowHeight="12.75"/>
  <cols>
    <col min="1" max="2" width="4.7109375" customWidth="1"/>
    <col min="3" max="3" width="40.7109375" customWidth="1"/>
    <col min="4" max="4" width="20.7109375" customWidth="1"/>
    <col min="5" max="5" width="28.7109375" customWidth="1"/>
    <col min="6" max="6" width="2.7109375" customWidth="1"/>
    <col min="7" max="7" width="16.7109375" customWidth="1"/>
  </cols>
  <sheetData>
    <row r="1" spans="1:9">
      <c r="A1" s="1" t="s">
        <v>221</v>
      </c>
      <c r="B1" s="1"/>
    </row>
    <row r="2" spans="1:9">
      <c r="A2" s="1"/>
      <c r="B2" s="1"/>
      <c r="E2" s="102" t="s">
        <v>17</v>
      </c>
    </row>
    <row r="3" spans="1:9">
      <c r="G3" s="106"/>
    </row>
    <row r="4" spans="1:9">
      <c r="A4" s="2"/>
      <c r="B4" s="1" t="s">
        <v>1254</v>
      </c>
      <c r="G4" s="106"/>
    </row>
    <row r="5" spans="1:9">
      <c r="A5" s="2"/>
      <c r="C5" s="1"/>
      <c r="D5" s="2"/>
      <c r="E5" s="2" t="s">
        <v>188</v>
      </c>
      <c r="G5" s="4" t="s">
        <v>73</v>
      </c>
    </row>
    <row r="6" spans="1:9">
      <c r="A6" s="52" t="s">
        <v>360</v>
      </c>
      <c r="C6" s="1"/>
      <c r="D6" s="3" t="s">
        <v>187</v>
      </c>
      <c r="E6" s="3" t="s">
        <v>189</v>
      </c>
      <c r="G6" s="3" t="s">
        <v>190</v>
      </c>
    </row>
    <row r="7" spans="1:9">
      <c r="A7" s="2">
        <v>1</v>
      </c>
      <c r="C7" s="68" t="s">
        <v>363</v>
      </c>
      <c r="D7" s="14"/>
      <c r="E7" s="15" t="str">
        <f>"19-OandM Line "&amp;'19-OandM'!A170&amp;", Col. 7"</f>
        <v>19-OandM Line 137, Col. 7</v>
      </c>
      <c r="G7" s="7">
        <f>'19-OandM'!H170</f>
        <v>35057335.647075042</v>
      </c>
      <c r="I7" s="12"/>
    </row>
    <row r="8" spans="1:9">
      <c r="A8" s="2">
        <f>A7+1</f>
        <v>2</v>
      </c>
      <c r="C8" s="68" t="s">
        <v>263</v>
      </c>
      <c r="D8" s="14"/>
      <c r="E8" s="15" t="s">
        <v>313</v>
      </c>
      <c r="G8" s="6">
        <v>754196482</v>
      </c>
    </row>
    <row r="9" spans="1:9">
      <c r="A9" s="2">
        <f t="shared" ref="A9:A62" si="0">A8+1</f>
        <v>3</v>
      </c>
      <c r="C9" s="5" t="s">
        <v>264</v>
      </c>
      <c r="D9" s="14"/>
      <c r="E9" s="15" t="s">
        <v>314</v>
      </c>
      <c r="G9" s="6">
        <v>221991079</v>
      </c>
    </row>
    <row r="10" spans="1:9">
      <c r="A10" s="2">
        <f t="shared" si="0"/>
        <v>4</v>
      </c>
      <c r="C10" s="68" t="s">
        <v>1260</v>
      </c>
      <c r="D10" s="14"/>
      <c r="E10" s="15" t="str">
        <f>"Line "&amp;A8&amp;" - Line "&amp;A9&amp;""</f>
        <v>Line 2 - Line 3</v>
      </c>
      <c r="G10" s="7">
        <f>G8-G9</f>
        <v>532205403</v>
      </c>
    </row>
    <row r="11" spans="1:9">
      <c r="A11" s="2">
        <f t="shared" si="0"/>
        <v>5</v>
      </c>
      <c r="C11" s="1107" t="s">
        <v>2503</v>
      </c>
      <c r="D11" s="14"/>
      <c r="E11" s="15" t="str">
        <f>"20-AandG, Note 2"</f>
        <v>20-AandG, Note 2</v>
      </c>
      <c r="G11" s="64">
        <f>'20-AandG'!E64</f>
        <v>77964598.463410825</v>
      </c>
      <c r="I11" s="12"/>
    </row>
    <row r="12" spans="1:9">
      <c r="A12" s="2">
        <f t="shared" si="0"/>
        <v>6</v>
      </c>
      <c r="C12" s="1048" t="s">
        <v>2499</v>
      </c>
      <c r="D12" s="14"/>
      <c r="E12" s="15" t="str">
        <f>"20-AandG, Note 2"</f>
        <v>20-AandG, Note 2</v>
      </c>
      <c r="G12" s="47">
        <f>'20-AandG'!E61</f>
        <v>28016504.916686665</v>
      </c>
    </row>
    <row r="13" spans="1:9">
      <c r="A13" s="2">
        <f t="shared" si="0"/>
        <v>7</v>
      </c>
      <c r="C13" s="1107" t="s">
        <v>2500</v>
      </c>
      <c r="D13" s="14"/>
      <c r="E13" s="15" t="str">
        <f>"Line "&amp;A11&amp;" - Line "&amp;A12&amp;""</f>
        <v>Line 5 - Line 6</v>
      </c>
      <c r="G13" s="64">
        <f>G11-G12</f>
        <v>49948093.546724156</v>
      </c>
    </row>
    <row r="14" spans="1:9">
      <c r="A14" s="2">
        <f t="shared" si="0"/>
        <v>8</v>
      </c>
      <c r="C14" s="1107" t="s">
        <v>2501</v>
      </c>
      <c r="D14" s="14"/>
      <c r="E14" s="15" t="str">
        <f>"Line "&amp;A10&amp;" + Line "&amp;A13&amp;""</f>
        <v>Line 4 + Line 7</v>
      </c>
      <c r="G14" s="64">
        <f>G10+G13</f>
        <v>582153496.5467242</v>
      </c>
    </row>
    <row r="15" spans="1:9">
      <c r="A15" s="2">
        <f t="shared" si="0"/>
        <v>9</v>
      </c>
      <c r="C15" s="14" t="s">
        <v>219</v>
      </c>
      <c r="D15" s="14"/>
      <c r="E15" s="15" t="str">
        <f>"Line "&amp;A7&amp;" / Line "&amp;A14&amp;""</f>
        <v>Line 1 / Line 8</v>
      </c>
      <c r="G15" s="71">
        <f>G7/G14</f>
        <v>6.0220089469584258E-2</v>
      </c>
    </row>
    <row r="16" spans="1:9">
      <c r="A16" s="2">
        <f t="shared" si="0"/>
        <v>10</v>
      </c>
      <c r="C16" s="14"/>
      <c r="D16" s="14"/>
      <c r="E16" s="14"/>
    </row>
    <row r="17" spans="1:11">
      <c r="A17" s="2">
        <f t="shared" si="0"/>
        <v>11</v>
      </c>
      <c r="B17" s="1" t="s">
        <v>1255</v>
      </c>
      <c r="C17" s="14"/>
      <c r="D17" s="14"/>
      <c r="E17" s="14"/>
      <c r="G17" s="106"/>
    </row>
    <row r="18" spans="1:11">
      <c r="A18" s="2">
        <f t="shared" si="0"/>
        <v>12</v>
      </c>
      <c r="C18" s="14"/>
      <c r="D18" s="117"/>
      <c r="E18" s="117" t="s">
        <v>188</v>
      </c>
      <c r="G18" s="4" t="s">
        <v>73</v>
      </c>
    </row>
    <row r="19" spans="1:11">
      <c r="A19" s="2">
        <f t="shared" si="0"/>
        <v>13</v>
      </c>
      <c r="C19" s="14"/>
      <c r="D19" s="131" t="s">
        <v>187</v>
      </c>
      <c r="E19" s="131" t="s">
        <v>189</v>
      </c>
      <c r="G19" s="3" t="s">
        <v>190</v>
      </c>
    </row>
    <row r="20" spans="1:11">
      <c r="A20" s="2">
        <f t="shared" si="0"/>
        <v>14</v>
      </c>
      <c r="C20" s="14" t="s">
        <v>364</v>
      </c>
      <c r="D20" s="14"/>
      <c r="E20" s="15" t="str">
        <f>"7-PlantStudy, Line "&amp;'7-PlantStudy'!A28&amp;""</f>
        <v>7-PlantStudy, Line 21</v>
      </c>
      <c r="G20" s="64">
        <f>'7-PlantStudy'!E28</f>
        <v>7656953152.269371</v>
      </c>
    </row>
    <row r="21" spans="1:11">
      <c r="A21" s="2">
        <f t="shared" si="0"/>
        <v>15</v>
      </c>
      <c r="C21" s="14" t="s">
        <v>365</v>
      </c>
      <c r="D21" s="14"/>
      <c r="E21" s="15" t="str">
        <f>"7-PlantStudy, Line "&amp;'7-PlantStudy'!A42&amp;""</f>
        <v>7-PlantStudy, Line 30</v>
      </c>
      <c r="G21" s="64">
        <f>'7-PlantStudy'!E42</f>
        <v>0</v>
      </c>
    </row>
    <row r="22" spans="1:11">
      <c r="A22" s="2">
        <f t="shared" si="0"/>
        <v>16</v>
      </c>
      <c r="C22" s="14" t="s">
        <v>68</v>
      </c>
      <c r="D22" s="14"/>
      <c r="E22" s="15" t="str">
        <f>"6-PlantInService, Line "&amp;'6-PlantInService'!A53&amp;", C2"</f>
        <v>6-PlantInService, Line 21, C2</v>
      </c>
      <c r="G22" s="64">
        <f>'6-PlantInService'!G53</f>
        <v>1597954444</v>
      </c>
      <c r="H22" s="106"/>
    </row>
    <row r="23" spans="1:11">
      <c r="A23" s="2">
        <f t="shared" si="0"/>
        <v>17</v>
      </c>
      <c r="C23" s="14" t="s">
        <v>69</v>
      </c>
      <c r="D23" s="14"/>
      <c r="E23" s="14" t="str">
        <f>"Line "&amp;A22&amp;" * Line "&amp;A15&amp;""</f>
        <v>Line 16 * Line 9</v>
      </c>
      <c r="G23" s="64">
        <f>G22*G15</f>
        <v>96228959.585999772</v>
      </c>
    </row>
    <row r="24" spans="1:11">
      <c r="A24" s="2">
        <f t="shared" si="0"/>
        <v>18</v>
      </c>
      <c r="C24" s="14" t="s">
        <v>67</v>
      </c>
      <c r="D24" s="14"/>
      <c r="E24" s="15" t="str">
        <f>"6-PlantInService, Line "&amp;'6-PlantInService'!A53&amp;", C1"</f>
        <v>6-PlantInService, Line 21, C1</v>
      </c>
      <c r="G24" s="64">
        <f>'6-PlantInService'!F53</f>
        <v>2810955447</v>
      </c>
    </row>
    <row r="25" spans="1:11">
      <c r="A25" s="2">
        <f t="shared" si="0"/>
        <v>19</v>
      </c>
      <c r="C25" s="14" t="s">
        <v>183</v>
      </c>
      <c r="D25" s="14"/>
      <c r="E25" s="14" t="str">
        <f>"Line "&amp;A24&amp;" * Line "&amp;A15&amp;""</f>
        <v>Line 18 * Line 9</v>
      </c>
      <c r="G25" s="64">
        <f>G24*G15</f>
        <v>169275988.5133552</v>
      </c>
    </row>
    <row r="26" spans="1:11">
      <c r="A26" s="2">
        <f t="shared" si="0"/>
        <v>20</v>
      </c>
      <c r="C26" s="15" t="s">
        <v>1258</v>
      </c>
      <c r="D26" s="14"/>
      <c r="E26" s="14" t="s">
        <v>34</v>
      </c>
      <c r="G26" s="6">
        <v>41556515000</v>
      </c>
    </row>
    <row r="27" spans="1:11">
      <c r="A27" s="2">
        <f t="shared" si="0"/>
        <v>21</v>
      </c>
      <c r="C27" s="14"/>
      <c r="D27" s="14"/>
      <c r="E27" s="14"/>
      <c r="G27" s="106"/>
    </row>
    <row r="28" spans="1:11">
      <c r="A28" s="2">
        <f t="shared" si="0"/>
        <v>22</v>
      </c>
      <c r="C28" s="14" t="s">
        <v>66</v>
      </c>
      <c r="D28" s="14"/>
      <c r="E28" s="15" t="str">
        <f>"(L"&amp;A20&amp;" + L"&amp;A21&amp;" + L"&amp;A23&amp;" + L"&amp;A25&amp;") / L"&amp;A26&amp;""</f>
        <v>(L14 + L15 + L17 + L19) / L20</v>
      </c>
      <c r="G28" s="71">
        <f>(G20+G21+G23+G25)/G26</f>
        <v>0.19064298583191411</v>
      </c>
    </row>
    <row r="29" spans="1:11">
      <c r="A29" s="645">
        <f t="shared" si="0"/>
        <v>23</v>
      </c>
      <c r="C29" s="14"/>
      <c r="D29" s="14"/>
      <c r="E29" s="15"/>
      <c r="G29" s="8"/>
    </row>
    <row r="30" spans="1:11">
      <c r="A30" s="117">
        <f t="shared" si="0"/>
        <v>24</v>
      </c>
      <c r="B30" s="44" t="s">
        <v>2226</v>
      </c>
      <c r="C30" s="14"/>
      <c r="D30" s="14"/>
      <c r="E30" s="14"/>
      <c r="F30" s="14"/>
      <c r="G30" s="14"/>
      <c r="H30" s="14"/>
      <c r="I30" s="14"/>
      <c r="J30" s="14"/>
      <c r="K30" s="14"/>
    </row>
    <row r="31" spans="1:11">
      <c r="A31" s="117">
        <f t="shared" si="0"/>
        <v>25</v>
      </c>
      <c r="B31" s="524"/>
      <c r="C31" s="14"/>
      <c r="D31" s="14"/>
      <c r="E31" s="14"/>
      <c r="F31" s="14"/>
      <c r="G31" s="14"/>
      <c r="H31" s="14"/>
      <c r="I31" s="14"/>
      <c r="J31" s="14"/>
      <c r="K31" s="14"/>
    </row>
    <row r="32" spans="1:11">
      <c r="A32" s="117">
        <f t="shared" si="0"/>
        <v>26</v>
      </c>
      <c r="B32" s="14" t="s">
        <v>2085</v>
      </c>
      <c r="C32" s="14"/>
      <c r="D32" s="131" t="s">
        <v>2089</v>
      </c>
      <c r="E32" s="131" t="s">
        <v>187</v>
      </c>
      <c r="F32" s="14"/>
      <c r="G32" s="619" t="s">
        <v>2090</v>
      </c>
      <c r="H32" s="14"/>
      <c r="I32" s="14"/>
      <c r="J32" s="14"/>
      <c r="K32" s="14"/>
    </row>
    <row r="33" spans="1:11">
      <c r="A33" s="117">
        <f t="shared" si="0"/>
        <v>27</v>
      </c>
      <c r="B33" s="14"/>
      <c r="C33" s="524" t="s">
        <v>2086</v>
      </c>
      <c r="D33" s="1175">
        <v>6294</v>
      </c>
      <c r="E33" s="131"/>
      <c r="F33" s="14"/>
      <c r="G33" s="1053" t="s">
        <v>1429</v>
      </c>
      <c r="H33" s="14"/>
      <c r="I33" s="14"/>
      <c r="J33" s="793"/>
      <c r="K33" s="14"/>
    </row>
    <row r="34" spans="1:11">
      <c r="A34" s="117">
        <f t="shared" si="0"/>
        <v>28</v>
      </c>
      <c r="B34" s="14"/>
      <c r="C34" s="14" t="s">
        <v>2087</v>
      </c>
      <c r="D34" s="1175">
        <v>11996</v>
      </c>
      <c r="E34" s="131"/>
      <c r="F34" s="14"/>
      <c r="G34" s="1053" t="s">
        <v>1430</v>
      </c>
      <c r="H34" s="14"/>
      <c r="I34" s="14"/>
      <c r="J34" s="14"/>
      <c r="K34" s="14"/>
    </row>
    <row r="35" spans="1:11">
      <c r="A35" s="117">
        <f t="shared" si="0"/>
        <v>29</v>
      </c>
      <c r="B35" s="14"/>
      <c r="C35" s="14" t="s">
        <v>2088</v>
      </c>
      <c r="D35" s="119">
        <f>SUM(D33:D34)</f>
        <v>18290</v>
      </c>
      <c r="E35" s="15" t="str">
        <f>" = L"&amp;A33&amp;" + L"&amp;A34&amp;""</f>
        <v xml:space="preserve"> = L27 + L28</v>
      </c>
      <c r="F35" s="14"/>
      <c r="G35" s="1053" t="s">
        <v>1431</v>
      </c>
      <c r="H35" s="14"/>
      <c r="I35" s="14"/>
      <c r="J35" s="14"/>
      <c r="K35" s="14"/>
    </row>
    <row r="36" spans="1:11">
      <c r="A36" s="117">
        <f t="shared" si="0"/>
        <v>30</v>
      </c>
      <c r="B36" s="14"/>
      <c r="C36" s="524" t="s">
        <v>2095</v>
      </c>
      <c r="D36" s="1109">
        <f>D33/D35</f>
        <v>0.34412247129579004</v>
      </c>
      <c r="E36" s="15" t="str">
        <f>" = L"&amp;A33&amp;" / L"&amp;A35&amp;""</f>
        <v xml:space="preserve"> = L27 / L29</v>
      </c>
      <c r="F36" s="14"/>
      <c r="G36" s="1017"/>
      <c r="H36" s="14"/>
      <c r="I36" s="14"/>
      <c r="J36" s="14"/>
      <c r="K36" s="14"/>
    </row>
    <row r="37" spans="1:11">
      <c r="A37" s="117">
        <f t="shared" si="0"/>
        <v>31</v>
      </c>
      <c r="B37" s="14"/>
      <c r="C37" s="14"/>
      <c r="D37" s="14"/>
      <c r="E37" s="14"/>
      <c r="F37" s="14"/>
      <c r="G37" s="1017"/>
      <c r="H37" s="14"/>
      <c r="I37" s="14"/>
      <c r="J37" s="14"/>
      <c r="K37" s="14"/>
    </row>
    <row r="38" spans="1:11">
      <c r="A38" s="117">
        <f t="shared" si="0"/>
        <v>32</v>
      </c>
      <c r="B38" s="524" t="s">
        <v>2091</v>
      </c>
      <c r="C38" s="14"/>
      <c r="D38" s="131" t="s">
        <v>2089</v>
      </c>
      <c r="E38" s="131" t="s">
        <v>187</v>
      </c>
      <c r="F38" s="14"/>
      <c r="G38" s="619" t="s">
        <v>2090</v>
      </c>
      <c r="H38" s="14"/>
      <c r="I38" s="14"/>
      <c r="J38" s="14"/>
      <c r="K38" s="14"/>
    </row>
    <row r="39" spans="1:11">
      <c r="A39" s="117">
        <f t="shared" si="0"/>
        <v>33</v>
      </c>
      <c r="B39" s="14"/>
      <c r="C39" s="524" t="s">
        <v>2092</v>
      </c>
      <c r="D39" s="1176">
        <v>215</v>
      </c>
      <c r="E39" s="131"/>
      <c r="F39" s="14"/>
      <c r="G39" s="1053" t="s">
        <v>1435</v>
      </c>
      <c r="H39" s="14"/>
      <c r="I39" s="14"/>
      <c r="J39" s="14"/>
      <c r="K39" s="14"/>
    </row>
    <row r="40" spans="1:11">
      <c r="A40" s="117">
        <f t="shared" si="0"/>
        <v>34</v>
      </c>
      <c r="B40" s="14"/>
      <c r="C40" s="524" t="s">
        <v>2093</v>
      </c>
      <c r="D40" s="1176">
        <v>998</v>
      </c>
      <c r="E40" s="131"/>
      <c r="F40" s="14"/>
      <c r="G40" s="14"/>
      <c r="H40" s="14"/>
      <c r="I40" s="14"/>
      <c r="J40" s="14"/>
      <c r="K40" s="14"/>
    </row>
    <row r="41" spans="1:11">
      <c r="A41" s="117">
        <f t="shared" si="0"/>
        <v>35</v>
      </c>
      <c r="B41" s="14"/>
      <c r="C41" s="524" t="s">
        <v>2094</v>
      </c>
      <c r="D41" s="119">
        <f>SUM(D39:D40)</f>
        <v>1213</v>
      </c>
      <c r="E41" s="15" t="str">
        <f>" = L"&amp;A39&amp;" + L"&amp;A40&amp;""</f>
        <v xml:space="preserve"> = L33 + L34</v>
      </c>
      <c r="F41" s="14"/>
      <c r="G41" s="14"/>
      <c r="H41" s="14"/>
      <c r="I41" s="14"/>
      <c r="J41" s="14"/>
      <c r="K41" s="14"/>
    </row>
    <row r="42" spans="1:11">
      <c r="A42" s="117">
        <f t="shared" si="0"/>
        <v>36</v>
      </c>
      <c r="B42" s="14"/>
      <c r="C42" s="524" t="s">
        <v>2096</v>
      </c>
      <c r="D42" s="1109">
        <f>D39/D41</f>
        <v>0.17724649629018963</v>
      </c>
      <c r="E42" s="15" t="str">
        <f>" = L"&amp;A39&amp;" / L"&amp;A41&amp;""</f>
        <v xml:space="preserve"> = L33 / L35</v>
      </c>
      <c r="F42" s="14"/>
      <c r="G42" s="14"/>
      <c r="H42" s="14"/>
      <c r="I42" s="14"/>
      <c r="J42" s="14"/>
      <c r="K42" s="14"/>
    </row>
    <row r="43" spans="1:11">
      <c r="A43" s="117">
        <f t="shared" si="0"/>
        <v>37</v>
      </c>
      <c r="B43" s="14"/>
      <c r="C43" s="14"/>
      <c r="D43" s="14"/>
      <c r="E43" s="14"/>
      <c r="F43" s="14"/>
      <c r="G43" s="14"/>
      <c r="H43" s="14"/>
      <c r="I43" s="14"/>
      <c r="J43" s="14"/>
      <c r="K43" s="14"/>
    </row>
    <row r="44" spans="1:11">
      <c r="A44" s="117">
        <f t="shared" si="0"/>
        <v>38</v>
      </c>
      <c r="B44" s="524" t="s">
        <v>2097</v>
      </c>
      <c r="C44" s="14"/>
      <c r="D44" s="131" t="s">
        <v>2089</v>
      </c>
      <c r="E44" s="131" t="s">
        <v>187</v>
      </c>
      <c r="F44" s="14"/>
      <c r="G44" s="619" t="s">
        <v>2090</v>
      </c>
      <c r="H44" s="14"/>
      <c r="I44" s="14"/>
      <c r="J44" s="14"/>
      <c r="K44" s="14"/>
    </row>
    <row r="45" spans="1:11">
      <c r="A45" s="117">
        <f t="shared" si="0"/>
        <v>39</v>
      </c>
      <c r="B45" s="14"/>
      <c r="C45" s="524" t="s">
        <v>2098</v>
      </c>
      <c r="D45" s="1177">
        <v>481</v>
      </c>
      <c r="E45" s="131"/>
      <c r="F45" s="14"/>
      <c r="G45" s="1053" t="s">
        <v>1436</v>
      </c>
      <c r="H45" s="14"/>
      <c r="I45" s="14"/>
      <c r="J45" s="14"/>
      <c r="K45" s="14"/>
    </row>
    <row r="46" spans="1:11">
      <c r="A46" s="117">
        <f t="shared" si="0"/>
        <v>40</v>
      </c>
      <c r="B46" s="14"/>
      <c r="C46" s="524" t="s">
        <v>2103</v>
      </c>
      <c r="D46" s="1177">
        <v>1860</v>
      </c>
      <c r="E46" s="131"/>
      <c r="F46" s="14"/>
      <c r="G46" s="14"/>
      <c r="H46" s="14"/>
      <c r="I46" s="14"/>
      <c r="J46" s="14"/>
      <c r="K46" s="14"/>
    </row>
    <row r="47" spans="1:11">
      <c r="A47" s="117">
        <f t="shared" si="0"/>
        <v>41</v>
      </c>
      <c r="B47" s="14"/>
      <c r="C47" s="524" t="s">
        <v>2099</v>
      </c>
      <c r="D47" s="119">
        <f>SUM(D45:D46)</f>
        <v>2341</v>
      </c>
      <c r="E47" s="15" t="str">
        <f>" = L"&amp;A45&amp;" + L"&amp;A46&amp;""</f>
        <v xml:space="preserve"> = L39 + L40</v>
      </c>
      <c r="F47" s="14"/>
      <c r="G47" s="14"/>
      <c r="H47" s="14"/>
      <c r="I47" s="14"/>
      <c r="J47" s="14"/>
      <c r="K47" s="14"/>
    </row>
    <row r="48" spans="1:11">
      <c r="A48" s="117">
        <f t="shared" si="0"/>
        <v>42</v>
      </c>
      <c r="B48" s="14"/>
      <c r="C48" s="524" t="s">
        <v>2100</v>
      </c>
      <c r="D48" s="1109">
        <f>D45/D47</f>
        <v>0.20546774882528834</v>
      </c>
      <c r="E48" s="15" t="str">
        <f>" = L"&amp;A45&amp;" / L"&amp;A47&amp;""</f>
        <v xml:space="preserve"> = L39 / L41</v>
      </c>
      <c r="F48" s="14"/>
      <c r="G48" s="14"/>
      <c r="H48" s="14"/>
      <c r="I48" s="14"/>
      <c r="J48" s="14"/>
      <c r="K48" s="14"/>
    </row>
    <row r="49" spans="1:11">
      <c r="A49" s="117">
        <f t="shared" si="0"/>
        <v>43</v>
      </c>
      <c r="B49" s="14"/>
      <c r="C49" s="14"/>
      <c r="D49" s="14"/>
      <c r="E49" s="14"/>
      <c r="F49" s="14"/>
      <c r="G49" s="14"/>
      <c r="H49" s="14"/>
      <c r="I49" s="14"/>
      <c r="J49" s="14"/>
      <c r="K49" s="14"/>
    </row>
    <row r="50" spans="1:11">
      <c r="A50" s="117">
        <f t="shared" si="0"/>
        <v>44</v>
      </c>
      <c r="B50" s="524" t="s">
        <v>2106</v>
      </c>
      <c r="C50" s="14"/>
      <c r="D50" s="131" t="s">
        <v>2089</v>
      </c>
      <c r="E50" s="131" t="s">
        <v>187</v>
      </c>
      <c r="F50" s="14"/>
      <c r="G50" s="619" t="s">
        <v>2090</v>
      </c>
      <c r="H50" s="14"/>
      <c r="I50" s="14"/>
      <c r="J50" s="14"/>
      <c r="K50" s="14"/>
    </row>
    <row r="51" spans="1:11">
      <c r="A51" s="117">
        <f t="shared" si="0"/>
        <v>45</v>
      </c>
      <c r="B51" s="14"/>
      <c r="C51" s="524" t="s">
        <v>2101</v>
      </c>
      <c r="D51" s="1178">
        <v>5651.664749999999</v>
      </c>
      <c r="E51" s="131"/>
      <c r="F51" s="14"/>
      <c r="G51" s="1053" t="s">
        <v>1438</v>
      </c>
      <c r="H51" s="14"/>
      <c r="I51" s="14"/>
      <c r="J51" s="14"/>
      <c r="K51" s="14"/>
    </row>
    <row r="52" spans="1:11">
      <c r="A52" s="117">
        <f t="shared" si="0"/>
        <v>46</v>
      </c>
      <c r="B52" s="14"/>
      <c r="C52" s="524" t="s">
        <v>2102</v>
      </c>
      <c r="D52" s="1178">
        <v>6431.7620500000003</v>
      </c>
      <c r="E52" s="131"/>
      <c r="F52" s="14"/>
      <c r="G52" s="1053" t="s">
        <v>1462</v>
      </c>
      <c r="H52" s="14"/>
      <c r="I52" s="14"/>
      <c r="J52" s="14"/>
      <c r="K52" s="14"/>
    </row>
    <row r="53" spans="1:11">
      <c r="A53" s="117">
        <f t="shared" si="0"/>
        <v>47</v>
      </c>
      <c r="B53" s="14"/>
      <c r="C53" s="524" t="s">
        <v>2104</v>
      </c>
      <c r="D53" s="119">
        <f>SUM(D51:D52)</f>
        <v>12083.426799999999</v>
      </c>
      <c r="E53" s="15" t="str">
        <f>" = L"&amp;A51&amp;" + L"&amp;A52&amp;""</f>
        <v xml:space="preserve"> = L45 + L46</v>
      </c>
      <c r="F53" s="14"/>
      <c r="G53" s="1053" t="s">
        <v>1463</v>
      </c>
      <c r="H53" s="14"/>
      <c r="I53" s="14"/>
      <c r="J53" s="14"/>
      <c r="K53" s="14"/>
    </row>
    <row r="54" spans="1:11">
      <c r="A54" s="117">
        <f t="shared" si="0"/>
        <v>48</v>
      </c>
      <c r="B54" s="14"/>
      <c r="C54" s="524" t="s">
        <v>2105</v>
      </c>
      <c r="D54" s="1109">
        <f>D51/D53</f>
        <v>0.46772036141270779</v>
      </c>
      <c r="E54" s="15" t="str">
        <f>" = L"&amp;A51&amp;" / L"&amp;A53&amp;""</f>
        <v xml:space="preserve"> = L45 / L47</v>
      </c>
      <c r="F54" s="14"/>
      <c r="G54" s="1053" t="s">
        <v>1464</v>
      </c>
      <c r="H54" s="14"/>
      <c r="I54" s="14"/>
      <c r="J54" s="14"/>
      <c r="K54" s="14"/>
    </row>
    <row r="55" spans="1:11">
      <c r="A55" s="117">
        <f t="shared" si="0"/>
        <v>49</v>
      </c>
      <c r="B55" s="131"/>
      <c r="C55" s="131"/>
      <c r="D55" s="14"/>
      <c r="E55" s="131"/>
      <c r="F55" s="14"/>
      <c r="G55" s="131"/>
      <c r="H55" s="14"/>
      <c r="I55" s="14"/>
      <c r="J55" s="14"/>
      <c r="K55" s="14"/>
    </row>
    <row r="56" spans="1:11">
      <c r="A56" s="117">
        <f t="shared" si="0"/>
        <v>50</v>
      </c>
      <c r="B56" s="524" t="s">
        <v>2107</v>
      </c>
      <c r="C56" s="14"/>
      <c r="D56" s="131" t="s">
        <v>2089</v>
      </c>
      <c r="E56" s="131" t="s">
        <v>187</v>
      </c>
      <c r="F56" s="14"/>
      <c r="G56" s="619" t="s">
        <v>2090</v>
      </c>
      <c r="H56" s="14"/>
      <c r="I56" s="14"/>
      <c r="J56" s="14"/>
      <c r="K56" s="14"/>
    </row>
    <row r="57" spans="1:11">
      <c r="A57" s="117">
        <f t="shared" si="0"/>
        <v>51</v>
      </c>
      <c r="B57" s="1016"/>
      <c r="C57" s="524" t="s">
        <v>2108</v>
      </c>
      <c r="D57" s="1179">
        <v>1</v>
      </c>
      <c r="E57" s="131"/>
      <c r="F57" s="14"/>
      <c r="G57" s="1053" t="s">
        <v>1439</v>
      </c>
      <c r="H57" s="14"/>
      <c r="I57" s="14"/>
      <c r="J57" s="14"/>
      <c r="K57" s="14"/>
    </row>
    <row r="58" spans="1:11">
      <c r="A58" s="117">
        <f t="shared" si="0"/>
        <v>52</v>
      </c>
      <c r="B58" s="1016"/>
      <c r="C58" s="524" t="s">
        <v>2109</v>
      </c>
      <c r="D58" s="1179">
        <v>350.17333484848473</v>
      </c>
      <c r="E58" s="131"/>
      <c r="F58" s="14"/>
      <c r="G58" s="1053" t="s">
        <v>1466</v>
      </c>
      <c r="H58" s="14"/>
      <c r="I58" s="14"/>
      <c r="J58" s="14"/>
      <c r="K58" s="14"/>
    </row>
    <row r="59" spans="1:11">
      <c r="A59" s="117">
        <f t="shared" si="0"/>
        <v>53</v>
      </c>
      <c r="B59" s="1016"/>
      <c r="C59" s="524" t="s">
        <v>2110</v>
      </c>
      <c r="D59" s="119">
        <f>SUM(D57:D58)</f>
        <v>351.17333484848473</v>
      </c>
      <c r="E59" s="15" t="str">
        <f>" = L"&amp;A57&amp;" + L"&amp;A58&amp;""</f>
        <v xml:space="preserve"> = L51 + L52</v>
      </c>
      <c r="F59" s="14"/>
      <c r="G59" s="14"/>
      <c r="H59" s="14"/>
      <c r="I59" s="14"/>
      <c r="J59" s="14"/>
      <c r="K59" s="14"/>
    </row>
    <row r="60" spans="1:11">
      <c r="A60" s="117">
        <f t="shared" si="0"/>
        <v>54</v>
      </c>
      <c r="B60" s="1016"/>
      <c r="C60" s="524" t="s">
        <v>2111</v>
      </c>
      <c r="D60" s="1109">
        <f>D57/D59</f>
        <v>2.8475966161595223E-3</v>
      </c>
      <c r="E60" s="15" t="str">
        <f>" = L"&amp;A57&amp;" / L"&amp;A59&amp;""</f>
        <v xml:space="preserve"> = L51 / L53</v>
      </c>
      <c r="F60" s="14"/>
      <c r="G60" s="14"/>
      <c r="H60" s="14"/>
      <c r="I60" s="14"/>
      <c r="J60" s="14"/>
      <c r="K60" s="14"/>
    </row>
    <row r="61" spans="1:11">
      <c r="A61" s="117">
        <f t="shared" si="0"/>
        <v>55</v>
      </c>
      <c r="B61" s="1016"/>
      <c r="C61" s="120"/>
      <c r="D61" s="14"/>
      <c r="E61" s="131"/>
      <c r="F61" s="14"/>
      <c r="G61" s="64"/>
      <c r="H61" s="14"/>
      <c r="I61" s="14"/>
      <c r="J61" s="14"/>
      <c r="K61" s="14"/>
    </row>
    <row r="62" spans="1:11">
      <c r="A62" s="117">
        <f t="shared" si="0"/>
        <v>56</v>
      </c>
      <c r="B62" s="524" t="s">
        <v>2274</v>
      </c>
      <c r="C62" s="14"/>
      <c r="D62" s="131" t="s">
        <v>2089</v>
      </c>
      <c r="E62" s="131" t="s">
        <v>187</v>
      </c>
      <c r="F62" s="14"/>
      <c r="G62" s="619" t="s">
        <v>2090</v>
      </c>
      <c r="H62" s="14"/>
      <c r="I62" s="14"/>
      <c r="J62" s="14"/>
      <c r="K62" s="14"/>
    </row>
    <row r="63" spans="1:11">
      <c r="A63" s="117">
        <f t="shared" ref="A63:A124" si="1">A62+1</f>
        <v>57</v>
      </c>
      <c r="B63" s="1016"/>
      <c r="C63" s="524" t="s">
        <v>2112</v>
      </c>
      <c r="D63" s="1180">
        <v>6252077.3605612786</v>
      </c>
      <c r="E63" s="131"/>
      <c r="F63" s="14"/>
      <c r="G63" s="1053" t="s">
        <v>1449</v>
      </c>
      <c r="H63" s="14"/>
      <c r="I63" s="14"/>
      <c r="J63" s="14"/>
      <c r="K63" s="14"/>
    </row>
    <row r="64" spans="1:11">
      <c r="A64" s="117">
        <f t="shared" si="1"/>
        <v>58</v>
      </c>
      <c r="B64" s="1016"/>
      <c r="C64" s="524" t="s">
        <v>2113</v>
      </c>
      <c r="D64" s="1180">
        <v>2849580.6368220095</v>
      </c>
      <c r="E64" s="131"/>
      <c r="F64" s="14"/>
      <c r="G64" s="1053"/>
      <c r="H64" s="14"/>
      <c r="I64" s="14"/>
      <c r="J64" s="14"/>
      <c r="K64" s="14"/>
    </row>
    <row r="65" spans="1:11">
      <c r="A65" s="117">
        <f t="shared" si="1"/>
        <v>59</v>
      </c>
      <c r="B65" s="1016"/>
      <c r="C65" s="524" t="s">
        <v>2114</v>
      </c>
      <c r="D65" s="119">
        <f>SUM(D63:D64)</f>
        <v>9101657.997383289</v>
      </c>
      <c r="E65" s="15" t="str">
        <f>" = L"&amp;A63&amp;" + L"&amp;A64&amp;""</f>
        <v xml:space="preserve"> = L57 + L58</v>
      </c>
      <c r="F65" s="14"/>
      <c r="G65" s="14"/>
      <c r="H65" s="14"/>
      <c r="I65" s="14"/>
      <c r="J65" s="14"/>
      <c r="K65" s="14"/>
    </row>
    <row r="66" spans="1:11">
      <c r="A66" s="117">
        <f t="shared" si="1"/>
        <v>60</v>
      </c>
      <c r="B66" s="1016"/>
      <c r="C66" s="524" t="s">
        <v>2115</v>
      </c>
      <c r="D66" s="1109">
        <f>D63/D65</f>
        <v>0.68691631374841156</v>
      </c>
      <c r="E66" s="15" t="str">
        <f>" = L"&amp;A63&amp;" / L"&amp;A65&amp;""</f>
        <v xml:space="preserve"> = L57 / L59</v>
      </c>
      <c r="F66" s="14"/>
      <c r="G66" s="14"/>
      <c r="H66" s="14"/>
      <c r="I66" s="14"/>
      <c r="J66" s="14"/>
      <c r="K66" s="14"/>
    </row>
    <row r="67" spans="1:11">
      <c r="A67" s="117">
        <f t="shared" si="1"/>
        <v>61</v>
      </c>
      <c r="B67" s="1108"/>
      <c r="C67" s="131"/>
      <c r="D67" s="14"/>
      <c r="E67" s="1109"/>
      <c r="F67" s="14"/>
      <c r="G67" s="14"/>
      <c r="H67" s="14"/>
      <c r="I67" s="14"/>
      <c r="J67" s="14"/>
      <c r="K67" s="14"/>
    </row>
    <row r="68" spans="1:11">
      <c r="A68" s="117">
        <f t="shared" si="1"/>
        <v>62</v>
      </c>
      <c r="B68" s="524" t="s">
        <v>2275</v>
      </c>
      <c r="C68" s="14"/>
      <c r="D68" s="131" t="s">
        <v>2089</v>
      </c>
      <c r="E68" s="131" t="s">
        <v>187</v>
      </c>
      <c r="F68" s="14"/>
      <c r="G68" s="619" t="s">
        <v>2090</v>
      </c>
      <c r="H68" s="14"/>
      <c r="I68" s="14"/>
      <c r="J68" s="14"/>
      <c r="K68" s="14"/>
    </row>
    <row r="69" spans="1:11">
      <c r="A69" s="117">
        <f t="shared" si="1"/>
        <v>63</v>
      </c>
      <c r="B69" s="1016"/>
      <c r="C69" s="524" t="s">
        <v>2116</v>
      </c>
      <c r="D69" s="1181">
        <v>377.3</v>
      </c>
      <c r="E69" s="131"/>
      <c r="F69" s="14"/>
      <c r="G69" s="1053" t="s">
        <v>1450</v>
      </c>
      <c r="H69" s="14"/>
      <c r="I69" s="14"/>
      <c r="J69" s="14"/>
      <c r="K69" s="14"/>
    </row>
    <row r="70" spans="1:11">
      <c r="A70" s="117">
        <f t="shared" si="1"/>
        <v>64</v>
      </c>
      <c r="B70" s="1016"/>
      <c r="C70" s="524" t="s">
        <v>2117</v>
      </c>
      <c r="D70" s="1181">
        <v>38.300000000000011</v>
      </c>
      <c r="E70" s="131"/>
      <c r="F70" s="14"/>
      <c r="G70" s="1053"/>
      <c r="H70" s="14"/>
      <c r="I70" s="14"/>
      <c r="J70" s="14"/>
      <c r="K70" s="14"/>
    </row>
    <row r="71" spans="1:11">
      <c r="A71" s="117">
        <f t="shared" si="1"/>
        <v>65</v>
      </c>
      <c r="B71" s="1016"/>
      <c r="C71" s="524" t="s">
        <v>2118</v>
      </c>
      <c r="D71" s="119">
        <f>SUM(D69:D70)</f>
        <v>415.6</v>
      </c>
      <c r="E71" s="15" t="str">
        <f>" = L"&amp;A69&amp;" + L"&amp;A70&amp;""</f>
        <v xml:space="preserve"> = L63 + L64</v>
      </c>
      <c r="F71" s="14"/>
      <c r="G71" s="14"/>
      <c r="H71" s="14"/>
      <c r="I71" s="14"/>
      <c r="J71" s="14"/>
      <c r="K71" s="14"/>
    </row>
    <row r="72" spans="1:11">
      <c r="A72" s="117">
        <f t="shared" si="1"/>
        <v>66</v>
      </c>
      <c r="B72" s="1016"/>
      <c r="C72" s="524" t="s">
        <v>2119</v>
      </c>
      <c r="D72" s="1109">
        <f>D69/D71</f>
        <v>0.90784408084696822</v>
      </c>
      <c r="E72" s="15" t="str">
        <f>" = L"&amp;A69&amp;" / L"&amp;A71&amp;""</f>
        <v xml:space="preserve"> = L63 / L65</v>
      </c>
      <c r="F72" s="14"/>
      <c r="G72" s="14"/>
      <c r="H72" s="14"/>
      <c r="I72" s="14"/>
      <c r="J72" s="14"/>
      <c r="K72" s="14"/>
    </row>
    <row r="73" spans="1:11">
      <c r="A73" s="117">
        <f t="shared" si="1"/>
        <v>67</v>
      </c>
      <c r="B73" s="44"/>
      <c r="C73" s="14"/>
      <c r="D73" s="14"/>
      <c r="E73" s="14"/>
      <c r="F73" s="14"/>
      <c r="G73" s="14"/>
      <c r="H73" s="14"/>
      <c r="I73" s="14"/>
      <c r="J73" s="14"/>
      <c r="K73" s="14"/>
    </row>
    <row r="74" spans="1:11">
      <c r="A74" s="117">
        <f t="shared" si="1"/>
        <v>68</v>
      </c>
      <c r="B74" s="524" t="s">
        <v>2276</v>
      </c>
      <c r="C74" s="14"/>
      <c r="D74" s="131" t="s">
        <v>2089</v>
      </c>
      <c r="E74" s="131" t="s">
        <v>187</v>
      </c>
      <c r="F74" s="14"/>
      <c r="G74" s="619" t="s">
        <v>2090</v>
      </c>
      <c r="H74" s="14"/>
      <c r="I74" s="14"/>
      <c r="J74" s="14"/>
      <c r="K74" s="14"/>
    </row>
    <row r="75" spans="1:11">
      <c r="A75" s="117">
        <f t="shared" si="1"/>
        <v>69</v>
      </c>
      <c r="B75" s="1016"/>
      <c r="C75" s="524" t="s">
        <v>2120</v>
      </c>
      <c r="D75" s="105">
        <v>134</v>
      </c>
      <c r="E75" s="131"/>
      <c r="F75" s="14"/>
      <c r="G75" s="1053" t="s">
        <v>1457</v>
      </c>
      <c r="H75" s="14"/>
      <c r="I75" s="14"/>
      <c r="J75" s="14"/>
      <c r="K75" s="14"/>
    </row>
    <row r="76" spans="1:11">
      <c r="A76" s="117">
        <f t="shared" si="1"/>
        <v>70</v>
      </c>
      <c r="B76" s="1016"/>
      <c r="C76" s="524" t="s">
        <v>2121</v>
      </c>
      <c r="D76" s="105">
        <v>471</v>
      </c>
      <c r="E76" s="131"/>
      <c r="F76" s="14"/>
      <c r="G76" s="1053"/>
      <c r="H76" s="14"/>
      <c r="I76" s="14"/>
      <c r="J76" s="14"/>
      <c r="K76" s="14"/>
    </row>
    <row r="77" spans="1:11">
      <c r="A77" s="117">
        <f t="shared" si="1"/>
        <v>71</v>
      </c>
      <c r="B77" s="1016"/>
      <c r="C77" s="524" t="s">
        <v>2122</v>
      </c>
      <c r="D77" s="119">
        <f>SUM(D75:D76)</f>
        <v>605</v>
      </c>
      <c r="E77" s="15" t="str">
        <f>" = L"&amp;A75&amp;" + L"&amp;A76&amp;""</f>
        <v xml:space="preserve"> = L69 + L70</v>
      </c>
      <c r="F77" s="14"/>
      <c r="G77" s="14"/>
      <c r="H77" s="14"/>
      <c r="I77" s="14"/>
      <c r="J77" s="14"/>
      <c r="K77" s="14"/>
    </row>
    <row r="78" spans="1:11">
      <c r="A78" s="117">
        <f t="shared" si="1"/>
        <v>72</v>
      </c>
      <c r="B78" s="1016"/>
      <c r="C78" s="524" t="s">
        <v>2123</v>
      </c>
      <c r="D78" s="1109">
        <f>D75/D77</f>
        <v>0.22148760330578512</v>
      </c>
      <c r="E78" s="15" t="str">
        <f>" = L"&amp;A75&amp;" / L"&amp;A77&amp;""</f>
        <v xml:space="preserve"> = L69 / L71</v>
      </c>
      <c r="F78" s="14"/>
      <c r="G78" s="14"/>
      <c r="H78" s="14"/>
      <c r="I78" s="14"/>
      <c r="J78" s="14"/>
      <c r="K78" s="14"/>
    </row>
    <row r="79" spans="1:11">
      <c r="A79" s="117">
        <f t="shared" si="1"/>
        <v>73</v>
      </c>
      <c r="B79" s="14"/>
      <c r="C79" s="14"/>
      <c r="D79" s="14"/>
      <c r="E79" s="14"/>
      <c r="F79" s="14"/>
      <c r="G79" s="14"/>
      <c r="H79" s="14"/>
      <c r="I79" s="14"/>
      <c r="J79" s="14"/>
      <c r="K79" s="14"/>
    </row>
    <row r="80" spans="1:11">
      <c r="A80" s="117">
        <f t="shared" si="1"/>
        <v>74</v>
      </c>
      <c r="B80" s="524" t="s">
        <v>2277</v>
      </c>
      <c r="C80" s="14"/>
      <c r="D80" s="131" t="s">
        <v>2089</v>
      </c>
      <c r="E80" s="131" t="s">
        <v>187</v>
      </c>
      <c r="F80" s="14"/>
      <c r="G80" s="619" t="s">
        <v>2090</v>
      </c>
      <c r="H80" s="14"/>
      <c r="I80" s="14"/>
      <c r="J80" s="14"/>
      <c r="K80" s="14"/>
    </row>
    <row r="81" spans="1:11">
      <c r="A81" s="117">
        <f t="shared" si="1"/>
        <v>75</v>
      </c>
      <c r="B81" s="1016"/>
      <c r="C81" s="524" t="s">
        <v>2124</v>
      </c>
      <c r="D81" s="1182">
        <v>1144</v>
      </c>
      <c r="E81" s="131"/>
      <c r="F81" s="14"/>
      <c r="G81" s="1053" t="s">
        <v>1458</v>
      </c>
      <c r="H81" s="14"/>
      <c r="I81" s="14"/>
      <c r="J81" s="14"/>
      <c r="K81" s="14"/>
    </row>
    <row r="82" spans="1:11">
      <c r="A82" s="117">
        <f t="shared" si="1"/>
        <v>76</v>
      </c>
      <c r="B82" s="1016"/>
      <c r="C82" s="524" t="s">
        <v>2125</v>
      </c>
      <c r="D82" s="1182">
        <v>2034</v>
      </c>
      <c r="E82" s="131"/>
      <c r="F82" s="14"/>
      <c r="G82" s="1053"/>
      <c r="H82" s="14"/>
      <c r="I82" s="14"/>
      <c r="J82" s="14"/>
      <c r="K82" s="14"/>
    </row>
    <row r="83" spans="1:11">
      <c r="A83" s="117">
        <f t="shared" si="1"/>
        <v>77</v>
      </c>
      <c r="B83" s="1016"/>
      <c r="C83" s="524" t="s">
        <v>2126</v>
      </c>
      <c r="D83" s="119">
        <f>SUM(D81:D82)</f>
        <v>3178</v>
      </c>
      <c r="E83" s="15" t="str">
        <f>" = L"&amp;A81&amp;" + L"&amp;A82&amp;""</f>
        <v xml:space="preserve"> = L75 + L76</v>
      </c>
      <c r="F83" s="14"/>
      <c r="G83" s="14"/>
      <c r="H83" s="14"/>
      <c r="I83" s="14"/>
      <c r="J83" s="14"/>
      <c r="K83" s="14"/>
    </row>
    <row r="84" spans="1:11">
      <c r="A84" s="117">
        <f t="shared" si="1"/>
        <v>78</v>
      </c>
      <c r="B84" s="1016"/>
      <c r="C84" s="524" t="s">
        <v>2127</v>
      </c>
      <c r="D84" s="1109">
        <f>D81/D83</f>
        <v>0.35997482693517935</v>
      </c>
      <c r="E84" s="15" t="str">
        <f>" = L"&amp;A81&amp;" / L"&amp;A83&amp;""</f>
        <v xml:space="preserve"> = L75 / L77</v>
      </c>
      <c r="F84" s="14"/>
      <c r="G84" s="14"/>
      <c r="H84" s="14"/>
      <c r="I84" s="14"/>
      <c r="J84" s="14"/>
      <c r="K84" s="14"/>
    </row>
    <row r="85" spans="1:11">
      <c r="A85" s="117">
        <f t="shared" si="1"/>
        <v>79</v>
      </c>
      <c r="B85" s="14"/>
      <c r="C85" s="85"/>
      <c r="D85" s="14"/>
      <c r="E85" s="14"/>
      <c r="F85" s="14"/>
      <c r="G85" s="14"/>
      <c r="H85" s="14"/>
      <c r="I85" s="14"/>
      <c r="J85" s="14"/>
      <c r="K85" s="14"/>
    </row>
    <row r="86" spans="1:11">
      <c r="A86" s="117">
        <f t="shared" si="1"/>
        <v>80</v>
      </c>
      <c r="B86" s="524" t="s">
        <v>2278</v>
      </c>
      <c r="C86" s="14"/>
      <c r="D86" s="131" t="s">
        <v>2089</v>
      </c>
      <c r="E86" s="131" t="s">
        <v>187</v>
      </c>
      <c r="F86" s="14"/>
      <c r="G86" s="619" t="s">
        <v>2090</v>
      </c>
      <c r="H86" s="14"/>
      <c r="I86" s="14"/>
      <c r="J86" s="14"/>
      <c r="K86" s="14"/>
    </row>
    <row r="87" spans="1:11">
      <c r="A87" s="117">
        <f t="shared" si="1"/>
        <v>81</v>
      </c>
      <c r="B87" s="1016"/>
      <c r="C87" s="524" t="s">
        <v>2128</v>
      </c>
      <c r="D87" s="105">
        <v>310</v>
      </c>
      <c r="E87" s="131"/>
      <c r="F87" s="14"/>
      <c r="G87" s="1053" t="s">
        <v>1459</v>
      </c>
      <c r="H87" s="14"/>
      <c r="I87" s="14"/>
      <c r="J87" s="14"/>
      <c r="K87" s="14"/>
    </row>
    <row r="88" spans="1:11">
      <c r="A88" s="117">
        <f t="shared" si="1"/>
        <v>82</v>
      </c>
      <c r="B88" s="1016"/>
      <c r="C88" s="524" t="s">
        <v>2129</v>
      </c>
      <c r="D88" s="105">
        <v>151</v>
      </c>
      <c r="E88" s="131"/>
      <c r="F88" s="14"/>
      <c r="G88" s="1053"/>
      <c r="H88" s="14"/>
      <c r="I88" s="14"/>
      <c r="J88" s="14"/>
      <c r="K88" s="14"/>
    </row>
    <row r="89" spans="1:11">
      <c r="A89" s="117">
        <f t="shared" si="1"/>
        <v>83</v>
      </c>
      <c r="B89" s="1016"/>
      <c r="C89" s="524" t="s">
        <v>2130</v>
      </c>
      <c r="D89" s="119">
        <f>SUM(D87:D88)</f>
        <v>461</v>
      </c>
      <c r="E89" s="15" t="str">
        <f>" = L"&amp;A87&amp;" + L"&amp;A88&amp;""</f>
        <v xml:space="preserve"> = L81 + L82</v>
      </c>
      <c r="F89" s="14"/>
      <c r="G89" s="14"/>
      <c r="H89" s="14"/>
      <c r="I89" s="14"/>
      <c r="J89" s="14"/>
      <c r="K89" s="14"/>
    </row>
    <row r="90" spans="1:11">
      <c r="A90" s="117">
        <f t="shared" si="1"/>
        <v>84</v>
      </c>
      <c r="B90" s="1016"/>
      <c r="C90" s="524" t="s">
        <v>2131</v>
      </c>
      <c r="D90" s="1109">
        <f>D87/D89</f>
        <v>0.67245119305856837</v>
      </c>
      <c r="E90" s="15" t="str">
        <f>" = L"&amp;A87&amp;" / L"&amp;A89&amp;""</f>
        <v xml:space="preserve"> = L81 / L83</v>
      </c>
      <c r="F90" s="14"/>
      <c r="G90" s="14"/>
      <c r="H90" s="14"/>
      <c r="I90" s="14"/>
      <c r="J90" s="14"/>
      <c r="K90" s="14"/>
    </row>
    <row r="91" spans="1:11">
      <c r="A91" s="117">
        <f t="shared" si="1"/>
        <v>85</v>
      </c>
      <c r="B91" s="14"/>
      <c r="C91" s="14"/>
      <c r="D91" s="14"/>
      <c r="E91" s="14"/>
      <c r="F91" s="14"/>
      <c r="G91" s="14"/>
      <c r="H91" s="14"/>
      <c r="I91" s="14"/>
      <c r="J91" s="14"/>
      <c r="K91" s="14"/>
    </row>
    <row r="92" spans="1:11">
      <c r="A92" s="117">
        <f t="shared" si="1"/>
        <v>86</v>
      </c>
      <c r="B92" s="524" t="s">
        <v>2279</v>
      </c>
      <c r="C92" s="14"/>
      <c r="D92" s="131" t="s">
        <v>2089</v>
      </c>
      <c r="E92" s="131" t="s">
        <v>187</v>
      </c>
      <c r="F92" s="14"/>
      <c r="G92" s="619" t="s">
        <v>2090</v>
      </c>
      <c r="H92" s="14"/>
      <c r="I92" s="14"/>
      <c r="J92" s="14"/>
      <c r="K92" s="14"/>
    </row>
    <row r="93" spans="1:11">
      <c r="A93" s="117">
        <f t="shared" si="1"/>
        <v>87</v>
      </c>
      <c r="B93" s="1016"/>
      <c r="C93" s="524" t="s">
        <v>2132</v>
      </c>
      <c r="D93" s="105">
        <v>468246.38608930749</v>
      </c>
      <c r="E93" s="131"/>
      <c r="F93" s="14"/>
      <c r="G93" s="14" t="s">
        <v>1852</v>
      </c>
      <c r="H93" s="14"/>
      <c r="I93" s="14"/>
      <c r="J93" s="14"/>
      <c r="K93" s="14"/>
    </row>
    <row r="94" spans="1:11">
      <c r="A94" s="117">
        <f t="shared" si="1"/>
        <v>88</v>
      </c>
      <c r="B94" s="1016"/>
      <c r="C94" s="524" t="s">
        <v>2133</v>
      </c>
      <c r="D94" s="105">
        <v>1181071.4539106924</v>
      </c>
      <c r="E94" s="131"/>
      <c r="F94" s="14"/>
      <c r="G94" s="1053"/>
      <c r="H94" s="14"/>
      <c r="I94" s="14"/>
      <c r="J94" s="14"/>
      <c r="K94" s="14"/>
    </row>
    <row r="95" spans="1:11">
      <c r="A95" s="117">
        <f t="shared" si="1"/>
        <v>89</v>
      </c>
      <c r="B95" s="1016"/>
      <c r="C95" s="524" t="s">
        <v>2134</v>
      </c>
      <c r="D95" s="119">
        <f>SUM(D93:D94)</f>
        <v>1649317.8399999999</v>
      </c>
      <c r="E95" s="15" t="str">
        <f>" = L"&amp;A93&amp;" + L"&amp;A94&amp;""</f>
        <v xml:space="preserve"> = L87 + L88</v>
      </c>
      <c r="F95" s="14"/>
      <c r="G95" s="14"/>
      <c r="H95" s="14"/>
      <c r="I95" s="14"/>
      <c r="J95" s="14"/>
      <c r="K95" s="14"/>
    </row>
    <row r="96" spans="1:11">
      <c r="A96" s="117">
        <f t="shared" si="1"/>
        <v>90</v>
      </c>
      <c r="B96" s="1016"/>
      <c r="C96" s="524" t="s">
        <v>2135</v>
      </c>
      <c r="D96" s="1109">
        <f>D93/D95</f>
        <v>0.28390306266820442</v>
      </c>
      <c r="E96" s="15" t="str">
        <f>" = L"&amp;A93&amp;" / L"&amp;A95&amp;""</f>
        <v xml:space="preserve"> = L87 / L89</v>
      </c>
      <c r="F96" s="14"/>
      <c r="G96" s="14"/>
      <c r="H96" s="14"/>
      <c r="I96" s="14"/>
      <c r="J96" s="14"/>
      <c r="K96" s="14"/>
    </row>
    <row r="97" spans="1:11">
      <c r="A97" s="117">
        <f t="shared" si="1"/>
        <v>91</v>
      </c>
      <c r="B97" s="14"/>
      <c r="C97" s="14"/>
      <c r="D97" s="14"/>
      <c r="E97" s="14"/>
      <c r="F97" s="14"/>
      <c r="G97" s="14"/>
      <c r="H97" s="14"/>
      <c r="I97" s="14"/>
      <c r="J97" s="14"/>
      <c r="K97" s="14"/>
    </row>
    <row r="98" spans="1:11">
      <c r="A98" s="117">
        <f t="shared" si="1"/>
        <v>92</v>
      </c>
      <c r="B98" s="524" t="s">
        <v>2280</v>
      </c>
      <c r="C98" s="14"/>
      <c r="D98" s="131" t="s">
        <v>2089</v>
      </c>
      <c r="E98" s="131" t="s">
        <v>187</v>
      </c>
      <c r="F98" s="14"/>
      <c r="G98" s="619" t="s">
        <v>2090</v>
      </c>
      <c r="H98" s="14"/>
      <c r="I98" s="14"/>
      <c r="J98" s="14"/>
      <c r="K98" s="14"/>
    </row>
    <row r="99" spans="1:11">
      <c r="A99" s="117">
        <f t="shared" si="1"/>
        <v>93</v>
      </c>
      <c r="B99" s="1016"/>
      <c r="C99" s="524" t="s">
        <v>2136</v>
      </c>
      <c r="D99" s="105">
        <v>394539.06064598879</v>
      </c>
      <c r="E99" s="131"/>
      <c r="F99" s="14"/>
      <c r="G99" s="1053" t="s">
        <v>1656</v>
      </c>
      <c r="H99" s="14"/>
      <c r="I99" s="14"/>
      <c r="J99" s="14"/>
      <c r="K99" s="14"/>
    </row>
    <row r="100" spans="1:11">
      <c r="A100" s="117">
        <f t="shared" si="1"/>
        <v>94</v>
      </c>
      <c r="B100" s="1016"/>
      <c r="C100" s="524" t="s">
        <v>2137</v>
      </c>
      <c r="D100" s="105">
        <v>6793035.6693540104</v>
      </c>
      <c r="E100" s="131"/>
      <c r="F100" s="14"/>
      <c r="G100" s="1053"/>
      <c r="H100" s="14"/>
      <c r="I100" s="14"/>
      <c r="J100" s="14"/>
      <c r="K100" s="14"/>
    </row>
    <row r="101" spans="1:11">
      <c r="A101" s="117">
        <f t="shared" si="1"/>
        <v>95</v>
      </c>
      <c r="B101" s="1016"/>
      <c r="C101" s="524" t="s">
        <v>2138</v>
      </c>
      <c r="D101" s="119">
        <f>SUM(D99:D100)</f>
        <v>7187574.7299999995</v>
      </c>
      <c r="E101" s="15" t="str">
        <f>" = L"&amp;A99&amp;" + L"&amp;A100&amp;""</f>
        <v xml:space="preserve"> = L93 + L94</v>
      </c>
      <c r="F101" s="14"/>
      <c r="G101" s="14"/>
      <c r="H101" s="14"/>
      <c r="I101" s="14"/>
      <c r="J101" s="14"/>
      <c r="K101" s="14"/>
    </row>
    <row r="102" spans="1:11">
      <c r="A102" s="117">
        <f t="shared" si="1"/>
        <v>96</v>
      </c>
      <c r="B102" s="1016"/>
      <c r="C102" s="524" t="s">
        <v>2139</v>
      </c>
      <c r="D102" s="1109">
        <f>D99/D101</f>
        <v>5.4891820324209528E-2</v>
      </c>
      <c r="E102" s="15" t="str">
        <f>" = L"&amp;A99&amp;" / L"&amp;A101&amp;""</f>
        <v xml:space="preserve"> = L93 / L95</v>
      </c>
      <c r="F102" s="14"/>
      <c r="G102" s="14"/>
      <c r="H102" s="14"/>
      <c r="I102" s="14"/>
      <c r="J102" s="14"/>
      <c r="K102" s="14"/>
    </row>
    <row r="103" spans="1:11">
      <c r="A103" s="117">
        <f t="shared" si="1"/>
        <v>97</v>
      </c>
      <c r="B103" s="14"/>
      <c r="C103" s="14"/>
      <c r="D103" s="14"/>
      <c r="E103" s="14"/>
      <c r="F103" s="14"/>
      <c r="G103" s="14"/>
      <c r="H103" s="14"/>
      <c r="I103" s="14"/>
      <c r="J103" s="14"/>
      <c r="K103" s="14"/>
    </row>
    <row r="104" spans="1:11">
      <c r="A104" s="117">
        <f t="shared" si="1"/>
        <v>98</v>
      </c>
      <c r="B104" s="524" t="s">
        <v>2281</v>
      </c>
      <c r="C104" s="14"/>
      <c r="D104" s="131" t="s">
        <v>2089</v>
      </c>
      <c r="E104" s="131" t="s">
        <v>187</v>
      </c>
      <c r="F104" s="14"/>
      <c r="G104" s="619" t="s">
        <v>2090</v>
      </c>
      <c r="H104" s="14"/>
      <c r="I104" s="14"/>
      <c r="J104" s="14"/>
      <c r="K104" s="14"/>
    </row>
    <row r="105" spans="1:11">
      <c r="A105" s="117">
        <f t="shared" si="1"/>
        <v>99</v>
      </c>
      <c r="B105" s="1016"/>
      <c r="C105" s="524" t="s">
        <v>2140</v>
      </c>
      <c r="D105" s="105">
        <v>804555.98302611033</v>
      </c>
      <c r="E105" s="131"/>
      <c r="F105" s="14"/>
      <c r="G105" s="1053" t="s">
        <v>1468</v>
      </c>
      <c r="H105" s="14"/>
      <c r="I105" s="14"/>
      <c r="J105" s="14"/>
      <c r="K105" s="14"/>
    </row>
    <row r="106" spans="1:11">
      <c r="A106" s="117">
        <f t="shared" si="1"/>
        <v>100</v>
      </c>
      <c r="B106" s="1016"/>
      <c r="C106" s="524" t="s">
        <v>2141</v>
      </c>
      <c r="D106" s="105">
        <v>1054364.7469738896</v>
      </c>
      <c r="E106" s="131"/>
      <c r="F106" s="14"/>
      <c r="G106" s="1053"/>
      <c r="H106" s="14"/>
      <c r="I106" s="14"/>
      <c r="J106" s="14"/>
      <c r="K106" s="14"/>
    </row>
    <row r="107" spans="1:11">
      <c r="A107" s="117">
        <f t="shared" si="1"/>
        <v>101</v>
      </c>
      <c r="B107" s="1016"/>
      <c r="C107" s="524" t="s">
        <v>2142</v>
      </c>
      <c r="D107" s="119">
        <f>SUM(D105:D106)</f>
        <v>1858920.73</v>
      </c>
      <c r="E107" s="15" t="str">
        <f>" = L"&amp;A105&amp;" + L"&amp;A106&amp;""</f>
        <v xml:space="preserve"> = L99 + L100</v>
      </c>
      <c r="F107" s="14"/>
      <c r="G107" s="14"/>
      <c r="H107" s="14"/>
      <c r="I107" s="14"/>
      <c r="J107" s="14"/>
      <c r="K107" s="14"/>
    </row>
    <row r="108" spans="1:11">
      <c r="A108" s="117">
        <f t="shared" si="1"/>
        <v>102</v>
      </c>
      <c r="B108" s="1016"/>
      <c r="C108" s="524" t="s">
        <v>2143</v>
      </c>
      <c r="D108" s="1109">
        <f>D105/D107</f>
        <v>0.43280811819561038</v>
      </c>
      <c r="E108" s="15" t="str">
        <f>" = L"&amp;A105&amp;" / L"&amp;A107&amp;""</f>
        <v xml:space="preserve"> = L99 / L101</v>
      </c>
      <c r="F108" s="14"/>
      <c r="G108" s="14"/>
      <c r="H108" s="14"/>
      <c r="I108" s="14"/>
      <c r="J108" s="14"/>
      <c r="K108" s="14"/>
    </row>
    <row r="109" spans="1:11">
      <c r="A109" s="117">
        <f t="shared" si="1"/>
        <v>103</v>
      </c>
      <c r="B109" s="14"/>
      <c r="C109" s="14"/>
      <c r="D109" s="14"/>
      <c r="E109" s="14"/>
      <c r="F109" s="14"/>
      <c r="G109" s="14"/>
      <c r="H109" s="14"/>
      <c r="I109" s="14"/>
      <c r="J109" s="14"/>
      <c r="K109" s="14"/>
    </row>
    <row r="110" spans="1:11">
      <c r="A110" s="117">
        <f t="shared" si="1"/>
        <v>104</v>
      </c>
      <c r="B110" s="524" t="s">
        <v>2282</v>
      </c>
      <c r="C110" s="14"/>
      <c r="D110" s="131" t="s">
        <v>2089</v>
      </c>
      <c r="E110" s="131" t="s">
        <v>187</v>
      </c>
      <c r="F110" s="14"/>
      <c r="G110" s="619" t="s">
        <v>2090</v>
      </c>
      <c r="H110" s="14"/>
      <c r="I110" s="14"/>
      <c r="J110" s="14"/>
      <c r="K110" s="14"/>
    </row>
    <row r="111" spans="1:11">
      <c r="A111" s="117">
        <f t="shared" si="1"/>
        <v>105</v>
      </c>
      <c r="B111" s="1016"/>
      <c r="C111" s="524" t="s">
        <v>2144</v>
      </c>
      <c r="D111" s="105">
        <v>0</v>
      </c>
      <c r="E111" s="131"/>
      <c r="F111" s="14"/>
      <c r="G111" s="1053" t="s">
        <v>1475</v>
      </c>
      <c r="H111" s="14"/>
      <c r="I111" s="14"/>
      <c r="J111" s="14"/>
      <c r="K111" s="14"/>
    </row>
    <row r="112" spans="1:11">
      <c r="A112" s="117">
        <f t="shared" si="1"/>
        <v>106</v>
      </c>
      <c r="B112" s="1016"/>
      <c r="C112" s="524" t="s">
        <v>2145</v>
      </c>
      <c r="D112" s="105">
        <v>2262</v>
      </c>
      <c r="E112" s="131"/>
      <c r="F112" s="14"/>
      <c r="G112" s="1053"/>
      <c r="H112" s="14"/>
      <c r="I112" s="14"/>
      <c r="J112" s="14"/>
      <c r="K112" s="14"/>
    </row>
    <row r="113" spans="1:11">
      <c r="A113" s="117">
        <f t="shared" si="1"/>
        <v>107</v>
      </c>
      <c r="B113" s="1016"/>
      <c r="C113" s="524" t="s">
        <v>2146</v>
      </c>
      <c r="D113" s="119">
        <f>SUM(D111:D112)</f>
        <v>2262</v>
      </c>
      <c r="E113" s="15" t="str">
        <f>" = L"&amp;A111&amp;" + L"&amp;A112&amp;""</f>
        <v xml:space="preserve"> = L105 + L106</v>
      </c>
      <c r="F113" s="14"/>
      <c r="G113" s="14"/>
      <c r="H113" s="14"/>
      <c r="I113" s="14"/>
      <c r="J113" s="14"/>
      <c r="K113" s="14"/>
    </row>
    <row r="114" spans="1:11">
      <c r="A114" s="117">
        <f t="shared" si="1"/>
        <v>108</v>
      </c>
      <c r="B114" s="1016"/>
      <c r="C114" s="524" t="s">
        <v>2147</v>
      </c>
      <c r="D114" s="1109">
        <f>D111/D113</f>
        <v>0</v>
      </c>
      <c r="E114" s="15" t="str">
        <f>" = L"&amp;A111&amp;" / L"&amp;A113&amp;""</f>
        <v xml:space="preserve"> = L105 / L107</v>
      </c>
      <c r="F114" s="14"/>
      <c r="G114" s="14"/>
      <c r="H114" s="14"/>
      <c r="I114" s="14"/>
      <c r="J114" s="14"/>
      <c r="K114" s="14"/>
    </row>
    <row r="115" spans="1:11">
      <c r="A115" s="117">
        <f t="shared" si="1"/>
        <v>109</v>
      </c>
      <c r="B115" s="14"/>
      <c r="C115" s="14"/>
      <c r="D115" s="14"/>
      <c r="E115" s="14"/>
      <c r="F115" s="14"/>
      <c r="G115" s="14"/>
      <c r="H115" s="14"/>
      <c r="I115" s="14"/>
      <c r="J115" s="14"/>
      <c r="K115" s="14"/>
    </row>
    <row r="116" spans="1:11">
      <c r="A116" s="117">
        <f t="shared" si="1"/>
        <v>110</v>
      </c>
      <c r="B116" s="524" t="s">
        <v>2283</v>
      </c>
      <c r="C116" s="14"/>
      <c r="D116" s="131" t="s">
        <v>2089</v>
      </c>
      <c r="E116" s="131" t="s">
        <v>187</v>
      </c>
      <c r="F116" s="14"/>
      <c r="G116" s="619" t="s">
        <v>2090</v>
      </c>
      <c r="H116" s="14"/>
      <c r="I116" s="14"/>
      <c r="J116" s="14"/>
      <c r="K116" s="14"/>
    </row>
    <row r="117" spans="1:11">
      <c r="A117" s="117">
        <f t="shared" si="1"/>
        <v>111</v>
      </c>
      <c r="B117" s="1016"/>
      <c r="C117" s="524" t="s">
        <v>2150</v>
      </c>
      <c r="D117" s="105">
        <v>0</v>
      </c>
      <c r="E117" s="131"/>
      <c r="F117" s="14"/>
      <c r="G117" s="1053" t="s">
        <v>1476</v>
      </c>
      <c r="H117" s="14"/>
      <c r="I117" s="14"/>
      <c r="J117" s="14"/>
      <c r="K117" s="14"/>
    </row>
    <row r="118" spans="1:11">
      <c r="A118" s="117">
        <f t="shared" si="1"/>
        <v>112</v>
      </c>
      <c r="B118" s="1016"/>
      <c r="C118" s="524" t="s">
        <v>2148</v>
      </c>
      <c r="D118" s="105">
        <v>8841</v>
      </c>
      <c r="E118" s="131"/>
      <c r="F118" s="14"/>
      <c r="G118" s="1053"/>
      <c r="H118" s="14"/>
      <c r="I118" s="14"/>
      <c r="J118" s="14"/>
      <c r="K118" s="14"/>
    </row>
    <row r="119" spans="1:11">
      <c r="A119" s="117">
        <f t="shared" si="1"/>
        <v>113</v>
      </c>
      <c r="B119" s="1016"/>
      <c r="C119" s="524" t="s">
        <v>2149</v>
      </c>
      <c r="D119" s="119">
        <f>SUM(D117:D118)</f>
        <v>8841</v>
      </c>
      <c r="E119" s="15" t="str">
        <f>" = L"&amp;A117&amp;" + L"&amp;A118&amp;""</f>
        <v xml:space="preserve"> = L111 + L112</v>
      </c>
      <c r="F119" s="14"/>
      <c r="G119" s="14"/>
      <c r="H119" s="14"/>
      <c r="I119" s="14"/>
      <c r="J119" s="14"/>
      <c r="K119" s="14"/>
    </row>
    <row r="120" spans="1:11">
      <c r="A120" s="117">
        <f t="shared" si="1"/>
        <v>114</v>
      </c>
      <c r="B120" s="1016"/>
      <c r="C120" s="524" t="s">
        <v>2151</v>
      </c>
      <c r="D120" s="1109">
        <f>D117/D119</f>
        <v>0</v>
      </c>
      <c r="E120" s="15" t="str">
        <f>" = L"&amp;A117&amp;" / L"&amp;A119&amp;""</f>
        <v xml:space="preserve"> = L111 / L113</v>
      </c>
      <c r="F120" s="14"/>
      <c r="G120" s="14"/>
      <c r="H120" s="14"/>
      <c r="I120" s="14"/>
      <c r="J120" s="14"/>
      <c r="K120" s="14"/>
    </row>
    <row r="121" spans="1:11">
      <c r="A121" s="117">
        <f t="shared" si="1"/>
        <v>115</v>
      </c>
      <c r="B121" s="14"/>
      <c r="C121" s="14"/>
      <c r="D121" s="14"/>
      <c r="E121" s="14"/>
      <c r="F121" s="14"/>
      <c r="G121" s="14"/>
      <c r="H121" s="14"/>
      <c r="I121" s="14"/>
      <c r="J121" s="14"/>
      <c r="K121" s="14"/>
    </row>
    <row r="122" spans="1:11">
      <c r="A122" s="117">
        <f t="shared" si="1"/>
        <v>116</v>
      </c>
      <c r="B122" s="524" t="s">
        <v>2284</v>
      </c>
      <c r="C122" s="14"/>
      <c r="D122" s="131" t="s">
        <v>2089</v>
      </c>
      <c r="E122" s="131" t="s">
        <v>187</v>
      </c>
      <c r="F122" s="14"/>
      <c r="G122" s="619" t="s">
        <v>2090</v>
      </c>
      <c r="H122" s="14"/>
      <c r="I122" s="14"/>
      <c r="J122" s="14"/>
      <c r="K122" s="14"/>
    </row>
    <row r="123" spans="1:11">
      <c r="A123" s="117">
        <f t="shared" si="1"/>
        <v>117</v>
      </c>
      <c r="B123" s="1016"/>
      <c r="C123" s="524" t="s">
        <v>2152</v>
      </c>
      <c r="D123" s="105">
        <v>0</v>
      </c>
      <c r="E123" s="131"/>
      <c r="F123" s="14"/>
      <c r="G123" s="1053" t="s">
        <v>1477</v>
      </c>
      <c r="H123" s="14"/>
      <c r="I123" s="14"/>
      <c r="J123" s="14"/>
      <c r="K123" s="14"/>
    </row>
    <row r="124" spans="1:11">
      <c r="A124" s="117">
        <f t="shared" si="1"/>
        <v>118</v>
      </c>
      <c r="B124" s="1016"/>
      <c r="C124" s="524" t="s">
        <v>2155</v>
      </c>
      <c r="D124" s="105">
        <v>2328</v>
      </c>
      <c r="E124" s="131"/>
      <c r="F124" s="14"/>
      <c r="G124" s="1053"/>
      <c r="H124" s="14"/>
      <c r="I124" s="14"/>
      <c r="J124" s="14"/>
      <c r="K124" s="14"/>
    </row>
    <row r="125" spans="1:11">
      <c r="A125" s="117">
        <f t="shared" ref="A125:A126" si="2">A124+1</f>
        <v>119</v>
      </c>
      <c r="B125" s="1016"/>
      <c r="C125" s="524" t="s">
        <v>2153</v>
      </c>
      <c r="D125" s="119">
        <f>SUM(D123:D124)</f>
        <v>2328</v>
      </c>
      <c r="E125" s="15" t="str">
        <f>" = L"&amp;A123&amp;" + L"&amp;A124&amp;""</f>
        <v xml:space="preserve"> = L117 + L118</v>
      </c>
      <c r="F125" s="14"/>
      <c r="G125" s="14"/>
      <c r="H125" s="14"/>
      <c r="I125" s="14"/>
      <c r="J125" s="14"/>
      <c r="K125" s="14"/>
    </row>
    <row r="126" spans="1:11">
      <c r="A126" s="117">
        <f t="shared" si="2"/>
        <v>120</v>
      </c>
      <c r="B126" s="1016"/>
      <c r="C126" s="524" t="s">
        <v>2154</v>
      </c>
      <c r="D126" s="1109">
        <f>D123/D125</f>
        <v>0</v>
      </c>
      <c r="E126" s="15" t="str">
        <f>" = L"&amp;A123&amp;" / L"&amp;A125&amp;""</f>
        <v xml:space="preserve"> = L117 / L119</v>
      </c>
      <c r="F126" s="14"/>
      <c r="G126" s="14"/>
      <c r="H126" s="14"/>
      <c r="I126" s="14"/>
      <c r="J126" s="14"/>
      <c r="K126" s="14"/>
    </row>
    <row r="127" spans="1:11">
      <c r="A127" s="645"/>
      <c r="E127" s="14"/>
      <c r="F127" s="14"/>
      <c r="G127" s="14"/>
      <c r="H127" s="14"/>
      <c r="I127" s="14"/>
      <c r="J127" s="14"/>
      <c r="K127" s="14"/>
    </row>
    <row r="128" spans="1:11">
      <c r="A128" s="645"/>
      <c r="E128" s="14"/>
      <c r="F128" s="14"/>
      <c r="G128" s="14"/>
      <c r="H128" s="14"/>
      <c r="I128" s="14"/>
      <c r="J128" s="14"/>
      <c r="K128" s="14"/>
    </row>
    <row r="129" spans="1:11">
      <c r="A129" s="645"/>
      <c r="E129" s="14"/>
      <c r="F129" s="14"/>
      <c r="G129" s="14"/>
      <c r="H129" s="14"/>
      <c r="I129" s="14"/>
      <c r="J129" s="14"/>
      <c r="K129" s="14"/>
    </row>
    <row r="130" spans="1:11">
      <c r="A130" s="645"/>
    </row>
    <row r="131" spans="1:11">
      <c r="A131" s="645"/>
    </row>
    <row r="132" spans="1:11">
      <c r="A132" s="645"/>
    </row>
    <row r="133" spans="1:11">
      <c r="A133" s="645"/>
    </row>
    <row r="134" spans="1:11">
      <c r="A134" s="645"/>
    </row>
    <row r="135" spans="1:11">
      <c r="A135" s="645"/>
    </row>
    <row r="136" spans="1:11">
      <c r="A136" s="645"/>
    </row>
    <row r="137" spans="1:11">
      <c r="A137" s="645"/>
    </row>
    <row r="138" spans="1:11">
      <c r="A138" s="645"/>
    </row>
  </sheetData>
  <phoneticPr fontId="25" type="noConversion"/>
  <pageMargins left="0.75" right="0.75" top="1" bottom="1" header="0.5" footer="0.5"/>
  <pageSetup scale="70" orientation="landscape" cellComments="asDisplayed" r:id="rId1"/>
  <headerFooter alignWithMargins="0">
    <oddHeader>&amp;CSchedule 27
Allocation Factors
&amp;RTO11 Draft Annual Update
Attachment 1</oddHeader>
    <oddFooter>&amp;R&amp;A</oddFooter>
  </headerFooter>
  <rowBreaks count="2" manualBreakCount="2">
    <brk id="49" max="16383" man="1"/>
    <brk id="103" max="10"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zoomScaleNormal="100" workbookViewId="0"/>
  </sheetViews>
  <sheetFormatPr defaultRowHeight="12.75"/>
  <cols>
    <col min="1" max="1" width="4.7109375" customWidth="1"/>
    <col min="2" max="2" width="3.7109375" customWidth="1"/>
    <col min="3" max="6" width="10.7109375" customWidth="1"/>
    <col min="7" max="7" width="9.42578125" bestFit="1" customWidth="1"/>
    <col min="8" max="8" width="4.7109375" customWidth="1"/>
    <col min="9" max="9" width="35.7109375" customWidth="1"/>
  </cols>
  <sheetData>
    <row r="1" spans="1:9">
      <c r="A1" s="1" t="s">
        <v>1880</v>
      </c>
    </row>
    <row r="3" spans="1:9">
      <c r="B3" s="1" t="s">
        <v>554</v>
      </c>
      <c r="I3" s="102" t="s">
        <v>17</v>
      </c>
    </row>
    <row r="4" spans="1:9">
      <c r="B4" s="1"/>
      <c r="I4" s="14"/>
    </row>
    <row r="5" spans="1:9">
      <c r="E5" s="117" t="s">
        <v>2256</v>
      </c>
    </row>
    <row r="6" spans="1:9">
      <c r="A6" s="52" t="s">
        <v>360</v>
      </c>
      <c r="C6" s="3" t="s">
        <v>258</v>
      </c>
      <c r="D6" s="3" t="s">
        <v>259</v>
      </c>
      <c r="E6" s="1110" t="s">
        <v>73</v>
      </c>
      <c r="G6" s="3" t="s">
        <v>260</v>
      </c>
      <c r="I6" s="52" t="s">
        <v>224</v>
      </c>
    </row>
    <row r="7" spans="1:9">
      <c r="A7" s="2">
        <v>1</v>
      </c>
      <c r="C7" s="157">
        <v>2015</v>
      </c>
      <c r="D7" s="529" t="s">
        <v>2835</v>
      </c>
      <c r="E7" s="102">
        <v>365</v>
      </c>
      <c r="G7" s="1209">
        <v>9.1000000000000004E-3</v>
      </c>
      <c r="I7" s="840" t="s">
        <v>2836</v>
      </c>
    </row>
    <row r="8" spans="1:9">
      <c r="A8" s="2">
        <v>2</v>
      </c>
      <c r="C8" s="102"/>
      <c r="D8" s="102"/>
      <c r="E8" s="102"/>
      <c r="G8" s="102"/>
      <c r="I8" s="122"/>
    </row>
    <row r="10" spans="1:9">
      <c r="B10" s="1" t="s">
        <v>1881</v>
      </c>
    </row>
    <row r="11" spans="1:9">
      <c r="B11" s="1"/>
    </row>
    <row r="12" spans="1:9">
      <c r="E12" s="117" t="s">
        <v>2256</v>
      </c>
    </row>
    <row r="13" spans="1:9">
      <c r="C13" s="3" t="s">
        <v>258</v>
      </c>
      <c r="D13" s="3" t="s">
        <v>259</v>
      </c>
      <c r="E13" s="1110" t="s">
        <v>73</v>
      </c>
      <c r="G13" s="3" t="s">
        <v>261</v>
      </c>
      <c r="I13" s="52" t="s">
        <v>224</v>
      </c>
    </row>
    <row r="14" spans="1:9">
      <c r="A14" s="2">
        <v>3</v>
      </c>
      <c r="C14" s="157">
        <v>2015</v>
      </c>
      <c r="D14" s="102" t="s">
        <v>2835</v>
      </c>
      <c r="E14" s="102">
        <v>365</v>
      </c>
      <c r="G14" s="95">
        <v>2.3800000000000002E-3</v>
      </c>
      <c r="I14" s="529" t="s">
        <v>2837</v>
      </c>
    </row>
    <row r="15" spans="1:9">
      <c r="A15" s="2">
        <v>4</v>
      </c>
      <c r="C15" s="157"/>
      <c r="D15" s="102"/>
      <c r="E15" s="102"/>
      <c r="G15" s="95"/>
      <c r="I15" s="122"/>
    </row>
    <row r="18" spans="1:9">
      <c r="B18" s="1" t="s">
        <v>553</v>
      </c>
    </row>
    <row r="19" spans="1:9">
      <c r="B19" s="1"/>
    </row>
    <row r="20" spans="1:9">
      <c r="C20" s="2" t="s">
        <v>446</v>
      </c>
      <c r="D20" s="2"/>
      <c r="E20" s="2"/>
    </row>
    <row r="21" spans="1:9">
      <c r="C21" s="3" t="s">
        <v>212</v>
      </c>
      <c r="D21" s="3" t="s">
        <v>260</v>
      </c>
      <c r="E21" s="3" t="s">
        <v>261</v>
      </c>
      <c r="I21" s="52" t="s">
        <v>187</v>
      </c>
    </row>
    <row r="22" spans="1:9">
      <c r="A22" s="2">
        <v>5</v>
      </c>
      <c r="C22" s="158">
        <v>2015</v>
      </c>
      <c r="D22" s="1111">
        <f>E41</f>
        <v>9.1000000000000004E-3</v>
      </c>
      <c r="E22" s="1111">
        <f>E42</f>
        <v>2.3800000000000002E-3</v>
      </c>
      <c r="F22" s="14"/>
      <c r="G22" s="14"/>
      <c r="H22" s="14"/>
      <c r="I22" s="524" t="s">
        <v>2003</v>
      </c>
    </row>
    <row r="24" spans="1:9">
      <c r="B24" s="1" t="s">
        <v>256</v>
      </c>
    </row>
    <row r="25" spans="1:9">
      <c r="B25" s="12" t="s">
        <v>609</v>
      </c>
    </row>
    <row r="26" spans="1:9">
      <c r="B26" s="12" t="s">
        <v>608</v>
      </c>
    </row>
    <row r="28" spans="1:9">
      <c r="B28" s="1" t="s">
        <v>420</v>
      </c>
    </row>
    <row r="29" spans="1:9">
      <c r="B29" s="524" t="s">
        <v>2005</v>
      </c>
      <c r="C29" s="14"/>
      <c r="D29" s="14"/>
      <c r="E29" s="14"/>
      <c r="F29" s="14"/>
      <c r="G29" s="14"/>
      <c r="H29" s="14"/>
      <c r="I29" s="14"/>
    </row>
    <row r="30" spans="1:9">
      <c r="B30" s="524" t="s">
        <v>2015</v>
      </c>
      <c r="C30" s="14"/>
      <c r="D30" s="14"/>
      <c r="E30" s="14"/>
      <c r="F30" s="14"/>
      <c r="G30" s="14"/>
      <c r="H30" s="14"/>
      <c r="I30" s="14"/>
    </row>
    <row r="31" spans="1:9">
      <c r="B31" s="524" t="s">
        <v>2261</v>
      </c>
      <c r="C31" s="14"/>
      <c r="D31" s="14"/>
      <c r="E31" s="14"/>
      <c r="F31" s="14"/>
      <c r="G31" s="14"/>
      <c r="H31" s="14"/>
      <c r="I31" s="14"/>
    </row>
    <row r="32" spans="1:9">
      <c r="B32" s="524" t="s">
        <v>2260</v>
      </c>
      <c r="C32" s="14"/>
      <c r="D32" s="14"/>
      <c r="E32" s="14"/>
      <c r="F32" s="14"/>
      <c r="G32" s="14"/>
      <c r="H32" s="14"/>
      <c r="I32" s="14"/>
    </row>
    <row r="33" spans="2:9">
      <c r="B33" s="524" t="s">
        <v>2000</v>
      </c>
      <c r="C33" s="14"/>
      <c r="D33" s="14"/>
      <c r="E33" s="14"/>
      <c r="F33" s="14"/>
      <c r="G33" s="14"/>
      <c r="H33" s="14"/>
      <c r="I33" s="14"/>
    </row>
    <row r="34" spans="2:9">
      <c r="B34" s="524" t="s">
        <v>2001</v>
      </c>
      <c r="C34" s="14"/>
      <c r="D34" s="14"/>
      <c r="E34" s="14"/>
      <c r="F34" s="14"/>
      <c r="G34" s="14"/>
      <c r="H34" s="14"/>
      <c r="I34" s="14"/>
    </row>
    <row r="35" spans="2:9">
      <c r="B35" s="524" t="s">
        <v>2504</v>
      </c>
      <c r="C35" s="14"/>
      <c r="D35" s="14"/>
      <c r="E35" s="14"/>
      <c r="F35" s="14"/>
      <c r="G35" s="14"/>
      <c r="H35" s="14"/>
      <c r="I35" s="14"/>
    </row>
    <row r="36" spans="2:9">
      <c r="B36" s="524" t="s">
        <v>2004</v>
      </c>
      <c r="C36" s="14"/>
      <c r="D36" s="14"/>
      <c r="E36" s="14"/>
      <c r="F36" s="14"/>
      <c r="G36" s="14"/>
      <c r="H36" s="14"/>
      <c r="I36" s="14"/>
    </row>
    <row r="37" spans="2:9">
      <c r="B37" s="524" t="s">
        <v>2002</v>
      </c>
      <c r="C37" s="14"/>
      <c r="D37" s="14"/>
      <c r="E37" s="14"/>
      <c r="F37" s="14"/>
      <c r="G37" s="14"/>
      <c r="H37" s="14"/>
      <c r="I37" s="14"/>
    </row>
    <row r="38" spans="2:9">
      <c r="B38" s="524" t="s">
        <v>2259</v>
      </c>
      <c r="C38" s="14"/>
      <c r="D38" s="14"/>
      <c r="E38" s="14"/>
      <c r="F38" s="14"/>
      <c r="G38" s="14"/>
      <c r="H38" s="14"/>
      <c r="I38" s="14"/>
    </row>
    <row r="39" spans="2:9">
      <c r="B39" s="14"/>
      <c r="C39" s="14"/>
      <c r="D39" s="14"/>
      <c r="E39" s="14"/>
      <c r="F39" s="14"/>
      <c r="G39" s="14"/>
      <c r="H39" s="14"/>
      <c r="I39" s="14"/>
    </row>
    <row r="40" spans="2:9">
      <c r="B40" s="14"/>
      <c r="C40" s="14"/>
      <c r="D40" s="14"/>
      <c r="E40" s="131" t="s">
        <v>1622</v>
      </c>
      <c r="F40" s="14"/>
      <c r="G40" s="1008" t="s">
        <v>171</v>
      </c>
      <c r="H40" s="14"/>
      <c r="I40" s="14"/>
    </row>
    <row r="41" spans="2:9">
      <c r="B41" s="14"/>
      <c r="C41" s="14"/>
      <c r="D41" s="1019" t="s">
        <v>2257</v>
      </c>
      <c r="E41" s="1111">
        <f>((G7*E7) + (G8*E8))/365</f>
        <v>9.1000000000000004E-3</v>
      </c>
      <c r="F41" s="14"/>
      <c r="G41" s="672" t="s">
        <v>2262</v>
      </c>
      <c r="H41" s="14"/>
      <c r="I41" s="14"/>
    </row>
    <row r="42" spans="2:9">
      <c r="B42" s="14"/>
      <c r="C42" s="14"/>
      <c r="D42" s="1019" t="s">
        <v>2258</v>
      </c>
      <c r="E42" s="1111">
        <f>((G14*E14) + (G15*E15))/365</f>
        <v>2.3800000000000002E-3</v>
      </c>
      <c r="F42" s="14"/>
      <c r="G42" s="672" t="s">
        <v>2263</v>
      </c>
      <c r="H42" s="14"/>
      <c r="I42" s="14"/>
    </row>
  </sheetData>
  <phoneticPr fontId="25" type="noConversion"/>
  <pageMargins left="0.75" right="0.75" top="1" bottom="1" header="0.5" footer="0.5"/>
  <pageSetup scale="82" orientation="portrait" cellComments="asDisplayed" r:id="rId1"/>
  <headerFooter alignWithMargins="0">
    <oddHeader>&amp;CSchedule 28
FF and U
&amp;RTO11 Draft Annual Update
Attachment 1</oddHeader>
    <oddFooter>&amp;R&amp;A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heetViews>
  <sheetFormatPr defaultRowHeight="12.75"/>
  <cols>
    <col min="1" max="1" width="4.7109375" customWidth="1"/>
    <col min="2" max="2" width="17.140625" customWidth="1"/>
    <col min="3" max="3" width="25.7109375" customWidth="1"/>
    <col min="4" max="6" width="13.7109375" customWidth="1"/>
    <col min="7" max="7" width="3.7109375" customWidth="1"/>
    <col min="8" max="8" width="14.7109375" customWidth="1"/>
    <col min="9" max="9" width="18" customWidth="1"/>
    <col min="10" max="10" width="13.7109375" customWidth="1"/>
  </cols>
  <sheetData>
    <row r="1" spans="1:10">
      <c r="A1" s="1" t="s">
        <v>1566</v>
      </c>
    </row>
    <row r="2" spans="1:10">
      <c r="G2" s="43" t="s">
        <v>17</v>
      </c>
      <c r="H2" s="43"/>
      <c r="I2" s="102"/>
    </row>
    <row r="3" spans="1:10">
      <c r="A3" s="3" t="s">
        <v>360</v>
      </c>
      <c r="B3" s="3" t="s">
        <v>93</v>
      </c>
      <c r="F3" s="52" t="s">
        <v>187</v>
      </c>
      <c r="G3" s="52" t="s">
        <v>198</v>
      </c>
      <c r="J3" s="52"/>
    </row>
    <row r="4" spans="1:10">
      <c r="A4" s="2">
        <v>1</v>
      </c>
      <c r="B4" s="47">
        <f>'1-BaseTRR'!K157</f>
        <v>1184031279.34743</v>
      </c>
      <c r="C4" s="53" t="s">
        <v>144</v>
      </c>
      <c r="G4" s="15" t="str">
        <f>"1-BaseTRR, Line "&amp;'1-BaseTRR'!A157&amp;""</f>
        <v>1-BaseTRR, Line 89</v>
      </c>
      <c r="H4" s="14"/>
    </row>
    <row r="5" spans="1:10">
      <c r="A5" s="2">
        <f t="shared" ref="A5:A10" si="0">A4+1</f>
        <v>2</v>
      </c>
      <c r="B5" s="1312">
        <v>-31070288</v>
      </c>
      <c r="C5" s="53" t="s">
        <v>145</v>
      </c>
      <c r="F5" s="12" t="s">
        <v>395</v>
      </c>
      <c r="G5" s="1241" t="s">
        <v>2991</v>
      </c>
      <c r="H5" s="1241"/>
      <c r="I5" s="1241" t="s">
        <v>2992</v>
      </c>
    </row>
    <row r="6" spans="1:10">
      <c r="A6" s="2">
        <f t="shared" si="0"/>
        <v>3</v>
      </c>
      <c r="B6" s="1312">
        <v>-30781387</v>
      </c>
      <c r="C6" s="53" t="s">
        <v>146</v>
      </c>
      <c r="G6" s="1241" t="s">
        <v>2991</v>
      </c>
      <c r="H6" s="1241"/>
      <c r="I6" s="1241" t="s">
        <v>2992</v>
      </c>
    </row>
    <row r="7" spans="1:10">
      <c r="A7" s="2">
        <f t="shared" si="0"/>
        <v>4</v>
      </c>
      <c r="B7" s="1312">
        <v>-288901</v>
      </c>
      <c r="C7" s="53" t="s">
        <v>147</v>
      </c>
      <c r="G7" s="1241" t="s">
        <v>2991</v>
      </c>
      <c r="H7" s="1241"/>
      <c r="I7" s="1241" t="s">
        <v>2992</v>
      </c>
    </row>
    <row r="8" spans="1:10">
      <c r="A8" s="2">
        <f t="shared" si="0"/>
        <v>5</v>
      </c>
      <c r="B8" s="47">
        <f>- '33-RetailRates'!E61</f>
        <v>-6943850.7342403643</v>
      </c>
      <c r="C8" s="53" t="s">
        <v>148</v>
      </c>
      <c r="F8" t="s">
        <v>396</v>
      </c>
      <c r="G8" t="s">
        <v>92</v>
      </c>
    </row>
    <row r="9" spans="1:10">
      <c r="A9" s="2">
        <f t="shared" si="0"/>
        <v>6</v>
      </c>
      <c r="B9" s="8">
        <f>'31-HVLV'!C45</f>
        <v>0.96985134630656977</v>
      </c>
      <c r="C9" s="53" t="s">
        <v>91</v>
      </c>
      <c r="G9" s="15" t="str">
        <f>"31-HVLV, Line "&amp;'31-HVLV'!A45&amp;""</f>
        <v>31-HVLV, Line 37</v>
      </c>
      <c r="H9" s="14"/>
    </row>
    <row r="10" spans="1:10">
      <c r="A10" s="2">
        <f t="shared" si="0"/>
        <v>7</v>
      </c>
      <c r="B10" s="8">
        <f>'31-HVLV'!D45</f>
        <v>3.014865369343013E-2</v>
      </c>
      <c r="C10" s="53" t="s">
        <v>90</v>
      </c>
      <c r="G10" s="15" t="str">
        <f>"31-HVLV, Line "&amp;'31-HVLV'!A45&amp;""</f>
        <v>31-HVLV, Line 37</v>
      </c>
      <c r="H10" s="14"/>
    </row>
    <row r="11" spans="1:10">
      <c r="C11" s="36"/>
      <c r="D11" s="96"/>
      <c r="E11" s="96"/>
      <c r="F11" s="96"/>
      <c r="G11" s="96"/>
      <c r="H11" s="96"/>
      <c r="J11" s="96"/>
    </row>
    <row r="12" spans="1:10">
      <c r="B12" s="1" t="s">
        <v>1707</v>
      </c>
      <c r="C12" s="36"/>
      <c r="D12" s="96"/>
      <c r="E12" s="96"/>
      <c r="F12" s="96"/>
      <c r="G12" s="96"/>
      <c r="H12" s="96"/>
    </row>
    <row r="13" spans="1:10">
      <c r="B13" s="1"/>
      <c r="C13" s="36"/>
      <c r="D13" s="96"/>
      <c r="E13" s="96"/>
      <c r="F13" s="96"/>
      <c r="G13" s="96"/>
      <c r="H13" s="96"/>
    </row>
    <row r="14" spans="1:10">
      <c r="B14" s="1"/>
      <c r="C14" s="36"/>
      <c r="D14" s="91" t="s">
        <v>394</v>
      </c>
      <c r="E14" s="91" t="s">
        <v>378</v>
      </c>
      <c r="F14" s="91" t="s">
        <v>379</v>
      </c>
      <c r="G14" s="96"/>
      <c r="H14" s="96"/>
    </row>
    <row r="15" spans="1:10">
      <c r="B15" s="1"/>
      <c r="C15" s="36"/>
      <c r="F15" s="96"/>
      <c r="G15" s="96"/>
      <c r="H15" s="96"/>
    </row>
    <row r="16" spans="1:10">
      <c r="E16" s="2" t="s">
        <v>517</v>
      </c>
      <c r="F16" s="2" t="s">
        <v>518</v>
      </c>
    </row>
    <row r="17" spans="1:8">
      <c r="C17" s="36"/>
      <c r="D17" s="3" t="s">
        <v>149</v>
      </c>
      <c r="E17" s="3" t="s">
        <v>516</v>
      </c>
      <c r="F17" s="3" t="s">
        <v>516</v>
      </c>
      <c r="G17" s="3"/>
      <c r="H17" s="3" t="s">
        <v>198</v>
      </c>
    </row>
    <row r="18" spans="1:8">
      <c r="A18" s="2">
        <f>A10+1</f>
        <v>8</v>
      </c>
      <c r="B18" s="97"/>
      <c r="C18" s="73" t="s">
        <v>166</v>
      </c>
      <c r="D18" s="64">
        <f>B4</f>
        <v>1184031279.34743</v>
      </c>
      <c r="E18" s="64">
        <f>D18*B9</f>
        <v>1148334330.3441951</v>
      </c>
      <c r="F18" s="64">
        <f>D18*B10</f>
        <v>35696949.003234699</v>
      </c>
      <c r="G18" s="7"/>
      <c r="H18" s="522" t="s">
        <v>311</v>
      </c>
    </row>
    <row r="19" spans="1:8">
      <c r="A19" s="545">
        <f>A18+1</f>
        <v>9</v>
      </c>
      <c r="B19" s="97"/>
      <c r="C19" s="73" t="s">
        <v>1705</v>
      </c>
      <c r="D19" s="64">
        <f>'24-CWIPTRR'!E145</f>
        <v>23234946.102312136</v>
      </c>
      <c r="E19" s="64">
        <f>'24-CWIPTRR'!E145</f>
        <v>23234946.102312136</v>
      </c>
      <c r="F19" s="64">
        <v>0</v>
      </c>
      <c r="G19" s="7"/>
      <c r="H19" s="522" t="s">
        <v>1047</v>
      </c>
    </row>
    <row r="20" spans="1:8">
      <c r="A20" s="545">
        <f>A19+1</f>
        <v>10</v>
      </c>
      <c r="B20" s="97"/>
      <c r="C20" s="73" t="s">
        <v>1706</v>
      </c>
      <c r="D20" s="64">
        <f>D18-D19</f>
        <v>1160796333.2451179</v>
      </c>
      <c r="E20" s="64">
        <f t="shared" ref="E20:F20" si="1">E18-E19</f>
        <v>1125099384.241883</v>
      </c>
      <c r="F20" s="64">
        <f t="shared" si="1"/>
        <v>35696949.003234699</v>
      </c>
      <c r="G20" s="7"/>
      <c r="H20" s="522" t="s">
        <v>1048</v>
      </c>
    </row>
    <row r="21" spans="1:8">
      <c r="B21" s="97"/>
      <c r="C21" s="97"/>
      <c r="D21" s="64"/>
      <c r="E21" s="64"/>
      <c r="F21" s="64"/>
      <c r="G21" s="7"/>
    </row>
    <row r="22" spans="1:8">
      <c r="A22" s="2">
        <f>A20+1</f>
        <v>11</v>
      </c>
      <c r="B22" s="1"/>
      <c r="C22" s="73" t="s">
        <v>150</v>
      </c>
      <c r="D22" s="64">
        <f>B5</f>
        <v>-31070288</v>
      </c>
      <c r="E22" s="64">
        <f>B6</f>
        <v>-30781387</v>
      </c>
      <c r="F22" s="64">
        <f>B7</f>
        <v>-288901</v>
      </c>
      <c r="G22" s="7"/>
      <c r="H22" t="str">
        <f>"Lines "&amp;A5&amp;" to "&amp;A7&amp;""</f>
        <v>Lines 2 to 4</v>
      </c>
    </row>
    <row r="23" spans="1:8">
      <c r="B23" s="1"/>
      <c r="C23" s="73"/>
      <c r="D23" s="64"/>
      <c r="E23" s="64"/>
      <c r="F23" s="64"/>
      <c r="G23" s="7"/>
    </row>
    <row r="24" spans="1:8">
      <c r="A24" s="2">
        <f>A22+1</f>
        <v>12</v>
      </c>
      <c r="B24" s="1"/>
      <c r="C24" s="73" t="s">
        <v>1863</v>
      </c>
      <c r="D24" s="118">
        <f>$B$8</f>
        <v>-6943850.7342403643</v>
      </c>
      <c r="E24" s="118">
        <f>$B$8*$B$9</f>
        <v>-6734502.9831548799</v>
      </c>
      <c r="F24" s="118">
        <f>$B$8*$B$10</f>
        <v>-209347.75108548329</v>
      </c>
      <c r="G24" s="98"/>
      <c r="H24" s="522" t="s">
        <v>583</v>
      </c>
    </row>
    <row r="25" spans="1:8">
      <c r="A25" s="616"/>
      <c r="B25" s="1"/>
      <c r="C25" s="73"/>
      <c r="D25" s="118"/>
      <c r="E25" s="118"/>
      <c r="F25" s="118"/>
      <c r="G25" s="98"/>
      <c r="H25" s="522"/>
    </row>
    <row r="26" spans="1:8">
      <c r="B26" s="1"/>
      <c r="C26" s="73" t="s">
        <v>1864</v>
      </c>
      <c r="D26" s="118"/>
      <c r="E26" s="118"/>
      <c r="F26" s="118"/>
      <c r="G26" s="98"/>
    </row>
    <row r="27" spans="1:8">
      <c r="A27" s="2">
        <f>A24+1</f>
        <v>13</v>
      </c>
      <c r="B27" s="1"/>
      <c r="C27" s="73" t="s">
        <v>1865</v>
      </c>
      <c r="D27" s="64">
        <f>D18+D22+D24</f>
        <v>1146017140.6131897</v>
      </c>
      <c r="E27" s="64">
        <f>E18+E22+E24</f>
        <v>1110818440.3610404</v>
      </c>
      <c r="F27" s="64">
        <f>F18+F22+F24</f>
        <v>35198700.252149217</v>
      </c>
      <c r="G27" s="7"/>
      <c r="H27" s="108" t="str">
        <f>"Sum of Lines "&amp;A18&amp;", "&amp;A22&amp;", and "&amp;A24&amp;""</f>
        <v>Sum of Lines 8, 11, and 12</v>
      </c>
    </row>
    <row r="28" spans="1:8">
      <c r="E28" s="7"/>
    </row>
    <row r="29" spans="1:8">
      <c r="B29" s="52" t="s">
        <v>256</v>
      </c>
    </row>
    <row r="30" spans="1:8">
      <c r="B30" s="12" t="s">
        <v>1597</v>
      </c>
    </row>
    <row r="31" spans="1:8">
      <c r="B31" s="522" t="s">
        <v>1882</v>
      </c>
    </row>
    <row r="32" spans="1:8">
      <c r="B32" s="12" t="s">
        <v>1598</v>
      </c>
    </row>
    <row r="33" spans="2:6">
      <c r="B33" s="524" t="s">
        <v>2071</v>
      </c>
      <c r="C33" s="14"/>
      <c r="D33" s="102" t="s">
        <v>2908</v>
      </c>
      <c r="E33" s="102"/>
      <c r="F33" s="14"/>
    </row>
    <row r="34" spans="2:6">
      <c r="B34" s="12" t="str">
        <f>"3) Column 1 is from Line "&amp;A4&amp;"."</f>
        <v>3) Column 1 is from Line 1.</v>
      </c>
    </row>
    <row r="35" spans="2:6">
      <c r="B35" s="13" t="str">
        <f>"Column 2 equals Column 1 * Line "&amp;A9&amp;"."</f>
        <v>Column 2 equals Column 1 * Line 6.</v>
      </c>
    </row>
    <row r="36" spans="2:6">
      <c r="B36" s="13" t="str">
        <f>"Column 3 equals Column 1 * Line "&amp;A10&amp;"."</f>
        <v>Column 3 equals Column 1 * Line 7.</v>
      </c>
    </row>
    <row r="37" spans="2:6">
      <c r="B37" s="14" t="str">
        <f>"4) From 24-CWIPTRR, Line "&amp;'24-CWIPTRR'!A145&amp;".  All High Voltage."</f>
        <v>4) From 24-CWIPTRR, Line 88.  All High Voltage.</v>
      </c>
    </row>
    <row r="38" spans="2:6">
      <c r="B38" t="str">
        <f>"5) Line "&amp;A18&amp;" - Line "&amp;A19&amp;""</f>
        <v>5) Line 8 - Line 9</v>
      </c>
    </row>
    <row r="39" spans="2:6">
      <c r="B39" s="12" t="str">
        <f>"6) Column 1 is from Line "&amp;A8&amp;"."</f>
        <v>6) Column 1 is from Line 5.</v>
      </c>
    </row>
    <row r="40" spans="2:6">
      <c r="B40" s="13" t="str">
        <f>"Column 2 equals Column 1 * Line "&amp;A9&amp;"."</f>
        <v>Column 2 equals Column 1 * Line 6.</v>
      </c>
    </row>
    <row r="41" spans="2:6">
      <c r="B41" s="13" t="str">
        <f>"Column 3 equals Column 1 * Line "&amp;A10&amp;"."</f>
        <v>Column 3 equals Column 1 * Line 7.</v>
      </c>
    </row>
  </sheetData>
  <phoneticPr fontId="25" type="noConversion"/>
  <pageMargins left="0.75" right="0.75" top="1" bottom="1" header="0.5" footer="0.5"/>
  <pageSetup scale="90" orientation="landscape" cellComments="asDisplayed" r:id="rId1"/>
  <headerFooter alignWithMargins="0">
    <oddHeader>&amp;CSchedule 29
Wholesale TRRs
&amp;RTO11 Draft Annual Update
Attachment 1</oddHeader>
    <oddFooter>&amp;R&amp;A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workbookViewId="0"/>
  </sheetViews>
  <sheetFormatPr defaultRowHeight="12.75"/>
  <cols>
    <col min="1" max="2" width="4.7109375" customWidth="1"/>
    <col min="4" max="4" width="24.42578125" customWidth="1"/>
    <col min="5" max="5" width="17.7109375" customWidth="1"/>
    <col min="6" max="6" width="9.140625" style="16"/>
    <col min="7" max="7" width="10.140625" bestFit="1" customWidth="1"/>
  </cols>
  <sheetData>
    <row r="1" spans="1:9">
      <c r="A1" s="1" t="s">
        <v>1595</v>
      </c>
    </row>
    <row r="2" spans="1:9">
      <c r="B2" s="1"/>
    </row>
    <row r="3" spans="1:9">
      <c r="B3" s="12" t="s">
        <v>151</v>
      </c>
      <c r="E3" s="14"/>
      <c r="F3" s="120"/>
    </row>
    <row r="4" spans="1:9">
      <c r="B4" s="12"/>
    </row>
    <row r="5" spans="1:9">
      <c r="B5" s="13" t="s">
        <v>152</v>
      </c>
    </row>
    <row r="6" spans="1:9">
      <c r="B6" s="13" t="s">
        <v>153</v>
      </c>
    </row>
    <row r="7" spans="1:9">
      <c r="B7" s="13" t="s">
        <v>154</v>
      </c>
    </row>
    <row r="8" spans="1:9">
      <c r="B8" s="13" t="s">
        <v>155</v>
      </c>
    </row>
    <row r="9" spans="1:9">
      <c r="B9" s="13" t="s">
        <v>156</v>
      </c>
    </row>
    <row r="10" spans="1:9">
      <c r="B10" s="12"/>
    </row>
    <row r="11" spans="1:9">
      <c r="B11" s="12"/>
    </row>
    <row r="12" spans="1:9">
      <c r="B12" s="1" t="s">
        <v>157</v>
      </c>
    </row>
    <row r="13" spans="1:9">
      <c r="A13" s="3" t="s">
        <v>360</v>
      </c>
      <c r="G13" s="3" t="s">
        <v>198</v>
      </c>
    </row>
    <row r="14" spans="1:9">
      <c r="A14" s="2">
        <v>1</v>
      </c>
      <c r="D14" s="99" t="s">
        <v>1568</v>
      </c>
      <c r="E14" s="64">
        <f>'29-WholesaleTRRs'!F27</f>
        <v>35198700.252149217</v>
      </c>
      <c r="G14" s="46" t="str">
        <f>"29-WholesaleTRRs, Line "&amp;'29-WholesaleTRRs'!A27&amp;", C3"</f>
        <v>29-WholesaleTRRs, Line 13, C3</v>
      </c>
      <c r="H14" s="14"/>
      <c r="I14" s="14"/>
    </row>
    <row r="15" spans="1:9">
      <c r="A15" s="2">
        <f>A14+1</f>
        <v>2</v>
      </c>
      <c r="D15" s="99" t="s">
        <v>1567</v>
      </c>
      <c r="E15" s="119">
        <f>'32-GrossLoad'!F7</f>
        <v>88983449</v>
      </c>
      <c r="F15" s="13" t="s">
        <v>312</v>
      </c>
      <c r="G15" s="46" t="str">
        <f>"32-Gross Load, Line "&amp;'32-GrossLoad'!A7&amp;""</f>
        <v>32-Gross Load, Line 3</v>
      </c>
      <c r="H15" s="14"/>
      <c r="I15" s="14"/>
    </row>
    <row r="16" spans="1:9">
      <c r="A16" s="2">
        <f>A15+1</f>
        <v>3</v>
      </c>
      <c r="D16" s="99" t="s">
        <v>1569</v>
      </c>
      <c r="E16" s="1313">
        <f>E14/(E15*1000)</f>
        <v>3.9556457574654381E-4</v>
      </c>
      <c r="F16" s="16" t="s">
        <v>158</v>
      </c>
      <c r="G16" s="120" t="str">
        <f>"Line "&amp;A14&amp;" / (Line "&amp;A15&amp;" * 1000)"</f>
        <v>Line 1 / (Line 2 * 1000)</v>
      </c>
      <c r="H16" s="14"/>
      <c r="I16" s="14"/>
    </row>
    <row r="17" spans="1:9">
      <c r="D17" s="36"/>
      <c r="E17" s="76"/>
      <c r="G17" s="14"/>
      <c r="H17" s="14"/>
      <c r="I17" s="14"/>
    </row>
    <row r="18" spans="1:9">
      <c r="B18" s="1" t="s">
        <v>159</v>
      </c>
      <c r="D18" s="36"/>
      <c r="E18" s="76"/>
      <c r="G18" s="14"/>
      <c r="H18" s="14"/>
      <c r="I18" s="14"/>
    </row>
    <row r="19" spans="1:9">
      <c r="D19" s="36"/>
      <c r="E19" s="76"/>
      <c r="G19" s="131" t="s">
        <v>198</v>
      </c>
      <c r="H19" s="14"/>
      <c r="I19" s="14"/>
    </row>
    <row r="20" spans="1:9">
      <c r="A20" s="2">
        <f>A16+1</f>
        <v>4</v>
      </c>
      <c r="D20" s="99" t="s">
        <v>1568</v>
      </c>
      <c r="E20" s="64">
        <f>'29-WholesaleTRRs'!F27</f>
        <v>35198700.252149217</v>
      </c>
      <c r="G20" s="46" t="str">
        <f>"29-WholesaleTRRs, Line "&amp;'29-WholesaleTRRs'!A27&amp;", C3"</f>
        <v>29-WholesaleTRRs, Line 13, C3</v>
      </c>
      <c r="H20" s="14"/>
      <c r="I20" s="14"/>
    </row>
    <row r="21" spans="1:9">
      <c r="A21" s="2">
        <f>A20+1</f>
        <v>5</v>
      </c>
      <c r="D21" s="99" t="s">
        <v>1567</v>
      </c>
      <c r="E21" s="119">
        <f>'32-GrossLoad'!F7</f>
        <v>88983449</v>
      </c>
      <c r="F21" s="13" t="s">
        <v>312</v>
      </c>
      <c r="G21" s="46" t="str">
        <f>"32-Gross Load, Line "&amp;'32-GrossLoad'!A7&amp;""</f>
        <v>32-Gross Load, Line 3</v>
      </c>
      <c r="H21" s="14"/>
      <c r="I21" s="14"/>
    </row>
    <row r="22" spans="1:9">
      <c r="A22" s="2">
        <f>A21+1</f>
        <v>6</v>
      </c>
      <c r="D22" s="99" t="s">
        <v>1570</v>
      </c>
      <c r="E22" s="1313">
        <f>E20/(E21*1000)</f>
        <v>3.9556457574654381E-4</v>
      </c>
      <c r="F22" s="16" t="s">
        <v>158</v>
      </c>
      <c r="G22" s="120" t="str">
        <f>"Line "&amp;A20&amp;" / (Line "&amp;A21&amp;" * 1000)"</f>
        <v>Line 4 / (Line 5 * 1000)</v>
      </c>
      <c r="H22" s="14"/>
      <c r="I22" s="14"/>
    </row>
    <row r="23" spans="1:9">
      <c r="D23" s="36"/>
      <c r="G23" s="14"/>
      <c r="H23" s="14"/>
      <c r="I23" s="14"/>
    </row>
    <row r="24" spans="1:9">
      <c r="G24" s="14"/>
      <c r="H24" s="14"/>
      <c r="I24" s="14"/>
    </row>
    <row r="25" spans="1:9">
      <c r="B25" s="1" t="s">
        <v>160</v>
      </c>
      <c r="G25" s="14"/>
      <c r="H25" s="14"/>
      <c r="I25" s="14"/>
    </row>
    <row r="26" spans="1:9">
      <c r="C26" s="53" t="s">
        <v>161</v>
      </c>
      <c r="G26" s="14"/>
      <c r="H26" s="14"/>
      <c r="I26" s="14"/>
    </row>
    <row r="27" spans="1:9">
      <c r="G27" s="131" t="s">
        <v>198</v>
      </c>
      <c r="H27" s="14"/>
      <c r="I27" s="14"/>
    </row>
    <row r="28" spans="1:9">
      <c r="A28" s="2">
        <f>A22+1</f>
        <v>7</v>
      </c>
      <c r="D28" s="36" t="s">
        <v>162</v>
      </c>
      <c r="E28" s="64">
        <f>'29-WholesaleTRRs'!E27</f>
        <v>1110818440.3610404</v>
      </c>
      <c r="G28" s="46" t="str">
        <f>"29-WholesaleTRRs, Line "&amp;'29-WholesaleTRRs'!A27&amp;", C2"</f>
        <v>29-WholesaleTRRs, Line 13, C2</v>
      </c>
      <c r="H28" s="14"/>
      <c r="I28" s="14"/>
    </row>
    <row r="29" spans="1:9">
      <c r="A29" s="2">
        <f>A28+1</f>
        <v>8</v>
      </c>
      <c r="D29" s="99" t="s">
        <v>1567</v>
      </c>
      <c r="E29" s="119">
        <f>'32-GrossLoad'!F7</f>
        <v>88983449</v>
      </c>
      <c r="F29" s="13" t="s">
        <v>312</v>
      </c>
      <c r="G29" s="46" t="str">
        <f>"32-Gross Load, Line "&amp;'32-GrossLoad'!A7&amp;""</f>
        <v>32-Gross Load, Line 3</v>
      </c>
      <c r="H29" s="14"/>
      <c r="I29" s="14"/>
    </row>
    <row r="30" spans="1:9">
      <c r="A30" s="2">
        <f>A29+1</f>
        <v>9</v>
      </c>
      <c r="D30" s="99" t="s">
        <v>1571</v>
      </c>
      <c r="E30" s="1314">
        <f>E28/(E29*1000)</f>
        <v>1.2483427568210357E-2</v>
      </c>
      <c r="F30" s="16" t="s">
        <v>158</v>
      </c>
      <c r="G30" s="120" t="str">
        <f>"Line "&amp;A28&amp;" / (Line "&amp;A29&amp;" * 1000)"</f>
        <v>Line 7 / (Line 8 * 1000)</v>
      </c>
      <c r="H30" s="14"/>
      <c r="I30" s="14"/>
    </row>
    <row r="31" spans="1:9">
      <c r="G31" s="14"/>
      <c r="H31" s="14"/>
      <c r="I31" s="14"/>
    </row>
    <row r="32" spans="1:9">
      <c r="B32" s="1" t="s">
        <v>163</v>
      </c>
      <c r="G32" s="14"/>
      <c r="H32" s="14"/>
      <c r="I32" s="14"/>
    </row>
    <row r="33" spans="1:9">
      <c r="G33" s="131" t="s">
        <v>198</v>
      </c>
      <c r="H33" s="14"/>
      <c r="I33" s="14"/>
    </row>
    <row r="34" spans="1:9">
      <c r="A34" s="2">
        <f>A30+1</f>
        <v>10</v>
      </c>
      <c r="D34" s="99" t="s">
        <v>1572</v>
      </c>
      <c r="E34" s="64">
        <f>'29-WholesaleTRRs'!E27</f>
        <v>1110818440.3610404</v>
      </c>
      <c r="G34" s="46" t="str">
        <f>"29-WholesaleTRRs, Line "&amp;'29-WholesaleTRRs'!A27&amp;", C2"</f>
        <v>29-WholesaleTRRs, Line 13, C2</v>
      </c>
      <c r="H34" s="14"/>
      <c r="I34" s="14"/>
    </row>
    <row r="35" spans="1:9">
      <c r="A35" s="2">
        <f>A34+1</f>
        <v>11</v>
      </c>
      <c r="D35" s="99" t="s">
        <v>1573</v>
      </c>
      <c r="E35" s="119">
        <f>'32-GrossLoad'!F10</f>
        <v>181992</v>
      </c>
      <c r="F35" s="16" t="s">
        <v>164</v>
      </c>
      <c r="G35" s="46" t="str">
        <f>"32-Gross Load, Line "&amp;'32-GrossLoad'!A10&amp;""</f>
        <v>32-Gross Load, Line 4</v>
      </c>
      <c r="H35" s="14"/>
      <c r="I35" s="14"/>
    </row>
    <row r="36" spans="1:9">
      <c r="A36" s="2">
        <f>A35+1</f>
        <v>12</v>
      </c>
      <c r="D36" s="99" t="s">
        <v>1574</v>
      </c>
      <c r="E36" s="151">
        <f>ROUND((E34/(E35*1000)),2)</f>
        <v>6.1</v>
      </c>
      <c r="F36" s="13" t="s">
        <v>357</v>
      </c>
      <c r="G36" s="120" t="str">
        <f>"Line "&amp;A34&amp;" / (Line "&amp;A35&amp;" * 1000)"</f>
        <v>Line 10 / (Line 11 * 1000)</v>
      </c>
      <c r="H36" s="14"/>
      <c r="I36" s="14"/>
    </row>
    <row r="37" spans="1:9">
      <c r="G37" s="14"/>
      <c r="H37" s="14"/>
      <c r="I37" s="14"/>
    </row>
    <row r="38" spans="1:9">
      <c r="B38" s="1" t="s">
        <v>165</v>
      </c>
      <c r="G38" s="14"/>
      <c r="H38" s="14"/>
      <c r="I38" s="14"/>
    </row>
    <row r="39" spans="1:9">
      <c r="G39" s="131" t="s">
        <v>198</v>
      </c>
      <c r="H39" s="14"/>
      <c r="I39" s="14"/>
    </row>
    <row r="40" spans="1:9">
      <c r="A40" s="2">
        <f>A36+1</f>
        <v>13</v>
      </c>
      <c r="D40" s="99" t="s">
        <v>1575</v>
      </c>
      <c r="E40" s="64">
        <f>'29-WholesaleTRRs'!F27</f>
        <v>35198700.252149217</v>
      </c>
      <c r="G40" s="46" t="str">
        <f>"29-WholesaleTRRs, Line "&amp;'29-WholesaleTRRs'!A27&amp;", C3"</f>
        <v>29-WholesaleTRRs, Line 13, C3</v>
      </c>
      <c r="H40" s="14"/>
      <c r="I40" s="14"/>
    </row>
    <row r="41" spans="1:9">
      <c r="A41" s="2">
        <f>A40+1</f>
        <v>14</v>
      </c>
      <c r="D41" s="99" t="s">
        <v>1573</v>
      </c>
      <c r="E41" s="119">
        <f>'32-GrossLoad'!F10</f>
        <v>181992</v>
      </c>
      <c r="F41" s="16" t="s">
        <v>164</v>
      </c>
      <c r="G41" s="46" t="str">
        <f>"32-Gross Load, Line "&amp;'32-GrossLoad'!A10&amp;""</f>
        <v>32-Gross Load, Line 4</v>
      </c>
      <c r="H41" s="14"/>
      <c r="I41" s="14"/>
    </row>
    <row r="42" spans="1:9">
      <c r="A42" s="2">
        <f>A41+1</f>
        <v>15</v>
      </c>
      <c r="D42" s="99" t="s">
        <v>1576</v>
      </c>
      <c r="E42" s="78">
        <f>ROUND((E40/(E41*1000)),2)</f>
        <v>0.19</v>
      </c>
      <c r="F42" s="13" t="s">
        <v>357</v>
      </c>
      <c r="G42" s="120" t="str">
        <f>"Line "&amp;A40&amp;" / (Line "&amp;A41&amp;" * 1000)"</f>
        <v>Line 13 / (Line 14 * 1000)</v>
      </c>
      <c r="H42" s="14"/>
      <c r="I42" s="14"/>
    </row>
    <row r="43" spans="1:9">
      <c r="G43" s="14"/>
      <c r="H43" s="14"/>
      <c r="I43" s="14"/>
    </row>
    <row r="45" spans="1:9">
      <c r="B45" s="52" t="s">
        <v>256</v>
      </c>
    </row>
    <row r="46" spans="1:9">
      <c r="B46" s="12" t="s">
        <v>1596</v>
      </c>
    </row>
    <row r="47" spans="1:9">
      <c r="B47" s="522" t="s">
        <v>2072</v>
      </c>
      <c r="D47" s="14"/>
    </row>
  </sheetData>
  <phoneticPr fontId="25" type="noConversion"/>
  <pageMargins left="0.75" right="0.75" top="1" bottom="1" header="0.5" footer="0.5"/>
  <pageSetup scale="84" orientation="portrait" cellComments="asDisplayed" r:id="rId1"/>
  <headerFooter alignWithMargins="0">
    <oddHeader>&amp;CSchedule 30
Wholesale Rates
&amp;RTO11 Draft Annual Update
Attachment 1</oddHeader>
    <oddFooter>&amp;R&amp;A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zoomScaleNormal="100" workbookViewId="0"/>
  </sheetViews>
  <sheetFormatPr defaultRowHeight="12.75"/>
  <cols>
    <col min="1" max="1" width="4.7109375" customWidth="1"/>
    <col min="2" max="2" width="38" style="147" customWidth="1"/>
    <col min="3" max="3" width="16.28515625" style="147" customWidth="1"/>
    <col min="4" max="4" width="14.7109375" style="147" customWidth="1"/>
    <col min="5" max="5" width="16" style="147" customWidth="1"/>
    <col min="6" max="6" width="3.42578125" style="147" bestFit="1" customWidth="1"/>
    <col min="7" max="8" width="14.7109375" style="147" customWidth="1"/>
    <col min="9" max="9" width="17.28515625" style="147" customWidth="1"/>
    <col min="10" max="11" width="14.7109375" style="147" customWidth="1"/>
  </cols>
  <sheetData>
    <row r="1" spans="1:11">
      <c r="A1" s="265" t="s">
        <v>505</v>
      </c>
      <c r="B1" s="17"/>
      <c r="C1" s="17"/>
      <c r="D1" s="17"/>
      <c r="E1" s="17"/>
      <c r="F1" s="17"/>
      <c r="G1" s="17"/>
      <c r="H1" s="17"/>
      <c r="I1" s="17"/>
      <c r="J1" s="17"/>
      <c r="K1" s="17"/>
    </row>
    <row r="2" spans="1:11">
      <c r="A2" s="17" t="s">
        <v>515</v>
      </c>
      <c r="B2" s="17"/>
      <c r="C2" s="17"/>
      <c r="D2" s="17"/>
      <c r="E2" s="17"/>
      <c r="F2" s="17"/>
      <c r="G2" s="17"/>
      <c r="H2" s="17"/>
      <c r="I2" s="266" t="s">
        <v>497</v>
      </c>
      <c r="J2" s="266"/>
      <c r="K2" s="17"/>
    </row>
    <row r="3" spans="1:11">
      <c r="A3" s="12"/>
      <c r="B3" s="17"/>
      <c r="C3" s="17"/>
      <c r="D3" s="17"/>
      <c r="E3" s="17"/>
      <c r="F3" s="17"/>
      <c r="G3" s="17"/>
      <c r="H3" s="17"/>
      <c r="I3" s="17"/>
      <c r="J3" s="17"/>
      <c r="K3" s="17"/>
    </row>
    <row r="4" spans="1:11">
      <c r="A4" s="12"/>
      <c r="B4" s="17"/>
      <c r="C4" s="17"/>
      <c r="D4" s="17"/>
      <c r="E4" s="17"/>
      <c r="F4" s="17"/>
      <c r="G4" s="530" t="s">
        <v>2007</v>
      </c>
      <c r="H4" s="530"/>
      <c r="I4" s="530"/>
      <c r="J4" s="530"/>
      <c r="K4" s="17"/>
    </row>
    <row r="5" spans="1:11">
      <c r="A5" s="12"/>
      <c r="B5" s="265" t="s">
        <v>527</v>
      </c>
      <c r="C5" s="17"/>
      <c r="D5" s="17"/>
      <c r="E5" s="17"/>
      <c r="F5" s="17"/>
      <c r="G5" s="530" t="s">
        <v>2008</v>
      </c>
      <c r="H5" s="530"/>
      <c r="I5" s="530"/>
      <c r="J5" s="530"/>
      <c r="K5" s="17"/>
    </row>
    <row r="6" spans="1:11">
      <c r="A6" s="12"/>
      <c r="B6" s="17"/>
      <c r="C6" s="26" t="s">
        <v>507</v>
      </c>
      <c r="D6" s="26"/>
      <c r="E6" s="26"/>
      <c r="F6" s="26"/>
      <c r="G6" s="26"/>
      <c r="H6" s="26"/>
      <c r="I6" s="26" t="s">
        <v>14</v>
      </c>
      <c r="J6" s="26" t="s">
        <v>15</v>
      </c>
      <c r="K6" s="26" t="s">
        <v>85</v>
      </c>
    </row>
    <row r="7" spans="1:11">
      <c r="A7" s="12"/>
      <c r="B7" s="265" t="s">
        <v>512</v>
      </c>
      <c r="C7" s="31" t="s">
        <v>508</v>
      </c>
      <c r="D7" s="31" t="s">
        <v>469</v>
      </c>
      <c r="E7" s="31" t="s">
        <v>502</v>
      </c>
      <c r="F7" s="31"/>
      <c r="G7" s="31" t="s">
        <v>509</v>
      </c>
      <c r="H7" s="31" t="s">
        <v>510</v>
      </c>
      <c r="I7" s="31" t="s">
        <v>502</v>
      </c>
      <c r="J7" s="31" t="s">
        <v>502</v>
      </c>
      <c r="K7" s="31" t="s">
        <v>511</v>
      </c>
    </row>
    <row r="8" spans="1:11">
      <c r="A8" s="3" t="s">
        <v>360</v>
      </c>
      <c r="B8" s="265"/>
      <c r="C8" s="31"/>
      <c r="D8" s="31"/>
      <c r="E8" s="31"/>
      <c r="F8" s="31"/>
      <c r="G8" s="31"/>
      <c r="H8" s="31"/>
      <c r="I8" s="31"/>
      <c r="J8" s="31"/>
      <c r="K8" s="31"/>
    </row>
    <row r="9" spans="1:11">
      <c r="A9" s="2">
        <v>1</v>
      </c>
      <c r="B9" s="267" t="s">
        <v>514</v>
      </c>
      <c r="C9" s="268"/>
      <c r="D9" s="269"/>
      <c r="E9" s="269"/>
      <c r="F9" s="270"/>
      <c r="G9" s="268"/>
      <c r="H9" s="271"/>
      <c r="I9" s="271"/>
      <c r="J9" s="271"/>
      <c r="K9" s="271"/>
    </row>
    <row r="10" spans="1:11">
      <c r="A10" s="2">
        <f>A9+1</f>
        <v>2</v>
      </c>
      <c r="B10" s="272" t="s">
        <v>1337</v>
      </c>
      <c r="C10" s="273">
        <f>SUM(D10:E10)</f>
        <v>4032475073.7683096</v>
      </c>
      <c r="D10" s="274">
        <f>G10+H10</f>
        <v>196660716.99113059</v>
      </c>
      <c r="E10" s="274">
        <f>I10+J10</f>
        <v>3835814356.7771788</v>
      </c>
      <c r="F10" s="275"/>
      <c r="G10" s="841">
        <v>196660716.99113059</v>
      </c>
      <c r="H10" s="841">
        <v>0</v>
      </c>
      <c r="I10" s="841">
        <v>3835814356.7771788</v>
      </c>
      <c r="J10" s="841">
        <v>0</v>
      </c>
      <c r="K10" s="841">
        <v>0</v>
      </c>
    </row>
    <row r="11" spans="1:11">
      <c r="A11" s="2">
        <f t="shared" ref="A11:A47" si="0">A10+1</f>
        <v>3</v>
      </c>
      <c r="B11" s="272" t="s">
        <v>506</v>
      </c>
      <c r="C11" s="276">
        <f>SUM(D11:E11)</f>
        <v>84646031.723765671</v>
      </c>
      <c r="D11" s="277">
        <f>G11+H11</f>
        <v>5191993.3551280992</v>
      </c>
      <c r="E11" s="277">
        <f>I11+J11</f>
        <v>79454038.368637577</v>
      </c>
      <c r="F11" s="278"/>
      <c r="G11" s="279">
        <v>0</v>
      </c>
      <c r="H11" s="279">
        <v>5191993.3551280992</v>
      </c>
      <c r="I11" s="279">
        <v>0</v>
      </c>
      <c r="J11" s="279">
        <v>79454038.368637577</v>
      </c>
      <c r="K11" s="279">
        <v>0</v>
      </c>
    </row>
    <row r="12" spans="1:11">
      <c r="A12" s="2">
        <f t="shared" si="0"/>
        <v>4</v>
      </c>
      <c r="B12" s="1112" t="s">
        <v>2006</v>
      </c>
      <c r="C12" s="280">
        <f>SUM(C10:C11)</f>
        <v>4117121105.4920754</v>
      </c>
      <c r="D12" s="280">
        <f t="shared" ref="D12:K12" si="1">SUM(D10:D11)</f>
        <v>201852710.3462587</v>
      </c>
      <c r="E12" s="280">
        <f t="shared" si="1"/>
        <v>3915268395.1458163</v>
      </c>
      <c r="F12" s="280"/>
      <c r="G12" s="280">
        <f t="shared" si="1"/>
        <v>196660716.99113059</v>
      </c>
      <c r="H12" s="280">
        <f t="shared" si="1"/>
        <v>5191993.3551280992</v>
      </c>
      <c r="I12" s="280">
        <f t="shared" si="1"/>
        <v>3835814356.7771788</v>
      </c>
      <c r="J12" s="280">
        <f t="shared" si="1"/>
        <v>79454038.368637577</v>
      </c>
      <c r="K12" s="280">
        <f t="shared" si="1"/>
        <v>0</v>
      </c>
    </row>
    <row r="13" spans="1:11">
      <c r="A13" s="2">
        <f t="shared" si="0"/>
        <v>5</v>
      </c>
      <c r="B13" s="281"/>
      <c r="C13" s="282"/>
      <c r="D13" s="282"/>
      <c r="E13" s="282"/>
      <c r="F13" s="283"/>
      <c r="G13" s="282"/>
      <c r="H13" s="284"/>
      <c r="I13" s="285"/>
      <c r="J13" s="284"/>
      <c r="K13" s="284"/>
    </row>
    <row r="14" spans="1:11">
      <c r="A14" s="2">
        <f t="shared" si="0"/>
        <v>6</v>
      </c>
      <c r="B14" s="286" t="s">
        <v>503</v>
      </c>
      <c r="C14" s="282"/>
      <c r="D14" s="282"/>
      <c r="E14" s="282"/>
      <c r="F14" s="283"/>
      <c r="G14" s="282"/>
      <c r="H14" s="284"/>
      <c r="I14" s="285"/>
      <c r="J14" s="284"/>
      <c r="K14" s="284"/>
    </row>
    <row r="15" spans="1:11">
      <c r="A15" s="2">
        <f t="shared" si="0"/>
        <v>7</v>
      </c>
      <c r="B15" s="287" t="s">
        <v>513</v>
      </c>
      <c r="C15" s="274">
        <f>SUM(D15:E15)</f>
        <v>3098199771.8177867</v>
      </c>
      <c r="D15" s="274">
        <f>G15+H15</f>
        <v>38855596.549202226</v>
      </c>
      <c r="E15" s="274">
        <f>I15+J15</f>
        <v>3059344175.2685843</v>
      </c>
      <c r="F15" s="288"/>
      <c r="G15" s="842">
        <v>38855596.549202226</v>
      </c>
      <c r="H15" s="843">
        <v>0</v>
      </c>
      <c r="I15" s="842">
        <v>3059344175.2685843</v>
      </c>
      <c r="J15" s="843">
        <v>0</v>
      </c>
      <c r="K15" s="843">
        <v>0</v>
      </c>
    </row>
    <row r="16" spans="1:11">
      <c r="A16" s="2">
        <f t="shared" si="0"/>
        <v>8</v>
      </c>
      <c r="B16" s="1006" t="s">
        <v>2712</v>
      </c>
      <c r="C16" s="282">
        <f>SUM(D16:E16)</f>
        <v>395906026.30076331</v>
      </c>
      <c r="D16" s="274">
        <f>G16+H16</f>
        <v>187569.00317430048</v>
      </c>
      <c r="E16" s="274">
        <f>I16+J16+K16</f>
        <v>395718457.297589</v>
      </c>
      <c r="F16" s="283"/>
      <c r="G16" s="843">
        <v>135073.01047848328</v>
      </c>
      <c r="H16" s="843">
        <v>52495.992695817215</v>
      </c>
      <c r="I16" s="843">
        <v>221829204.39191011</v>
      </c>
      <c r="J16" s="843">
        <v>115466989.69813767</v>
      </c>
      <c r="K16" s="843">
        <v>58422263.207541235</v>
      </c>
    </row>
    <row r="17" spans="1:11" ht="15">
      <c r="A17" s="2">
        <f t="shared" si="0"/>
        <v>9</v>
      </c>
      <c r="B17" s="1006" t="s">
        <v>2826</v>
      </c>
      <c r="C17" s="289">
        <f>SUM(D17:E17)</f>
        <v>45726248.658745542</v>
      </c>
      <c r="D17" s="277">
        <f>G17+H17</f>
        <v>153258.70984219492</v>
      </c>
      <c r="E17" s="290">
        <f>I17+J17</f>
        <v>45572989.948903345</v>
      </c>
      <c r="F17" s="291"/>
      <c r="G17" s="292">
        <v>0</v>
      </c>
      <c r="H17" s="844">
        <v>153258.70984219492</v>
      </c>
      <c r="I17" s="292">
        <v>0</v>
      </c>
      <c r="J17" s="844">
        <v>45572989.948903345</v>
      </c>
      <c r="K17" s="292">
        <v>0</v>
      </c>
    </row>
    <row r="18" spans="1:11">
      <c r="A18" s="2">
        <f t="shared" si="0"/>
        <v>10</v>
      </c>
      <c r="B18" s="1113" t="s">
        <v>2208</v>
      </c>
      <c r="C18" s="274">
        <f>SUM(C15:C17)</f>
        <v>3539832046.7772956</v>
      </c>
      <c r="D18" s="274">
        <f>SUM(D15:D17)</f>
        <v>39196424.262218721</v>
      </c>
      <c r="E18" s="274">
        <f>SUM(E15:E17)</f>
        <v>3500635622.5150766</v>
      </c>
      <c r="F18" s="293"/>
      <c r="G18" s="274">
        <f>SUM(G15:G17)</f>
        <v>38990669.559680708</v>
      </c>
      <c r="H18" s="274">
        <f>SUM(H15:H17)</f>
        <v>205754.70253801212</v>
      </c>
      <c r="I18" s="274">
        <f>SUM(I15:I17)</f>
        <v>3281173379.6604943</v>
      </c>
      <c r="J18" s="274">
        <f>SUM(J15:J17)</f>
        <v>161039979.64704102</v>
      </c>
      <c r="K18" s="274">
        <f>SUM(K15:K17)</f>
        <v>58422263.207541235</v>
      </c>
    </row>
    <row r="19" spans="1:11">
      <c r="A19" s="2">
        <f t="shared" si="0"/>
        <v>11</v>
      </c>
      <c r="B19" s="281"/>
      <c r="C19" s="1114"/>
      <c r="D19" s="1114"/>
      <c r="E19" s="1114"/>
      <c r="F19" s="295"/>
      <c r="G19" s="294"/>
      <c r="H19" s="294"/>
      <c r="I19" s="294"/>
      <c r="J19" s="294"/>
      <c r="K19" s="294"/>
    </row>
    <row r="20" spans="1:11">
      <c r="A20" s="2">
        <f t="shared" si="0"/>
        <v>12</v>
      </c>
      <c r="B20" s="1113" t="s">
        <v>504</v>
      </c>
      <c r="C20" s="1115">
        <f>C12+C18</f>
        <v>7656953152.269371</v>
      </c>
      <c r="D20" s="1115">
        <f t="shared" ref="D20:K20" si="2">D12+D18</f>
        <v>241049134.60847741</v>
      </c>
      <c r="E20" s="1115">
        <f>E12+E18</f>
        <v>7415904017.6608925</v>
      </c>
      <c r="F20" s="296"/>
      <c r="G20" s="296">
        <f t="shared" si="2"/>
        <v>235651386.55081129</v>
      </c>
      <c r="H20" s="296">
        <f t="shared" si="2"/>
        <v>5397748.0576661117</v>
      </c>
      <c r="I20" s="296">
        <f t="shared" si="2"/>
        <v>7116987736.4376736</v>
      </c>
      <c r="J20" s="296">
        <f t="shared" si="2"/>
        <v>240494018.01567858</v>
      </c>
      <c r="K20" s="296">
        <f t="shared" si="2"/>
        <v>58422263.207541235</v>
      </c>
    </row>
    <row r="21" spans="1:11">
      <c r="A21" s="2">
        <f t="shared" si="0"/>
        <v>13</v>
      </c>
      <c r="B21" s="17"/>
      <c r="C21" s="297"/>
      <c r="D21" s="298"/>
      <c r="E21" s="297"/>
      <c r="F21" s="17"/>
      <c r="G21" s="297"/>
      <c r="H21" s="297"/>
      <c r="I21" s="297"/>
      <c r="J21" s="297"/>
      <c r="K21" s="297"/>
    </row>
    <row r="22" spans="1:11">
      <c r="A22" s="2">
        <f t="shared" si="0"/>
        <v>14</v>
      </c>
      <c r="B22" s="17"/>
      <c r="C22" s="297"/>
      <c r="D22" s="298"/>
      <c r="E22" s="297"/>
      <c r="F22" s="17"/>
      <c r="G22" s="297"/>
      <c r="H22" s="297"/>
      <c r="I22" s="297"/>
      <c r="J22" s="297"/>
      <c r="K22" s="297"/>
    </row>
    <row r="23" spans="1:11">
      <c r="A23" s="2">
        <f t="shared" si="0"/>
        <v>15</v>
      </c>
      <c r="B23" s="532" t="s">
        <v>2719</v>
      </c>
      <c r="C23" s="297"/>
      <c r="D23" s="298"/>
      <c r="E23" s="297"/>
      <c r="F23" s="17"/>
      <c r="G23" s="297"/>
      <c r="H23" s="297"/>
      <c r="I23" s="297"/>
      <c r="J23" s="297"/>
      <c r="K23" s="297"/>
    </row>
    <row r="24" spans="1:11">
      <c r="A24" s="2">
        <f t="shared" si="0"/>
        <v>16</v>
      </c>
      <c r="B24" s="17"/>
      <c r="C24" s="299" t="s">
        <v>517</v>
      </c>
      <c r="D24" s="26" t="s">
        <v>518</v>
      </c>
      <c r="E24" s="26"/>
      <c r="F24" s="17"/>
      <c r="G24" s="17"/>
      <c r="H24" s="17"/>
      <c r="I24" s="17"/>
      <c r="J24" s="17"/>
      <c r="K24" s="17"/>
    </row>
    <row r="25" spans="1:11">
      <c r="A25" s="2">
        <f t="shared" si="0"/>
        <v>17</v>
      </c>
      <c r="B25" s="17" t="s">
        <v>359</v>
      </c>
      <c r="C25" s="31" t="s">
        <v>516</v>
      </c>
      <c r="D25" s="31" t="s">
        <v>516</v>
      </c>
      <c r="E25" s="31" t="s">
        <v>215</v>
      </c>
      <c r="F25" s="17"/>
      <c r="G25" s="300" t="s">
        <v>256</v>
      </c>
      <c r="H25" s="17"/>
      <c r="I25" s="17"/>
      <c r="J25" s="17"/>
      <c r="K25" s="17"/>
    </row>
    <row r="26" spans="1:11">
      <c r="A26" s="2">
        <f t="shared" si="0"/>
        <v>18</v>
      </c>
      <c r="B26" s="83" t="s">
        <v>469</v>
      </c>
      <c r="C26" s="296">
        <f>G20</f>
        <v>235651386.55081129</v>
      </c>
      <c r="D26" s="296">
        <f>H20</f>
        <v>5397748.0576661117</v>
      </c>
      <c r="E26" s="301">
        <f>SUM(C26:D26)</f>
        <v>241049134.60847741</v>
      </c>
      <c r="F26" s="17"/>
      <c r="G26" s="17" t="s">
        <v>522</v>
      </c>
      <c r="H26" s="17"/>
      <c r="I26" s="17"/>
      <c r="J26" s="17"/>
      <c r="K26" s="17"/>
    </row>
    <row r="27" spans="1:11">
      <c r="A27" s="2">
        <f t="shared" si="0"/>
        <v>19</v>
      </c>
      <c r="B27" s="83" t="s">
        <v>502</v>
      </c>
      <c r="C27" s="296">
        <f>I20</f>
        <v>7116987736.4376736</v>
      </c>
      <c r="D27" s="296">
        <f>J20</f>
        <v>240494018.01567858</v>
      </c>
      <c r="E27" s="301">
        <f>SUM(C27:D27)</f>
        <v>7357481754.453352</v>
      </c>
      <c r="F27" s="17"/>
      <c r="G27" s="17" t="s">
        <v>522</v>
      </c>
      <c r="H27" s="17"/>
      <c r="I27" s="17"/>
      <c r="J27" s="17"/>
      <c r="K27" s="17"/>
    </row>
    <row r="28" spans="1:11">
      <c r="A28" s="2">
        <f t="shared" si="0"/>
        <v>20</v>
      </c>
      <c r="B28" s="32" t="s">
        <v>520</v>
      </c>
      <c r="C28" s="296">
        <f>SUM(C26:C27)</f>
        <v>7352639122.9884853</v>
      </c>
      <c r="D28" s="296">
        <f>SUM(D26:D27)</f>
        <v>245891766.07334471</v>
      </c>
      <c r="E28" s="296">
        <f>SUM(C28:D28)</f>
        <v>7598530889.0618305</v>
      </c>
      <c r="F28" s="17"/>
      <c r="G28" s="17" t="s">
        <v>523</v>
      </c>
      <c r="H28" s="17"/>
      <c r="I28" s="17"/>
      <c r="J28" s="17"/>
      <c r="K28" s="17"/>
    </row>
    <row r="29" spans="1:11">
      <c r="A29" s="117">
        <f t="shared" si="0"/>
        <v>21</v>
      </c>
      <c r="B29" s="302" t="s">
        <v>519</v>
      </c>
      <c r="C29" s="303">
        <f>C28/E28</f>
        <v>0.96763956484965941</v>
      </c>
      <c r="D29" s="303">
        <f>D28/E28</f>
        <v>3.2360435150340525E-2</v>
      </c>
      <c r="E29" s="304"/>
      <c r="F29" s="1116"/>
      <c r="G29" s="1117" t="s">
        <v>524</v>
      </c>
      <c r="H29" s="281"/>
      <c r="I29" s="281"/>
      <c r="J29" s="281"/>
      <c r="K29" s="1116"/>
    </row>
    <row r="30" spans="1:11">
      <c r="A30" s="117">
        <f t="shared" si="0"/>
        <v>22</v>
      </c>
      <c r="B30" s="305"/>
      <c r="C30" s="306"/>
      <c r="D30" s="306"/>
      <c r="E30" s="306"/>
      <c r="F30" s="305"/>
      <c r="G30" s="305"/>
      <c r="H30" s="305"/>
      <c r="I30" s="305"/>
      <c r="J30" s="305"/>
      <c r="K30" s="305"/>
    </row>
    <row r="31" spans="1:11">
      <c r="A31" s="117">
        <f t="shared" si="0"/>
        <v>23</v>
      </c>
      <c r="B31" s="281" t="s">
        <v>521</v>
      </c>
      <c r="C31" s="1118">
        <f>K20*C29</f>
        <v>56531693.347677469</v>
      </c>
      <c r="D31" s="1118">
        <f>K20*D29</f>
        <v>1890569.8598637634</v>
      </c>
      <c r="E31" s="1118">
        <f>K20</f>
        <v>58422263.207541235</v>
      </c>
      <c r="F31" s="281"/>
      <c r="G31" s="530" t="str">
        <f>"Straddling Transformers split by Gross Plant Percentages on Line "&amp;A29&amp;""</f>
        <v>Straddling Transformers split by Gross Plant Percentages on Line 21</v>
      </c>
      <c r="H31" s="281"/>
      <c r="I31" s="281"/>
      <c r="J31" s="281"/>
      <c r="K31" s="281"/>
    </row>
    <row r="32" spans="1:11">
      <c r="A32" s="117">
        <f t="shared" si="0"/>
        <v>24</v>
      </c>
      <c r="B32" s="694" t="s">
        <v>1942</v>
      </c>
      <c r="C32" s="1119">
        <v>0</v>
      </c>
      <c r="D32" s="1119">
        <v>0</v>
      </c>
      <c r="E32" s="1119">
        <f>SUM(C32:D32)</f>
        <v>0</v>
      </c>
      <c r="F32" s="694"/>
      <c r="G32" s="694" t="s">
        <v>1943</v>
      </c>
      <c r="H32" s="1120"/>
      <c r="I32" s="281"/>
      <c r="J32" s="281"/>
      <c r="K32" s="281"/>
    </row>
    <row r="33" spans="1:11">
      <c r="A33" s="117">
        <f t="shared" si="0"/>
        <v>25</v>
      </c>
      <c r="B33" s="281" t="s">
        <v>525</v>
      </c>
      <c r="C33" s="274">
        <f>C28+C31+C32</f>
        <v>7409170816.3361626</v>
      </c>
      <c r="D33" s="274">
        <f>D28+D31+D32</f>
        <v>247782335.93320847</v>
      </c>
      <c r="E33" s="274">
        <f>E28+E31+E32</f>
        <v>7656953152.269372</v>
      </c>
      <c r="F33" s="281"/>
      <c r="G33" s="694" t="str">
        <f>"Line "&amp;A28&amp;" + Line "&amp;A31&amp;" + Line "&amp;A32&amp;""</f>
        <v>Line 20 + Line 23 + Line 24</v>
      </c>
      <c r="H33" s="694"/>
      <c r="I33" s="281"/>
      <c r="J33" s="281"/>
      <c r="K33" s="281"/>
    </row>
    <row r="34" spans="1:11">
      <c r="A34" s="117">
        <f t="shared" si="0"/>
        <v>26</v>
      </c>
      <c r="B34" s="281"/>
      <c r="C34" s="307"/>
      <c r="D34" s="307"/>
      <c r="E34" s="1121"/>
      <c r="F34" s="281"/>
      <c r="G34" s="281"/>
      <c r="H34" s="281"/>
      <c r="I34" s="281"/>
      <c r="J34" s="281"/>
      <c r="K34" s="281"/>
    </row>
    <row r="35" spans="1:11">
      <c r="A35" s="117">
        <f t="shared" si="0"/>
        <v>27</v>
      </c>
      <c r="B35" s="281"/>
      <c r="C35" s="1122"/>
      <c r="D35" s="1122"/>
      <c r="E35" s="281"/>
      <c r="F35" s="281"/>
      <c r="G35" s="1122"/>
      <c r="H35" s="1122"/>
      <c r="I35" s="1122"/>
      <c r="J35" s="281"/>
      <c r="K35" s="281"/>
    </row>
    <row r="36" spans="1:11">
      <c r="A36" s="117">
        <f t="shared" si="0"/>
        <v>28</v>
      </c>
      <c r="B36" s="286" t="s">
        <v>528</v>
      </c>
      <c r="C36" s="281"/>
      <c r="D36" s="281"/>
      <c r="E36" s="281"/>
      <c r="F36" s="281"/>
      <c r="G36" s="281"/>
      <c r="H36" s="281"/>
      <c r="I36" s="281"/>
      <c r="J36" s="281"/>
      <c r="K36" s="281"/>
    </row>
    <row r="37" spans="1:11">
      <c r="A37" s="117">
        <f t="shared" si="0"/>
        <v>29</v>
      </c>
      <c r="B37" s="286"/>
      <c r="C37" s="281"/>
      <c r="D37" s="281"/>
      <c r="E37" s="281"/>
      <c r="F37" s="281"/>
      <c r="G37" s="281"/>
      <c r="H37" s="281"/>
      <c r="I37" s="281"/>
      <c r="J37" s="281"/>
      <c r="K37" s="281"/>
    </row>
    <row r="38" spans="1:11">
      <c r="A38" s="117">
        <f t="shared" si="0"/>
        <v>30</v>
      </c>
      <c r="B38" s="286"/>
      <c r="C38" s="1123" t="s">
        <v>517</v>
      </c>
      <c r="D38" s="461" t="s">
        <v>518</v>
      </c>
      <c r="E38" s="461"/>
      <c r="F38" s="281"/>
      <c r="G38" s="281"/>
      <c r="H38" s="281"/>
      <c r="I38" s="281"/>
      <c r="J38" s="281"/>
      <c r="K38" s="281"/>
    </row>
    <row r="39" spans="1:11">
      <c r="A39" s="117">
        <f t="shared" si="0"/>
        <v>31</v>
      </c>
      <c r="B39" s="286"/>
      <c r="C39" s="510" t="s">
        <v>516</v>
      </c>
      <c r="D39" s="510" t="s">
        <v>516</v>
      </c>
      <c r="E39" s="510" t="s">
        <v>215</v>
      </c>
      <c r="F39" s="281"/>
      <c r="G39" s="1124" t="s">
        <v>256</v>
      </c>
      <c r="H39" s="281"/>
      <c r="I39" s="281"/>
      <c r="J39" s="281"/>
      <c r="K39" s="281"/>
    </row>
    <row r="40" spans="1:11">
      <c r="A40" s="117">
        <f t="shared" si="0"/>
        <v>32</v>
      </c>
      <c r="B40" s="281" t="s">
        <v>525</v>
      </c>
      <c r="C40" s="288">
        <f>C33</f>
        <v>7409170816.3361626</v>
      </c>
      <c r="D40" s="288">
        <f>D33</f>
        <v>247782335.93320847</v>
      </c>
      <c r="E40" s="288">
        <f>E33</f>
        <v>7656953152.269372</v>
      </c>
      <c r="F40" s="281"/>
      <c r="G40" s="281" t="str">
        <f>"Line "&amp;A33&amp;""</f>
        <v>Line 25</v>
      </c>
      <c r="H40" s="281"/>
      <c r="I40" s="281"/>
      <c r="J40" s="281"/>
      <c r="K40" s="281"/>
    </row>
    <row r="41" spans="1:11">
      <c r="A41" s="117">
        <f t="shared" si="0"/>
        <v>33</v>
      </c>
      <c r="B41" s="530" t="s">
        <v>1836</v>
      </c>
      <c r="C41" s="288">
        <f>'16-PlantAdditions'!K37-'16-PlantAdditions'!P37</f>
        <v>873677298.92538047</v>
      </c>
      <c r="D41" s="288">
        <f>'16-PlantAdditions'!P37</f>
        <v>6468708.8174155904</v>
      </c>
      <c r="E41" s="1125">
        <f>SUM(C41:D41)</f>
        <v>880146007.74279606</v>
      </c>
      <c r="F41" s="281"/>
      <c r="G41" s="281" t="str">
        <f>"13-Month Average: 16-PlantAdditions, Line "&amp;'16-PlantAdditions'!A37&amp;", Cols 7  (for Total) and 12 (for LV).  HV = C7 - C12."</f>
        <v>13-Month Average: 16-PlantAdditions, Line 25, Cols 7  (for Total) and 12 (for LV).  HV = C7 - C12.</v>
      </c>
      <c r="H41" s="281"/>
      <c r="I41" s="281"/>
      <c r="J41" s="281"/>
      <c r="K41" s="281"/>
    </row>
    <row r="42" spans="1:11">
      <c r="A42" s="117">
        <f t="shared" si="0"/>
        <v>34</v>
      </c>
      <c r="B42" s="530" t="s">
        <v>1835</v>
      </c>
      <c r="C42" s="609">
        <f>'10-CWIP'!K79</f>
        <v>-103852112.36607756</v>
      </c>
      <c r="D42" s="609">
        <v>0</v>
      </c>
      <c r="E42" s="609">
        <f>SUM(C42:D42)</f>
        <v>-103852112.36607756</v>
      </c>
      <c r="F42" s="281"/>
      <c r="G42" s="281" t="str">
        <f>"13 Month Average: 10-CWIP, Line "&amp;'10-CWIP'!A79&amp;", Col. 8"</f>
        <v>13 Month Average: 10-CWIP, Line 54, Col. 8</v>
      </c>
      <c r="H42" s="281"/>
      <c r="I42" s="281"/>
      <c r="J42" s="281"/>
      <c r="K42" s="281"/>
    </row>
    <row r="43" spans="1:11">
      <c r="A43" s="117">
        <f t="shared" si="0"/>
        <v>35</v>
      </c>
      <c r="B43" s="281" t="s">
        <v>526</v>
      </c>
      <c r="C43" s="288">
        <f>SUM(C40:C42)</f>
        <v>8178996002.8954659</v>
      </c>
      <c r="D43" s="288">
        <f t="shared" ref="D43:E43" si="3">SUM(D40:D42)</f>
        <v>254251044.75062406</v>
      </c>
      <c r="E43" s="288">
        <f t="shared" si="3"/>
        <v>8433247047.6460905</v>
      </c>
      <c r="F43" s="281"/>
      <c r="G43" s="281" t="str">
        <f>"Line "&amp;A40&amp;" + Line "&amp;A41&amp;" + Line "&amp;A42&amp;""</f>
        <v>Line 32 + Line 33 + Line 34</v>
      </c>
      <c r="H43" s="281"/>
      <c r="I43" s="281"/>
      <c r="J43" s="281"/>
      <c r="K43" s="281"/>
    </row>
    <row r="44" spans="1:11">
      <c r="A44" s="117">
        <f t="shared" si="0"/>
        <v>36</v>
      </c>
      <c r="B44" s="281"/>
      <c r="C44" s="281"/>
      <c r="D44" s="281"/>
      <c r="E44" s="281"/>
      <c r="F44" s="281"/>
      <c r="G44" s="281"/>
      <c r="H44" s="281"/>
      <c r="I44" s="281"/>
      <c r="J44" s="281"/>
      <c r="K44" s="281"/>
    </row>
    <row r="45" spans="1:11">
      <c r="A45" s="117">
        <f t="shared" si="0"/>
        <v>37</v>
      </c>
      <c r="B45" s="281" t="s">
        <v>1259</v>
      </c>
      <c r="C45" s="1126">
        <f>C43/E43</f>
        <v>0.96985134630656977</v>
      </c>
      <c r="D45" s="1126">
        <f>D43/E43</f>
        <v>3.014865369343013E-2</v>
      </c>
      <c r="E45" s="281"/>
      <c r="F45" s="281"/>
      <c r="G45" s="1127" t="str">
        <f>"Percent of Total on Line "&amp;A43&amp;""</f>
        <v>Percent of Total on Line 35</v>
      </c>
      <c r="H45" s="281"/>
      <c r="I45" s="281"/>
      <c r="J45" s="281"/>
      <c r="K45" s="281"/>
    </row>
    <row r="46" spans="1:11">
      <c r="A46" s="117">
        <f t="shared" si="0"/>
        <v>38</v>
      </c>
      <c r="B46" s="1066" t="s">
        <v>1655</v>
      </c>
      <c r="C46" s="281"/>
      <c r="D46" s="281"/>
      <c r="E46" s="281"/>
      <c r="F46" s="281"/>
      <c r="G46" s="281"/>
      <c r="H46" s="281"/>
      <c r="I46" s="281"/>
      <c r="J46" s="281"/>
      <c r="K46" s="281"/>
    </row>
    <row r="47" spans="1:11">
      <c r="A47" s="117">
        <f t="shared" si="0"/>
        <v>39</v>
      </c>
      <c r="B47" s="530" t="s">
        <v>1839</v>
      </c>
      <c r="C47" s="281"/>
      <c r="D47" s="281"/>
      <c r="E47" s="281"/>
      <c r="F47" s="281"/>
      <c r="G47" s="281"/>
      <c r="H47" s="281"/>
      <c r="I47" s="281"/>
      <c r="J47" s="281"/>
      <c r="K47" s="281"/>
    </row>
    <row r="48" spans="1:11">
      <c r="A48" s="15"/>
      <c r="B48" s="44"/>
      <c r="C48" s="281"/>
      <c r="D48" s="281"/>
      <c r="E48" s="281"/>
      <c r="F48" s="281"/>
      <c r="G48" s="281"/>
      <c r="H48" s="281"/>
      <c r="I48" s="281"/>
      <c r="J48" s="281"/>
      <c r="K48" s="281"/>
    </row>
    <row r="49" spans="1:11">
      <c r="A49" s="15"/>
      <c r="B49" s="44" t="s">
        <v>256</v>
      </c>
      <c r="C49" s="694"/>
      <c r="D49" s="694"/>
      <c r="E49" s="694"/>
      <c r="F49" s="694"/>
      <c r="G49" s="694"/>
      <c r="H49" s="694"/>
      <c r="I49" s="281"/>
      <c r="J49" s="281"/>
      <c r="K49" s="281"/>
    </row>
    <row r="50" spans="1:11">
      <c r="A50" s="15"/>
      <c r="B50" s="694" t="s">
        <v>1944</v>
      </c>
      <c r="C50" s="694"/>
      <c r="D50" s="694"/>
      <c r="E50" s="694"/>
      <c r="F50" s="694"/>
      <c r="G50" s="694"/>
      <c r="H50" s="694"/>
      <c r="I50" s="281"/>
      <c r="J50" s="281"/>
      <c r="K50" s="281"/>
    </row>
    <row r="51" spans="1:11">
      <c r="A51" s="14"/>
      <c r="B51" s="694" t="s">
        <v>1945</v>
      </c>
      <c r="C51" s="1120"/>
      <c r="D51" s="1120"/>
      <c r="E51" s="1120"/>
      <c r="F51" s="1120"/>
      <c r="G51" s="1120"/>
      <c r="H51" s="1120"/>
      <c r="I51" s="1128"/>
      <c r="J51" s="1128"/>
      <c r="K51" s="1128"/>
    </row>
  </sheetData>
  <pageMargins left="0.7" right="0.7" top="0.75" bottom="0.75" header="0.3" footer="0.3"/>
  <pageSetup scale="70" orientation="landscape" cellComments="asDisplayed" r:id="rId1"/>
  <headerFooter>
    <oddHeader>&amp;CSchedule 31
High and Low Voltage Gross Plant
&amp;RTO11 Draft Annual Update
Attachment 1</oddHeader>
    <oddFooter>&amp;R31-HVLV</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zoomScaleNormal="100" workbookViewId="0"/>
  </sheetViews>
  <sheetFormatPr defaultRowHeight="12.75"/>
  <cols>
    <col min="1" max="1" width="4.7109375" customWidth="1"/>
    <col min="5" max="5" width="3.140625" customWidth="1"/>
    <col min="6" max="6" width="12.7109375" customWidth="1"/>
    <col min="7" max="7" width="22.7109375" customWidth="1"/>
    <col min="8" max="8" width="25.7109375" customWidth="1"/>
  </cols>
  <sheetData>
    <row r="1" spans="1:8">
      <c r="A1" s="1" t="s">
        <v>1856</v>
      </c>
    </row>
    <row r="3" spans="1:8">
      <c r="G3" s="2"/>
    </row>
    <row r="4" spans="1:8">
      <c r="A4" s="3" t="s">
        <v>360</v>
      </c>
      <c r="F4" s="3" t="s">
        <v>312</v>
      </c>
      <c r="G4" s="3" t="s">
        <v>171</v>
      </c>
      <c r="H4" s="52" t="s">
        <v>198</v>
      </c>
    </row>
    <row r="5" spans="1:8">
      <c r="A5" s="2">
        <v>1</v>
      </c>
      <c r="B5" s="522" t="s">
        <v>366</v>
      </c>
      <c r="F5" s="105">
        <v>88972829</v>
      </c>
      <c r="G5" s="16"/>
      <c r="H5" t="s">
        <v>395</v>
      </c>
    </row>
    <row r="6" spans="1:8">
      <c r="A6" s="2">
        <v>2</v>
      </c>
      <c r="B6" s="12" t="s">
        <v>367</v>
      </c>
      <c r="F6" s="107">
        <v>10620</v>
      </c>
      <c r="G6" s="16"/>
      <c r="H6" t="s">
        <v>396</v>
      </c>
    </row>
    <row r="7" spans="1:8">
      <c r="A7" s="2">
        <v>3</v>
      </c>
      <c r="B7" s="51" t="s">
        <v>355</v>
      </c>
      <c r="F7" s="106">
        <f>SUM(F5:F6)</f>
        <v>88983449</v>
      </c>
      <c r="G7" s="13" t="s">
        <v>368</v>
      </c>
      <c r="H7" s="12" t="s">
        <v>356</v>
      </c>
    </row>
    <row r="8" spans="1:8">
      <c r="A8" s="2"/>
      <c r="G8" s="16"/>
    </row>
    <row r="9" spans="1:8">
      <c r="A9" s="2"/>
      <c r="G9" s="16"/>
    </row>
    <row r="10" spans="1:8">
      <c r="A10" s="2">
        <v>4</v>
      </c>
      <c r="B10" s="524" t="s">
        <v>2703</v>
      </c>
      <c r="C10" s="14"/>
      <c r="D10" s="14"/>
      <c r="E10" s="36"/>
      <c r="F10" s="1283">
        <v>181992</v>
      </c>
      <c r="G10" s="16"/>
      <c r="H10" s="12" t="s">
        <v>395</v>
      </c>
    </row>
    <row r="11" spans="1:8">
      <c r="B11" s="14"/>
      <c r="C11" s="14"/>
      <c r="D11" s="14"/>
    </row>
    <row r="12" spans="1:8">
      <c r="B12" s="14"/>
      <c r="C12" s="14"/>
      <c r="D12" s="14"/>
    </row>
    <row r="13" spans="1:8">
      <c r="B13" s="1008" t="s">
        <v>256</v>
      </c>
      <c r="C13" s="14"/>
      <c r="D13" s="14"/>
    </row>
    <row r="14" spans="1:8">
      <c r="B14" s="15" t="s">
        <v>1369</v>
      </c>
      <c r="C14" s="14"/>
      <c r="D14" s="14"/>
    </row>
    <row r="15" spans="1:8">
      <c r="B15" s="15" t="s">
        <v>1370</v>
      </c>
      <c r="C15" s="14"/>
      <c r="D15" s="14"/>
    </row>
    <row r="16" spans="1:8">
      <c r="B16" s="524" t="s">
        <v>2228</v>
      </c>
      <c r="C16" s="14"/>
      <c r="D16" s="14"/>
      <c r="E16" s="14"/>
      <c r="F16" s="14"/>
      <c r="G16" s="14"/>
      <c r="H16" s="14"/>
    </row>
    <row r="18" spans="2:2" ht="15.75">
      <c r="B18" s="676"/>
    </row>
  </sheetData>
  <pageMargins left="0.7" right="0.7" top="0.75" bottom="0.75" header="0.3" footer="0.3"/>
  <pageSetup orientation="landscape" cellComments="asDisplayed" r:id="rId1"/>
  <headerFooter>
    <oddHeader>&amp;CSchedule 32 
Gross Load
&amp;RTO11 Draft Annual Update
Attachment 1</oddHeader>
    <oddFooter>&amp;R&amp;A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0"/>
  <sheetViews>
    <sheetView zoomScale="90" zoomScaleNormal="90" workbookViewId="0"/>
  </sheetViews>
  <sheetFormatPr defaultColWidth="9.140625" defaultRowHeight="12.75"/>
  <cols>
    <col min="1" max="1" width="5.42578125" style="849" customWidth="1"/>
    <col min="2" max="2" width="18.5703125" style="849" customWidth="1"/>
    <col min="3" max="12" width="15.7109375" style="849" customWidth="1"/>
    <col min="13" max="13" width="15.7109375" style="848" customWidth="1"/>
    <col min="14" max="14" width="15.7109375" style="849" customWidth="1"/>
    <col min="15" max="15" width="9.140625" style="849"/>
    <col min="16" max="16" width="10.140625" style="849" customWidth="1"/>
    <col min="17" max="16384" width="9.140625" style="849"/>
  </cols>
  <sheetData>
    <row r="1" spans="1:16" ht="15.75">
      <c r="A1" s="845" t="s">
        <v>412</v>
      </c>
      <c r="B1" s="846"/>
      <c r="C1" s="846"/>
      <c r="D1" s="846"/>
      <c r="E1" s="846"/>
      <c r="F1" s="846"/>
      <c r="G1" s="846"/>
      <c r="H1" s="846"/>
      <c r="I1" s="846"/>
      <c r="J1" s="846"/>
      <c r="K1" s="847"/>
      <c r="L1" s="847"/>
    </row>
    <row r="2" spans="1:16" ht="14.25" customHeight="1">
      <c r="A2" s="845"/>
      <c r="B2" s="846"/>
      <c r="C2" s="846"/>
      <c r="D2" s="846"/>
      <c r="E2" s="846"/>
      <c r="F2" s="846"/>
      <c r="G2" s="846"/>
      <c r="H2" s="846"/>
      <c r="I2" s="846"/>
      <c r="J2" s="846"/>
      <c r="K2" s="847"/>
      <c r="L2" s="847"/>
    </row>
    <row r="3" spans="1:16">
      <c r="E3" s="850" t="s">
        <v>198</v>
      </c>
      <c r="K3" s="851"/>
      <c r="L3" s="851"/>
    </row>
    <row r="4" spans="1:16">
      <c r="C4" s="852" t="s">
        <v>1291</v>
      </c>
      <c r="D4" s="1325">
        <f>'1-BaseTRR'!K152</f>
        <v>1190178508.7125487</v>
      </c>
      <c r="E4" s="853" t="s">
        <v>2692</v>
      </c>
      <c r="G4" s="854" t="s">
        <v>497</v>
      </c>
      <c r="H4" s="855"/>
      <c r="J4" s="856"/>
      <c r="K4" s="851"/>
      <c r="L4" s="851"/>
    </row>
    <row r="5" spans="1:16">
      <c r="C5" s="852"/>
      <c r="D5" s="857"/>
      <c r="E5" s="853"/>
      <c r="K5" s="851"/>
      <c r="L5" s="851"/>
    </row>
    <row r="6" spans="1:16" ht="15.75">
      <c r="B6" s="845" t="s">
        <v>1292</v>
      </c>
      <c r="D6" s="852"/>
      <c r="E6" s="857"/>
      <c r="F6" s="853"/>
      <c r="K6" s="851"/>
      <c r="L6" s="851"/>
    </row>
    <row r="7" spans="1:16">
      <c r="C7" s="858" t="s">
        <v>394</v>
      </c>
      <c r="D7" s="858" t="s">
        <v>378</v>
      </c>
      <c r="E7" s="858" t="s">
        <v>379</v>
      </c>
      <c r="F7" s="934" t="s">
        <v>380</v>
      </c>
      <c r="G7" s="934" t="s">
        <v>381</v>
      </c>
      <c r="H7" s="934" t="s">
        <v>382</v>
      </c>
      <c r="I7" s="934" t="s">
        <v>383</v>
      </c>
      <c r="J7" s="934" t="s">
        <v>596</v>
      </c>
      <c r="K7" s="934" t="s">
        <v>1045</v>
      </c>
      <c r="L7" s="934" t="s">
        <v>1061</v>
      </c>
      <c r="M7" s="934" t="s">
        <v>1064</v>
      </c>
      <c r="N7" s="850" t="s">
        <v>1082</v>
      </c>
      <c r="O7" s="850" t="s">
        <v>1664</v>
      </c>
      <c r="P7" s="850" t="s">
        <v>1665</v>
      </c>
    </row>
    <row r="8" spans="1:16">
      <c r="C8" s="914" t="s">
        <v>395</v>
      </c>
      <c r="D8" s="856"/>
      <c r="E8" s="914" t="s">
        <v>396</v>
      </c>
      <c r="F8" s="914" t="s">
        <v>1293</v>
      </c>
      <c r="G8" s="914" t="s">
        <v>1308</v>
      </c>
      <c r="H8" s="914" t="s">
        <v>1310</v>
      </c>
      <c r="I8" s="914" t="s">
        <v>1311</v>
      </c>
      <c r="J8" s="914" t="s">
        <v>1312</v>
      </c>
      <c r="K8" s="856"/>
      <c r="L8" s="856"/>
    </row>
    <row r="9" spans="1:16" s="862" customFormat="1" ht="15">
      <c r="A9" s="860"/>
      <c r="B9" s="860"/>
      <c r="C9" s="858"/>
      <c r="D9" s="861"/>
      <c r="E9" s="1480" t="s">
        <v>2618</v>
      </c>
      <c r="F9" s="1481"/>
      <c r="G9" s="1481"/>
      <c r="H9" s="1482"/>
      <c r="I9" s="1483"/>
      <c r="J9" s="1326"/>
      <c r="K9" s="1326"/>
      <c r="L9" s="914" t="s">
        <v>1314</v>
      </c>
      <c r="M9" s="914" t="s">
        <v>1314</v>
      </c>
      <c r="N9" s="914" t="s">
        <v>1314</v>
      </c>
    </row>
    <row r="10" spans="1:16" s="867" customFormat="1" ht="53.25" customHeight="1">
      <c r="A10" s="863"/>
      <c r="B10" s="863"/>
      <c r="C10" s="864"/>
      <c r="D10" s="1327" t="s">
        <v>2619</v>
      </c>
      <c r="E10" s="1328" t="s">
        <v>2930</v>
      </c>
      <c r="F10" s="1328" t="s">
        <v>2931</v>
      </c>
      <c r="G10" s="1329" t="s">
        <v>2932</v>
      </c>
      <c r="H10" s="1328" t="s">
        <v>2620</v>
      </c>
      <c r="I10" s="1328" t="s">
        <v>2621</v>
      </c>
      <c r="J10" s="1330" t="s">
        <v>2933</v>
      </c>
      <c r="K10" s="865" t="s">
        <v>2934</v>
      </c>
      <c r="L10" s="865" t="s">
        <v>2935</v>
      </c>
      <c r="M10" s="1322" t="s">
        <v>2622</v>
      </c>
      <c r="N10" s="1331"/>
      <c r="O10" s="1332"/>
      <c r="P10" s="866"/>
    </row>
    <row r="11" spans="1:16" s="862" customFormat="1" ht="55.15" customHeight="1">
      <c r="A11" s="850" t="s">
        <v>350</v>
      </c>
      <c r="B11" s="868" t="s">
        <v>1294</v>
      </c>
      <c r="C11" s="869" t="s">
        <v>1295</v>
      </c>
      <c r="D11" s="870" t="s">
        <v>1296</v>
      </c>
      <c r="E11" s="868" t="s">
        <v>2936</v>
      </c>
      <c r="F11" s="945" t="s">
        <v>2937</v>
      </c>
      <c r="G11" s="1333" t="s">
        <v>2938</v>
      </c>
      <c r="H11" s="868" t="s">
        <v>2624</v>
      </c>
      <c r="I11" s="868" t="s">
        <v>2625</v>
      </c>
      <c r="J11" s="868" t="s">
        <v>2939</v>
      </c>
      <c r="K11" s="872" t="s">
        <v>2626</v>
      </c>
      <c r="L11" s="873" t="s">
        <v>2627</v>
      </c>
      <c r="M11" s="871" t="s">
        <v>2623</v>
      </c>
      <c r="N11" s="868" t="s">
        <v>2624</v>
      </c>
      <c r="O11" s="868" t="s">
        <v>2625</v>
      </c>
      <c r="P11" s="868" t="s">
        <v>187</v>
      </c>
    </row>
    <row r="12" spans="1:16" s="856" customFormat="1">
      <c r="A12" s="874" t="s">
        <v>639</v>
      </c>
      <c r="B12" s="1334" t="s">
        <v>2603</v>
      </c>
      <c r="C12" s="875">
        <f>M113</f>
        <v>0.40557421661787196</v>
      </c>
      <c r="D12" s="857">
        <f>$D$4*C12</f>
        <v>482705716.30651903</v>
      </c>
      <c r="E12" s="1162">
        <v>28525.260941260982</v>
      </c>
      <c r="F12" s="932"/>
      <c r="G12" s="1432">
        <v>678.72821070000009</v>
      </c>
      <c r="H12" s="1163">
        <v>0</v>
      </c>
      <c r="I12" s="1164">
        <v>0</v>
      </c>
      <c r="J12" s="899">
        <f>(E12+F12)-G12</f>
        <v>27846.532730560983</v>
      </c>
      <c r="K12" s="876">
        <f>D12/(J12*10^6)</f>
        <v>1.733449980926206E-2</v>
      </c>
      <c r="L12" s="877"/>
      <c r="N12" s="851"/>
      <c r="O12" s="849"/>
      <c r="P12" s="848"/>
    </row>
    <row r="13" spans="1:16" s="856" customFormat="1" ht="13.5" thickBot="1">
      <c r="A13" s="874" t="s">
        <v>641</v>
      </c>
      <c r="B13" s="1334" t="s">
        <v>2604</v>
      </c>
      <c r="C13" s="875">
        <f>M114</f>
        <v>7.4698910693624693E-2</v>
      </c>
      <c r="D13" s="857">
        <f t="shared" ref="D13:D26" si="0">$D$4*C13</f>
        <v>88905038.131790102</v>
      </c>
      <c r="E13" s="1162">
        <v>5764.3706632922303</v>
      </c>
      <c r="F13" s="932"/>
      <c r="G13" s="1432">
        <v>9.7761209999999998</v>
      </c>
      <c r="H13" s="1163">
        <v>0</v>
      </c>
      <c r="I13" s="1164">
        <v>4</v>
      </c>
      <c r="J13" s="899">
        <f t="shared" ref="J13:J27" si="1">(E13+F13)-G13</f>
        <v>5754.5945422922305</v>
      </c>
      <c r="K13" s="876">
        <f>D13/(J13*10^6)</f>
        <v>1.5449400905380991E-2</v>
      </c>
      <c r="L13" s="877"/>
      <c r="M13" s="1170">
        <v>5712.49</v>
      </c>
      <c r="N13" s="1171">
        <v>28524</v>
      </c>
      <c r="O13" s="1172">
        <v>4</v>
      </c>
      <c r="P13" s="848"/>
    </row>
    <row r="14" spans="1:16" s="856" customFormat="1" ht="15.75" thickBot="1">
      <c r="A14" s="874" t="s">
        <v>2628</v>
      </c>
      <c r="B14" s="1334" t="s">
        <v>2605</v>
      </c>
      <c r="C14" s="878"/>
      <c r="D14" s="878"/>
      <c r="E14" s="1165"/>
      <c r="F14" s="932"/>
      <c r="G14" s="932"/>
      <c r="H14" s="1166"/>
      <c r="I14" s="1166"/>
      <c r="J14" s="899">
        <f t="shared" si="1"/>
        <v>0</v>
      </c>
      <c r="K14" s="879"/>
      <c r="L14" s="880">
        <f>N14</f>
        <v>3.0936114756723168</v>
      </c>
      <c r="M14" s="881">
        <f>K13*M13*10^6</f>
        <v>88254548.177979857</v>
      </c>
      <c r="N14" s="1323">
        <f>M14/((N13+O13)*10^3)</f>
        <v>3.0936114756723168</v>
      </c>
      <c r="O14" s="1335"/>
      <c r="P14" s="1336" t="s">
        <v>2940</v>
      </c>
    </row>
    <row r="15" spans="1:16" s="856" customFormat="1">
      <c r="A15" s="874" t="s">
        <v>644</v>
      </c>
      <c r="B15" s="1334" t="s">
        <v>2606</v>
      </c>
      <c r="C15" s="875">
        <f t="shared" ref="C15:C26" si="2">M115</f>
        <v>4.9490805943107851E-4</v>
      </c>
      <c r="D15" s="857">
        <f t="shared" si="0"/>
        <v>589028.93612350244</v>
      </c>
      <c r="E15" s="1162">
        <v>59.508178094598399</v>
      </c>
      <c r="F15" s="932"/>
      <c r="G15" s="932"/>
      <c r="H15" s="1163">
        <v>0</v>
      </c>
      <c r="I15" s="1164"/>
      <c r="J15" s="899">
        <f t="shared" si="1"/>
        <v>59.508178094598399</v>
      </c>
      <c r="K15" s="876">
        <f>D15/(J15*10^6)</f>
        <v>9.8982854959387342E-3</v>
      </c>
      <c r="L15" s="877"/>
      <c r="N15" s="851"/>
      <c r="O15" s="849"/>
      <c r="P15" s="848"/>
    </row>
    <row r="16" spans="1:16" s="856" customFormat="1">
      <c r="A16" s="874" t="s">
        <v>1297</v>
      </c>
      <c r="B16" s="1334" t="s">
        <v>2607</v>
      </c>
      <c r="C16" s="875">
        <f t="shared" si="2"/>
        <v>0.1762800769700926</v>
      </c>
      <c r="D16" s="857">
        <f t="shared" si="0"/>
        <v>209804759.12399811</v>
      </c>
      <c r="E16" s="1162">
        <v>14468.049151239065</v>
      </c>
      <c r="F16" s="932"/>
      <c r="G16" s="932"/>
      <c r="H16" s="1163">
        <v>49767.205498019823</v>
      </c>
      <c r="I16" s="1164">
        <v>42</v>
      </c>
      <c r="J16" s="899">
        <f t="shared" si="1"/>
        <v>14468.049151239065</v>
      </c>
      <c r="K16" s="877"/>
      <c r="L16" s="882">
        <f t="shared" ref="L16:L25" si="3">D16/((I16+H16)*10^3)</f>
        <v>4.2121683537461552</v>
      </c>
      <c r="N16" s="851"/>
      <c r="O16" s="883"/>
      <c r="P16" s="848"/>
    </row>
    <row r="17" spans="1:16" s="856" customFormat="1">
      <c r="A17" s="874" t="s">
        <v>1298</v>
      </c>
      <c r="B17" s="1334" t="s">
        <v>2608</v>
      </c>
      <c r="C17" s="875">
        <f t="shared" si="2"/>
        <v>9.3131478211061464E-2</v>
      </c>
      <c r="D17" s="857">
        <f t="shared" si="0"/>
        <v>110843083.85143636</v>
      </c>
      <c r="E17" s="1162">
        <v>8237.6804487195768</v>
      </c>
      <c r="F17" s="932"/>
      <c r="G17" s="932"/>
      <c r="H17" s="1163">
        <v>23838.696818765027</v>
      </c>
      <c r="I17" s="1164">
        <v>83</v>
      </c>
      <c r="J17" s="899">
        <f t="shared" si="1"/>
        <v>8237.6804487195768</v>
      </c>
      <c r="K17" s="877"/>
      <c r="L17" s="882">
        <f t="shared" si="3"/>
        <v>4.633579494431479</v>
      </c>
      <c r="N17" s="851"/>
      <c r="O17" s="883"/>
      <c r="P17" s="848"/>
    </row>
    <row r="18" spans="1:16" s="856" customFormat="1">
      <c r="A18" s="874" t="s">
        <v>1299</v>
      </c>
      <c r="B18" s="1334" t="s">
        <v>2609</v>
      </c>
      <c r="C18" s="875">
        <f t="shared" si="2"/>
        <v>8.9128031772804636E-2</v>
      </c>
      <c r="D18" s="857">
        <f t="shared" si="0"/>
        <v>106078267.93984129</v>
      </c>
      <c r="E18" s="1167">
        <v>8313.9668721877806</v>
      </c>
      <c r="F18" s="932"/>
      <c r="G18" s="932"/>
      <c r="H18" s="1168">
        <v>21276.902400901887</v>
      </c>
      <c r="I18" s="1169"/>
      <c r="J18" s="899">
        <f t="shared" si="1"/>
        <v>8313.9668721877806</v>
      </c>
      <c r="K18" s="877"/>
      <c r="L18" s="882">
        <f t="shared" si="3"/>
        <v>4.9856067364084362</v>
      </c>
      <c r="N18" s="851"/>
      <c r="O18" s="883"/>
      <c r="P18" s="848"/>
    </row>
    <row r="19" spans="1:16" s="856" customFormat="1">
      <c r="A19" s="874" t="s">
        <v>1300</v>
      </c>
      <c r="B19" s="1334" t="s">
        <v>2610</v>
      </c>
      <c r="C19" s="875">
        <f t="shared" si="2"/>
        <v>5.8693961861113857E-2</v>
      </c>
      <c r="D19" s="857">
        <f t="shared" si="0"/>
        <v>69856291.998291701</v>
      </c>
      <c r="E19" s="1167">
        <v>5596.8073264148316</v>
      </c>
      <c r="F19" s="932"/>
      <c r="G19" s="932"/>
      <c r="H19" s="1168">
        <v>13072.382229376908</v>
      </c>
      <c r="I19" s="1169"/>
      <c r="J19" s="899">
        <f t="shared" si="1"/>
        <v>5596.8073264148316</v>
      </c>
      <c r="K19" s="877"/>
      <c r="L19" s="882">
        <f t="shared" si="3"/>
        <v>5.343807331559443</v>
      </c>
      <c r="N19" s="851"/>
      <c r="O19" s="883"/>
      <c r="P19" s="848"/>
    </row>
    <row r="20" spans="1:16" s="856" customFormat="1">
      <c r="A20" s="874" t="s">
        <v>1301</v>
      </c>
      <c r="B20" s="1334" t="s">
        <v>2611</v>
      </c>
      <c r="C20" s="875">
        <f t="shared" si="2"/>
        <v>6.3767207043787438E-2</v>
      </c>
      <c r="D20" s="857">
        <f t="shared" si="0"/>
        <v>75894359.38413927</v>
      </c>
      <c r="E20" s="1167">
        <v>6041.411091355164</v>
      </c>
      <c r="F20" s="932"/>
      <c r="G20" s="932"/>
      <c r="H20" s="1168">
        <v>12539.275146904933</v>
      </c>
      <c r="I20" s="1169"/>
      <c r="J20" s="899">
        <f t="shared" si="1"/>
        <v>6041.411091355164</v>
      </c>
      <c r="K20" s="877"/>
      <c r="L20" s="882">
        <f t="shared" si="3"/>
        <v>6.0525316252329198</v>
      </c>
      <c r="N20" s="884"/>
      <c r="O20" s="885"/>
      <c r="P20" s="848"/>
    </row>
    <row r="21" spans="1:16" s="856" customFormat="1">
      <c r="A21" s="874" t="s">
        <v>1302</v>
      </c>
      <c r="B21" s="1334" t="s">
        <v>2612</v>
      </c>
      <c r="C21" s="875">
        <f t="shared" si="2"/>
        <v>5.9761640110455791E-4</v>
      </c>
      <c r="D21" s="857">
        <f t="shared" si="0"/>
        <v>711270.19704878307</v>
      </c>
      <c r="E21" s="1168">
        <v>159.77682739718438</v>
      </c>
      <c r="F21" s="1168">
        <v>68</v>
      </c>
      <c r="G21" s="932"/>
      <c r="H21" s="1168">
        <v>444</v>
      </c>
      <c r="I21" s="1169">
        <v>276</v>
      </c>
      <c r="J21" s="899">
        <f t="shared" si="1"/>
        <v>227.77682739718438</v>
      </c>
      <c r="K21" s="877"/>
      <c r="L21" s="882">
        <f t="shared" si="3"/>
        <v>0.98787527367886541</v>
      </c>
      <c r="N21" s="886"/>
      <c r="O21" s="887"/>
      <c r="P21" s="848"/>
    </row>
    <row r="22" spans="1:16" s="856" customFormat="1">
      <c r="A22" s="874" t="s">
        <v>1303</v>
      </c>
      <c r="B22" s="1334" t="s">
        <v>2613</v>
      </c>
      <c r="C22" s="875">
        <f t="shared" si="2"/>
        <v>1.7257338730728767E-3</v>
      </c>
      <c r="D22" s="857">
        <f t="shared" si="0"/>
        <v>2053931.3674886073</v>
      </c>
      <c r="E22" s="1168">
        <v>582.70989183250083</v>
      </c>
      <c r="F22" s="1168">
        <v>201</v>
      </c>
      <c r="G22" s="932"/>
      <c r="H22" s="1168">
        <v>1469</v>
      </c>
      <c r="I22" s="1169">
        <v>1390</v>
      </c>
      <c r="J22" s="899">
        <f t="shared" si="1"/>
        <v>783.70989183250083</v>
      </c>
      <c r="K22" s="877"/>
      <c r="L22" s="882">
        <f t="shared" si="3"/>
        <v>0.71840901276271674</v>
      </c>
      <c r="N22" s="886"/>
      <c r="O22" s="887"/>
      <c r="P22" s="848"/>
    </row>
    <row r="23" spans="1:16" s="856" customFormat="1">
      <c r="A23" s="874" t="s">
        <v>1304</v>
      </c>
      <c r="B23" s="1334" t="s">
        <v>2614</v>
      </c>
      <c r="C23" s="875">
        <f t="shared" si="2"/>
        <v>3.2082538343635443E-3</v>
      </c>
      <c r="D23" s="857">
        <f t="shared" si="0"/>
        <v>3818394.7641541194</v>
      </c>
      <c r="E23" s="1168">
        <v>1675.0201901255755</v>
      </c>
      <c r="F23" s="1168">
        <v>504</v>
      </c>
      <c r="G23" s="932"/>
      <c r="H23" s="1168">
        <v>3374</v>
      </c>
      <c r="I23" s="1169">
        <v>8200</v>
      </c>
      <c r="J23" s="899">
        <f t="shared" si="1"/>
        <v>2179.0201901255755</v>
      </c>
      <c r="K23" s="877"/>
      <c r="L23" s="882">
        <f t="shared" si="3"/>
        <v>0.32991141905599786</v>
      </c>
      <c r="N23" s="884"/>
      <c r="O23" s="885"/>
      <c r="P23" s="848"/>
    </row>
    <row r="24" spans="1:16" s="856" customFormat="1">
      <c r="A24" s="874" t="s">
        <v>1305</v>
      </c>
      <c r="B24" s="1334" t="s">
        <v>2615</v>
      </c>
      <c r="C24" s="875">
        <f t="shared" si="2"/>
        <v>1.6551632698500993E-2</v>
      </c>
      <c r="D24" s="857">
        <f t="shared" si="0"/>
        <v>19699397.521859773</v>
      </c>
      <c r="E24" s="1162">
        <v>1933.6316261397371</v>
      </c>
      <c r="F24" s="932"/>
      <c r="G24" s="932"/>
      <c r="H24" s="1162">
        <v>7911.9919567742136</v>
      </c>
      <c r="I24" s="1162">
        <v>6</v>
      </c>
      <c r="J24" s="899">
        <f t="shared" si="1"/>
        <v>1933.6316261397371</v>
      </c>
      <c r="K24" s="877"/>
      <c r="L24" s="882">
        <f t="shared" si="3"/>
        <v>2.4879284583013517</v>
      </c>
      <c r="N24" s="888"/>
      <c r="O24" s="888"/>
      <c r="P24" s="889"/>
    </row>
    <row r="25" spans="1:16" s="856" customFormat="1">
      <c r="A25" s="874" t="s">
        <v>1306</v>
      </c>
      <c r="B25" s="1334" t="s">
        <v>2616</v>
      </c>
      <c r="C25" s="875">
        <f t="shared" si="2"/>
        <v>1.0791179257749207E-2</v>
      </c>
      <c r="D25" s="857">
        <f t="shared" si="0"/>
        <v>12843429.636237741</v>
      </c>
      <c r="E25" s="1162">
        <v>1373.4684764183203</v>
      </c>
      <c r="F25" s="932"/>
      <c r="G25" s="932"/>
      <c r="H25" s="1162">
        <v>4540.415956920061</v>
      </c>
      <c r="I25" s="1162">
        <v>5</v>
      </c>
      <c r="J25" s="899">
        <f t="shared" si="1"/>
        <v>1373.4684764183203</v>
      </c>
      <c r="K25" s="877"/>
      <c r="L25" s="882">
        <f t="shared" si="3"/>
        <v>2.8255785076577125</v>
      </c>
      <c r="M25" s="883"/>
      <c r="N25" s="849"/>
      <c r="O25" s="890"/>
      <c r="P25" s="848"/>
    </row>
    <row r="26" spans="1:16" s="856" customFormat="1">
      <c r="A26" s="874" t="s">
        <v>1307</v>
      </c>
      <c r="B26" s="1334" t="s">
        <v>2617</v>
      </c>
      <c r="C26" s="875">
        <f t="shared" si="2"/>
        <v>5.35679270542108E-3</v>
      </c>
      <c r="D26" s="891">
        <f t="shared" si="0"/>
        <v>6375539.5536203207</v>
      </c>
      <c r="E26" s="1162">
        <v>748.31534980493677</v>
      </c>
      <c r="F26" s="932"/>
      <c r="G26" s="932"/>
      <c r="H26" s="1163">
        <v>0</v>
      </c>
      <c r="I26" s="1164"/>
      <c r="J26" s="899">
        <f t="shared" si="1"/>
        <v>748.31534980493677</v>
      </c>
      <c r="K26" s="876">
        <f>D26/(J26*10^6)</f>
        <v>8.519856709183142E-3</v>
      </c>
      <c r="L26" s="877"/>
      <c r="M26" s="849"/>
      <c r="N26" s="849"/>
      <c r="O26" s="890"/>
      <c r="P26" s="848"/>
    </row>
    <row r="27" spans="1:16" s="856" customFormat="1">
      <c r="A27" s="874" t="s">
        <v>1309</v>
      </c>
      <c r="B27" s="1337" t="s">
        <v>86</v>
      </c>
      <c r="C27" s="875"/>
      <c r="D27" s="891"/>
      <c r="E27" s="892"/>
      <c r="F27" s="933"/>
      <c r="G27" s="933"/>
      <c r="H27" s="893"/>
      <c r="I27" s="894"/>
      <c r="J27" s="899">
        <f t="shared" si="1"/>
        <v>0</v>
      </c>
      <c r="K27" s="876"/>
      <c r="L27" s="877"/>
      <c r="M27" s="849"/>
      <c r="N27" s="849"/>
      <c r="O27" s="890"/>
      <c r="P27" s="848"/>
    </row>
    <row r="28" spans="1:16" s="856" customFormat="1">
      <c r="A28" s="874">
        <v>2</v>
      </c>
      <c r="B28" s="1338" t="s">
        <v>216</v>
      </c>
      <c r="C28" s="895">
        <f t="shared" ref="C28:E28" si="4">SUM(C12:C27)</f>
        <v>1</v>
      </c>
      <c r="D28" s="896">
        <f t="shared" si="4"/>
        <v>1190178508.7125487</v>
      </c>
      <c r="E28" s="897">
        <f t="shared" si="4"/>
        <v>83479.977034282507</v>
      </c>
      <c r="F28" s="1339">
        <f>SUM(F12:F27)</f>
        <v>773</v>
      </c>
      <c r="G28" s="1433">
        <f>SUM(G12:G27)</f>
        <v>688.50433170000008</v>
      </c>
      <c r="H28" s="897">
        <f>SUM(H12:H27)</f>
        <v>138233.87000766286</v>
      </c>
      <c r="I28" s="897">
        <f>SUM(I12:I27)</f>
        <v>10006</v>
      </c>
      <c r="J28" s="1340">
        <f>SUM(J12:J27)</f>
        <v>83564.472702582512</v>
      </c>
      <c r="K28" s="898"/>
      <c r="L28" s="849"/>
      <c r="M28" s="849"/>
      <c r="N28" s="849"/>
      <c r="O28" s="849"/>
      <c r="P28" s="848"/>
    </row>
    <row r="29" spans="1:16" s="856" customFormat="1">
      <c r="A29" s="874">
        <f>A28+1</f>
        <v>3</v>
      </c>
      <c r="B29" s="849"/>
      <c r="C29" s="849"/>
      <c r="D29" s="849"/>
      <c r="E29" s="849"/>
      <c r="F29" s="849"/>
      <c r="G29" s="849"/>
      <c r="H29" s="849"/>
      <c r="I29" s="849"/>
      <c r="J29" s="899"/>
      <c r="K29" s="899"/>
      <c r="M29" s="848"/>
    </row>
    <row r="30" spans="1:16" s="856" customFormat="1">
      <c r="A30" s="874">
        <f t="shared" ref="A30:A34" si="5">A29+1</f>
        <v>4</v>
      </c>
      <c r="B30" s="849"/>
      <c r="C30" s="849"/>
      <c r="D30" s="849"/>
      <c r="E30" s="849"/>
      <c r="G30" s="1341"/>
      <c r="I30" s="934"/>
      <c r="J30" s="900"/>
      <c r="K30" s="900"/>
      <c r="L30" s="900"/>
      <c r="M30" s="848"/>
    </row>
    <row r="31" spans="1:16" s="856" customFormat="1" ht="15.75">
      <c r="A31" s="874">
        <f t="shared" si="5"/>
        <v>5</v>
      </c>
      <c r="B31" s="1342" t="s">
        <v>2941</v>
      </c>
      <c r="C31" s="849"/>
      <c r="D31" s="849"/>
      <c r="E31" s="849"/>
      <c r="F31" s="849"/>
      <c r="G31" s="849"/>
      <c r="H31" s="849"/>
      <c r="I31" s="849"/>
      <c r="J31" s="849"/>
      <c r="K31" s="849"/>
      <c r="L31" s="849"/>
      <c r="M31" s="848"/>
    </row>
    <row r="32" spans="1:16" s="856" customFormat="1">
      <c r="A32" s="874">
        <f t="shared" si="5"/>
        <v>6</v>
      </c>
      <c r="B32" s="849"/>
      <c r="C32" s="858" t="s">
        <v>394</v>
      </c>
      <c r="D32" s="858" t="s">
        <v>378</v>
      </c>
      <c r="E32" s="858" t="s">
        <v>379</v>
      </c>
      <c r="F32" s="858" t="s">
        <v>380</v>
      </c>
      <c r="G32" s="858" t="s">
        <v>381</v>
      </c>
      <c r="H32" s="858" t="s">
        <v>382</v>
      </c>
      <c r="I32" s="858" t="s">
        <v>383</v>
      </c>
      <c r="J32" s="858" t="s">
        <v>596</v>
      </c>
      <c r="K32" s="849"/>
      <c r="M32" s="848"/>
    </row>
    <row r="33" spans="1:13" s="867" customFormat="1" ht="25.5">
      <c r="A33" s="874">
        <f t="shared" si="5"/>
        <v>7</v>
      </c>
      <c r="B33" s="863"/>
      <c r="C33" s="901" t="s">
        <v>2629</v>
      </c>
      <c r="D33" s="902" t="s">
        <v>2942</v>
      </c>
      <c r="E33" s="902" t="s">
        <v>2943</v>
      </c>
      <c r="F33" s="1343"/>
      <c r="H33" s="1344" t="s">
        <v>2629</v>
      </c>
      <c r="I33" s="1329" t="s">
        <v>1315</v>
      </c>
      <c r="J33" s="1345" t="s">
        <v>2944</v>
      </c>
      <c r="K33" s="1346"/>
      <c r="L33" s="1346"/>
      <c r="M33" s="1346"/>
    </row>
    <row r="34" spans="1:13" s="856" customFormat="1">
      <c r="A34" s="874">
        <f t="shared" si="5"/>
        <v>8</v>
      </c>
      <c r="B34" s="849"/>
      <c r="C34" s="858"/>
      <c r="D34" s="858"/>
      <c r="E34" s="858"/>
      <c r="F34" s="1347"/>
      <c r="K34" s="1347"/>
      <c r="L34" s="1347"/>
      <c r="M34" s="1348"/>
    </row>
    <row r="35" spans="1:13" s="907" customFormat="1" ht="51">
      <c r="A35" s="874">
        <v>9</v>
      </c>
      <c r="B35" s="904" t="s">
        <v>1294</v>
      </c>
      <c r="C35" s="873" t="s">
        <v>2945</v>
      </c>
      <c r="D35" s="905" t="s">
        <v>2946</v>
      </c>
      <c r="E35" s="905" t="s">
        <v>2947</v>
      </c>
      <c r="F35" s="1349"/>
      <c r="G35" s="1350" t="s">
        <v>1294</v>
      </c>
      <c r="H35" s="905" t="s">
        <v>2948</v>
      </c>
      <c r="I35" s="905" t="s">
        <v>2949</v>
      </c>
      <c r="J35" s="905" t="s">
        <v>2950</v>
      </c>
      <c r="K35" s="1349"/>
      <c r="L35" s="1351"/>
      <c r="M35" s="1351"/>
    </row>
    <row r="36" spans="1:13" s="910" customFormat="1" ht="15">
      <c r="A36" s="908" t="s">
        <v>2630</v>
      </c>
      <c r="B36" s="1352" t="s">
        <v>2612</v>
      </c>
      <c r="C36" s="1353">
        <f>D21</f>
        <v>711270.19704878307</v>
      </c>
      <c r="D36" s="1354">
        <f>I21</f>
        <v>276</v>
      </c>
      <c r="E36" s="1355">
        <f>C36/D36/10^3</f>
        <v>2.5770659313361706</v>
      </c>
      <c r="F36" s="1356"/>
      <c r="G36" s="1352" t="s">
        <v>2609</v>
      </c>
      <c r="H36" s="891">
        <f>D18</f>
        <v>106078267.93984129</v>
      </c>
      <c r="I36" s="1357">
        <f>H18+H21</f>
        <v>21720.902400901887</v>
      </c>
      <c r="J36" s="910">
        <f>H36/(I36*10^3)</f>
        <v>4.8836952527090558</v>
      </c>
      <c r="K36" s="1358"/>
      <c r="L36" s="1359"/>
      <c r="M36" s="1356"/>
    </row>
    <row r="37" spans="1:13" s="910" customFormat="1" ht="15">
      <c r="A37" s="908" t="s">
        <v>2631</v>
      </c>
      <c r="B37" s="1352" t="s">
        <v>2613</v>
      </c>
      <c r="C37" s="1353">
        <f>D22</f>
        <v>2053931.3674886073</v>
      </c>
      <c r="D37" s="1354">
        <f>I22</f>
        <v>1390</v>
      </c>
      <c r="E37" s="1355">
        <f t="shared" ref="E37:E38" si="6">C37/D37/10^3</f>
        <v>1.4776484658191418</v>
      </c>
      <c r="F37" s="1356"/>
      <c r="G37" s="1352" t="s">
        <v>2610</v>
      </c>
      <c r="H37" s="891">
        <f t="shared" ref="H37:H38" si="7">D19</f>
        <v>69856291.998291701</v>
      </c>
      <c r="I37" s="1357">
        <f t="shared" ref="I37:I38" si="8">H19+H22</f>
        <v>14541.382229376908</v>
      </c>
      <c r="J37" s="910">
        <f t="shared" ref="J37:J38" si="9">H37/(I37*10^3)</f>
        <v>4.8039650492898849</v>
      </c>
      <c r="K37" s="1358"/>
      <c r="L37" s="1359"/>
      <c r="M37" s="1356"/>
    </row>
    <row r="38" spans="1:13" s="910" customFormat="1" ht="15">
      <c r="A38" s="908" t="s">
        <v>2632</v>
      </c>
      <c r="B38" s="1352" t="s">
        <v>2614</v>
      </c>
      <c r="C38" s="1353">
        <f>D23</f>
        <v>3818394.7641541194</v>
      </c>
      <c r="D38" s="1354">
        <f>I23</f>
        <v>8200</v>
      </c>
      <c r="E38" s="1355">
        <f t="shared" si="6"/>
        <v>0.46565789806757557</v>
      </c>
      <c r="F38" s="1356"/>
      <c r="G38" s="1352" t="s">
        <v>2611</v>
      </c>
      <c r="H38" s="891">
        <f t="shared" si="7"/>
        <v>75894359.38413927</v>
      </c>
      <c r="I38" s="1357">
        <f t="shared" si="8"/>
        <v>15913.275146904933</v>
      </c>
      <c r="J38" s="910">
        <f t="shared" si="9"/>
        <v>4.7692482335354089</v>
      </c>
      <c r="K38" s="1358"/>
      <c r="L38" s="1359"/>
      <c r="M38" s="1356"/>
    </row>
    <row r="39" spans="1:13" s="856" customFormat="1">
      <c r="A39" s="908" t="s">
        <v>2633</v>
      </c>
      <c r="B39" s="1337" t="s">
        <v>86</v>
      </c>
      <c r="C39" s="858"/>
      <c r="D39" s="858"/>
      <c r="E39" s="858"/>
      <c r="F39" s="858"/>
      <c r="G39" s="1337" t="s">
        <v>86</v>
      </c>
      <c r="H39" s="858"/>
      <c r="I39" s="903"/>
      <c r="K39" s="849"/>
      <c r="M39" s="848"/>
    </row>
    <row r="40" spans="1:13" s="856" customFormat="1">
      <c r="A40" s="874">
        <v>10</v>
      </c>
      <c r="B40" s="849"/>
      <c r="C40" s="858"/>
      <c r="D40" s="858"/>
      <c r="E40" s="858"/>
      <c r="F40" s="858"/>
      <c r="G40" s="858"/>
      <c r="H40" s="858"/>
      <c r="I40" s="903"/>
      <c r="K40" s="849"/>
      <c r="M40" s="848"/>
    </row>
    <row r="41" spans="1:13" s="856" customFormat="1" ht="15.75">
      <c r="A41" s="874">
        <v>11</v>
      </c>
      <c r="B41" s="1360" t="s">
        <v>1866</v>
      </c>
      <c r="C41" s="849"/>
      <c r="D41" s="849"/>
      <c r="E41" s="849"/>
      <c r="G41" s="849"/>
      <c r="H41" s="849"/>
      <c r="I41" s="849"/>
      <c r="J41" s="849"/>
      <c r="K41" s="849"/>
      <c r="L41" s="849"/>
      <c r="M41" s="848"/>
    </row>
    <row r="42" spans="1:13" s="856" customFormat="1">
      <c r="A42" s="874">
        <v>12</v>
      </c>
      <c r="B42" s="849"/>
      <c r="C42" s="858" t="s">
        <v>394</v>
      </c>
      <c r="D42" s="858" t="s">
        <v>378</v>
      </c>
      <c r="E42" s="858" t="s">
        <v>379</v>
      </c>
      <c r="F42" s="858" t="s">
        <v>380</v>
      </c>
      <c r="G42" s="858" t="s">
        <v>381</v>
      </c>
      <c r="H42" s="858" t="s">
        <v>382</v>
      </c>
      <c r="I42" s="858" t="s">
        <v>383</v>
      </c>
      <c r="J42" s="858" t="s">
        <v>596</v>
      </c>
      <c r="K42" s="858" t="s">
        <v>1045</v>
      </c>
      <c r="L42" s="858" t="s">
        <v>1061</v>
      </c>
      <c r="M42" s="848"/>
    </row>
    <row r="43" spans="1:13" s="867" customFormat="1" ht="38.25">
      <c r="A43" s="912">
        <v>13</v>
      </c>
      <c r="B43" s="863"/>
      <c r="C43" s="902" t="s">
        <v>2951</v>
      </c>
      <c r="D43" s="902" t="s">
        <v>2952</v>
      </c>
      <c r="E43" s="1361" t="s">
        <v>2953</v>
      </c>
      <c r="G43" s="1361" t="s">
        <v>2954</v>
      </c>
      <c r="H43" s="1361" t="s">
        <v>2955</v>
      </c>
      <c r="I43" s="1361" t="s">
        <v>2956</v>
      </c>
      <c r="J43" s="1361" t="s">
        <v>2634</v>
      </c>
      <c r="K43" s="1361" t="s">
        <v>2635</v>
      </c>
      <c r="L43" s="864"/>
      <c r="M43" s="864"/>
    </row>
    <row r="44" spans="1:13" s="856" customFormat="1">
      <c r="A44" s="874">
        <v>14</v>
      </c>
      <c r="B44" s="849"/>
      <c r="C44" s="859"/>
      <c r="D44" s="913" t="s">
        <v>2957</v>
      </c>
      <c r="E44" s="1362"/>
      <c r="G44" s="898"/>
      <c r="H44" s="914" t="s">
        <v>2958</v>
      </c>
      <c r="I44" s="914" t="s">
        <v>2959</v>
      </c>
      <c r="J44" s="914"/>
      <c r="K44" s="914"/>
      <c r="L44" s="859"/>
      <c r="M44" s="898"/>
    </row>
    <row r="45" spans="1:13" s="862" customFormat="1" ht="63.75">
      <c r="A45" s="874">
        <v>15</v>
      </c>
      <c r="B45" s="871" t="str">
        <f>B11</f>
        <v>CPUC Rate Group</v>
      </c>
      <c r="C45" s="873" t="s">
        <v>2960</v>
      </c>
      <c r="D45" s="873" t="s">
        <v>2636</v>
      </c>
      <c r="E45" s="873" t="s">
        <v>2637</v>
      </c>
      <c r="G45" s="873" t="s">
        <v>1316</v>
      </c>
      <c r="H45" s="873" t="s">
        <v>2638</v>
      </c>
      <c r="I45" s="906" t="s">
        <v>2639</v>
      </c>
      <c r="J45" s="873" t="s">
        <v>2640</v>
      </c>
      <c r="K45" s="906" t="s">
        <v>2641</v>
      </c>
      <c r="L45" s="1363" t="s">
        <v>187</v>
      </c>
      <c r="M45" s="848"/>
    </row>
    <row r="46" spans="1:13" s="856" customFormat="1" ht="13.5" thickBot="1">
      <c r="A46" s="874" t="s">
        <v>2642</v>
      </c>
      <c r="B46" s="1334" t="str">
        <f>B12</f>
        <v>Domestic</v>
      </c>
      <c r="C46" s="1353">
        <f>D46+E46</f>
        <v>482705716.30651903</v>
      </c>
      <c r="D46" s="1353">
        <f>D12-E46</f>
        <v>482705716.30651903</v>
      </c>
      <c r="E46" s="915"/>
      <c r="G46" s="915">
        <f>D46/(J12*10^6)</f>
        <v>1.733449980926206E-2</v>
      </c>
      <c r="H46" s="915"/>
      <c r="I46" s="916"/>
      <c r="J46" s="917"/>
      <c r="K46" s="915"/>
      <c r="L46" s="915"/>
      <c r="M46" s="898"/>
    </row>
    <row r="47" spans="1:13" s="856" customFormat="1" ht="13.5" thickBot="1">
      <c r="A47" s="874" t="s">
        <v>2643</v>
      </c>
      <c r="B47" s="1334" t="str">
        <f>B13</f>
        <v>GS-1</v>
      </c>
      <c r="C47" s="1353">
        <f t="shared" ref="C47:C59" si="10">D47+E47</f>
        <v>88905038.131790102</v>
      </c>
      <c r="D47" s="1353">
        <f t="shared" ref="D47" si="11">D13-E47</f>
        <v>88894729.868064761</v>
      </c>
      <c r="E47" s="909">
        <f>I47*I13*10^3</f>
        <v>10308.263725344683</v>
      </c>
      <c r="G47" s="915">
        <f>D47/(J13*10^6)</f>
        <v>1.5447609595211425E-2</v>
      </c>
      <c r="H47" s="918">
        <f>(M14-E47)/N13/10^3</f>
        <v>3.0936839122933151</v>
      </c>
      <c r="I47" s="919">
        <f>MIN($I$54,L14)</f>
        <v>2.5770659313361706</v>
      </c>
      <c r="J47" s="919"/>
      <c r="K47" s="919"/>
      <c r="L47" s="1336" t="s">
        <v>2961</v>
      </c>
      <c r="M47" s="898"/>
    </row>
    <row r="48" spans="1:13" s="856" customFormat="1">
      <c r="A48" s="874" t="s">
        <v>2644</v>
      </c>
      <c r="B48" s="1334" t="str">
        <f t="shared" ref="B48:B59" si="12">B15</f>
        <v>TC-1</v>
      </c>
      <c r="C48" s="1353">
        <f t="shared" si="10"/>
        <v>589028.93612350244</v>
      </c>
      <c r="D48" s="1353">
        <f>D15-E48</f>
        <v>589028.93612350244</v>
      </c>
      <c r="E48" s="915"/>
      <c r="G48" s="915">
        <f>D48/(J15*10^6)</f>
        <v>9.8982854959387342E-3</v>
      </c>
      <c r="H48" s="915"/>
      <c r="I48" s="916"/>
      <c r="J48" s="917"/>
      <c r="K48" s="915"/>
      <c r="L48" s="915"/>
      <c r="M48" s="898"/>
    </row>
    <row r="49" spans="1:13" s="856" customFormat="1">
      <c r="A49" s="874" t="s">
        <v>2645</v>
      </c>
      <c r="B49" s="1334" t="str">
        <f t="shared" si="12"/>
        <v>GS-2</v>
      </c>
      <c r="C49" s="1353">
        <f t="shared" si="10"/>
        <v>209804759.12399811</v>
      </c>
      <c r="D49" s="1353">
        <f t="shared" ref="D49:D50" si="13">D16-E49</f>
        <v>209696522.35488197</v>
      </c>
      <c r="E49" s="909">
        <f>I49*I16*10^3</f>
        <v>108236.76911611916</v>
      </c>
      <c r="G49" s="909"/>
      <c r="H49" s="920">
        <f t="shared" ref="H49:H58" si="14">D49/H16/10^3</f>
        <v>4.213548264493685</v>
      </c>
      <c r="I49" s="921">
        <f>MIN($I$54,L16)</f>
        <v>2.5770659313361706</v>
      </c>
      <c r="J49" s="917"/>
      <c r="K49" s="915"/>
      <c r="L49" s="915"/>
      <c r="M49" s="898"/>
    </row>
    <row r="50" spans="1:13" s="856" customFormat="1">
      <c r="A50" s="874" t="s">
        <v>2646</v>
      </c>
      <c r="B50" s="1334" t="str">
        <f t="shared" si="12"/>
        <v>TOU-GS-3</v>
      </c>
      <c r="C50" s="1353">
        <f t="shared" si="10"/>
        <v>110843083.85143636</v>
      </c>
      <c r="D50" s="1353">
        <f t="shared" si="13"/>
        <v>110629187.37913546</v>
      </c>
      <c r="E50" s="909">
        <f>I50*I17*10^3</f>
        <v>213896.47230090215</v>
      </c>
      <c r="G50" s="909"/>
      <c r="H50" s="920">
        <f t="shared" si="14"/>
        <v>4.6407397275194944</v>
      </c>
      <c r="I50" s="921">
        <f>MIN($I$54,L17)</f>
        <v>2.5770659313361706</v>
      </c>
      <c r="J50" s="917"/>
      <c r="K50" s="915"/>
      <c r="L50" s="915"/>
      <c r="M50" s="898"/>
    </row>
    <row r="51" spans="1:13" s="856" customFormat="1">
      <c r="A51" s="874" t="s">
        <v>2647</v>
      </c>
      <c r="B51" s="1334" t="str">
        <f t="shared" si="12"/>
        <v>TOU-8-SEC</v>
      </c>
      <c r="C51" s="1353">
        <f t="shared" si="10"/>
        <v>103909907.24763846</v>
      </c>
      <c r="D51" s="1353">
        <f>J36*H18*1000</f>
        <v>103909907.24763846</v>
      </c>
      <c r="E51" s="915"/>
      <c r="G51" s="909"/>
      <c r="H51" s="920">
        <f t="shared" si="14"/>
        <v>4.8836952527090558</v>
      </c>
      <c r="I51" s="916"/>
      <c r="J51" s="917"/>
      <c r="K51" s="915"/>
      <c r="L51" s="915"/>
      <c r="M51" s="898"/>
    </row>
    <row r="52" spans="1:13" s="856" customFormat="1">
      <c r="A52" s="874" t="s">
        <v>2648</v>
      </c>
      <c r="B52" s="1334" t="str">
        <f t="shared" si="12"/>
        <v>TOU-8-PRI</v>
      </c>
      <c r="C52" s="1353">
        <f t="shared" si="10"/>
        <v>62799267.340884857</v>
      </c>
      <c r="D52" s="1353">
        <f t="shared" ref="D52:D53" si="15">J37*H19*1000</f>
        <v>62799267.340884857</v>
      </c>
      <c r="E52" s="915"/>
      <c r="G52" s="909"/>
      <c r="H52" s="920">
        <f t="shared" si="14"/>
        <v>4.8039650492898858</v>
      </c>
      <c r="I52" s="916"/>
      <c r="J52" s="917"/>
      <c r="K52" s="915"/>
      <c r="L52" s="915"/>
      <c r="M52" s="898"/>
    </row>
    <row r="53" spans="1:13" s="856" customFormat="1">
      <c r="A53" s="874" t="s">
        <v>2649</v>
      </c>
      <c r="B53" s="1334" t="str">
        <f t="shared" si="12"/>
        <v>TOU-8-SUB</v>
      </c>
      <c r="C53" s="1353">
        <f t="shared" si="10"/>
        <v>59802915.844190806</v>
      </c>
      <c r="D53" s="1353">
        <f t="shared" si="15"/>
        <v>59802915.844190806</v>
      </c>
      <c r="E53" s="915"/>
      <c r="G53" s="909"/>
      <c r="H53" s="920">
        <f t="shared" si="14"/>
        <v>4.7692482335354089</v>
      </c>
      <c r="I53" s="916"/>
      <c r="J53" s="922"/>
      <c r="K53" s="923"/>
      <c r="L53" s="923"/>
      <c r="M53" s="898"/>
    </row>
    <row r="54" spans="1:13" s="856" customFormat="1">
      <c r="A54" s="874" t="s">
        <v>2650</v>
      </c>
      <c r="B54" s="1334" t="str">
        <f t="shared" si="12"/>
        <v>TOU-8-Standby-SEC</v>
      </c>
      <c r="C54" s="1353">
        <f t="shared" si="10"/>
        <v>2879630.8892516037</v>
      </c>
      <c r="D54" s="1353">
        <f>J36*H21*1000</f>
        <v>2168360.6922028209</v>
      </c>
      <c r="E54" s="909">
        <f>I54*I21*10^3</f>
        <v>711270.19704878307</v>
      </c>
      <c r="G54" s="909"/>
      <c r="H54" s="1364">
        <f>J36</f>
        <v>4.8836952527090558</v>
      </c>
      <c r="I54" s="1365">
        <f>E36</f>
        <v>2.5770659313361706</v>
      </c>
      <c r="J54" s="922"/>
      <c r="K54" s="923"/>
      <c r="L54" s="923"/>
      <c r="M54" s="898"/>
    </row>
    <row r="55" spans="1:13" s="856" customFormat="1">
      <c r="A55" s="874" t="s">
        <v>2651</v>
      </c>
      <c r="B55" s="1334" t="str">
        <f t="shared" si="12"/>
        <v>TOU-8-Standby-PRI</v>
      </c>
      <c r="C55" s="1353">
        <f t="shared" si="10"/>
        <v>9110956.0248954482</v>
      </c>
      <c r="D55" s="1353">
        <f t="shared" ref="D55:D56" si="16">J37*H22*1000</f>
        <v>7057024.6574068405</v>
      </c>
      <c r="E55" s="909">
        <f>I55*I22*10^3</f>
        <v>2053931.3674886071</v>
      </c>
      <c r="G55" s="909"/>
      <c r="H55" s="1364">
        <f>J37</f>
        <v>4.8039650492898849</v>
      </c>
      <c r="I55" s="1365">
        <f>E37</f>
        <v>1.4776484658191418</v>
      </c>
      <c r="J55" s="922"/>
      <c r="K55" s="923"/>
      <c r="L55" s="923"/>
      <c r="M55" s="898"/>
    </row>
    <row r="56" spans="1:13" s="856" customFormat="1" ht="13.5" thickBot="1">
      <c r="A56" s="874" t="s">
        <v>2652</v>
      </c>
      <c r="B56" s="1334" t="str">
        <f t="shared" si="12"/>
        <v>TOU-8-Standby-SUB</v>
      </c>
      <c r="C56" s="1353">
        <f t="shared" si="10"/>
        <v>19909838.304102592</v>
      </c>
      <c r="D56" s="1353">
        <f t="shared" si="16"/>
        <v>16091443.539948471</v>
      </c>
      <c r="E56" s="909">
        <f>I56*I23*10^3</f>
        <v>3818394.7641541194</v>
      </c>
      <c r="G56" s="909"/>
      <c r="H56" s="1364">
        <f>J38</f>
        <v>4.7692482335354089</v>
      </c>
      <c r="I56" s="1365">
        <f>E38</f>
        <v>0.46565789806757557</v>
      </c>
      <c r="J56" s="922"/>
      <c r="K56" s="923"/>
      <c r="L56" s="923"/>
      <c r="M56" s="898"/>
    </row>
    <row r="57" spans="1:13" s="856" customFormat="1" ht="13.5" thickBot="1">
      <c r="A57" s="874" t="s">
        <v>2653</v>
      </c>
      <c r="B57" s="1334" t="str">
        <f t="shared" si="12"/>
        <v>TOU-PA-2</v>
      </c>
      <c r="C57" s="1353">
        <f t="shared" si="10"/>
        <v>19699397.521859773</v>
      </c>
      <c r="D57" s="1353">
        <f t="shared" ref="D57:D59" si="17">D24-E57</f>
        <v>19684469.951109964</v>
      </c>
      <c r="E57" s="909">
        <f>I57*I24*10^3</f>
        <v>14927.57074980811</v>
      </c>
      <c r="G57" s="909"/>
      <c r="H57" s="1364">
        <f t="shared" si="14"/>
        <v>2.4879284583013517</v>
      </c>
      <c r="I57" s="1365">
        <f>MIN($I$54,L24)</f>
        <v>2.4879284583013517</v>
      </c>
      <c r="J57" s="924">
        <f>H57*0.746</f>
        <v>1.8559946298928083</v>
      </c>
      <c r="K57" s="919">
        <f>I57*0.746</f>
        <v>1.8559946298928083</v>
      </c>
      <c r="L57" s="1336" t="s">
        <v>2962</v>
      </c>
      <c r="M57" s="859"/>
    </row>
    <row r="58" spans="1:13" s="856" customFormat="1">
      <c r="A58" s="874" t="s">
        <v>2654</v>
      </c>
      <c r="B58" s="1334" t="str">
        <f t="shared" si="12"/>
        <v>TOU-PA-3</v>
      </c>
      <c r="C58" s="1353">
        <f t="shared" si="10"/>
        <v>12843429.636237741</v>
      </c>
      <c r="D58" s="1353">
        <f t="shared" si="17"/>
        <v>12830544.306581059</v>
      </c>
      <c r="E58" s="909">
        <f>I58*I25*10^3</f>
        <v>12885.329656680853</v>
      </c>
      <c r="G58" s="909"/>
      <c r="H58" s="920">
        <f t="shared" si="14"/>
        <v>2.8258521748488685</v>
      </c>
      <c r="I58" s="921">
        <f>MIN($I$54,L25)</f>
        <v>2.5770659313361706</v>
      </c>
      <c r="J58" s="917"/>
      <c r="K58" s="915"/>
      <c r="L58" s="915"/>
      <c r="M58" s="859"/>
    </row>
    <row r="59" spans="1:13" s="856" customFormat="1">
      <c r="A59" s="874" t="s">
        <v>2655</v>
      </c>
      <c r="B59" s="1334" t="str">
        <f t="shared" si="12"/>
        <v>Street Lighting</v>
      </c>
      <c r="C59" s="1353">
        <f t="shared" si="10"/>
        <v>6375539.5536203207</v>
      </c>
      <c r="D59" s="1353">
        <f t="shared" si="17"/>
        <v>6375539.5536203207</v>
      </c>
      <c r="E59" s="915"/>
      <c r="G59" s="915">
        <f>D59/(J26*10^6)</f>
        <v>8.519856709183142E-3</v>
      </c>
      <c r="H59" s="915"/>
      <c r="I59" s="916"/>
      <c r="J59" s="917"/>
      <c r="K59" s="915"/>
      <c r="L59" s="915"/>
      <c r="M59" s="859"/>
    </row>
    <row r="60" spans="1:13" s="856" customFormat="1">
      <c r="A60" s="874" t="s">
        <v>2656</v>
      </c>
      <c r="B60" s="1337" t="s">
        <v>86</v>
      </c>
      <c r="C60" s="1353"/>
      <c r="D60" s="1353"/>
      <c r="E60" s="915"/>
      <c r="G60" s="915"/>
      <c r="H60" s="915"/>
      <c r="I60" s="916"/>
      <c r="J60" s="917"/>
      <c r="K60" s="915"/>
      <c r="L60" s="915"/>
      <c r="M60" s="859"/>
    </row>
    <row r="61" spans="1:13" s="856" customFormat="1">
      <c r="A61" s="874">
        <v>17</v>
      </c>
      <c r="B61" s="1366" t="s">
        <v>216</v>
      </c>
      <c r="C61" s="1367">
        <f>SUM(C46:C60)</f>
        <v>1190178508.7125487</v>
      </c>
      <c r="D61" s="1367">
        <f>SUM(D46:D60)</f>
        <v>1183234657.9783082</v>
      </c>
      <c r="E61" s="896">
        <f>SUM(E46:E59)</f>
        <v>6943850.7342403643</v>
      </c>
      <c r="G61" s="925"/>
      <c r="H61" s="925"/>
      <c r="I61" s="925"/>
      <c r="J61" s="925"/>
      <c r="K61" s="846"/>
      <c r="L61" s="846"/>
      <c r="M61" s="859"/>
    </row>
    <row r="62" spans="1:13" s="856" customFormat="1">
      <c r="A62" s="874">
        <v>18</v>
      </c>
      <c r="B62" s="849"/>
      <c r="C62" s="849"/>
      <c r="D62" s="849"/>
      <c r="E62" s="849"/>
      <c r="F62" s="849"/>
      <c r="G62" s="849"/>
      <c r="H62" s="849"/>
      <c r="I62" s="846"/>
      <c r="J62" s="846"/>
      <c r="K62" s="846"/>
      <c r="L62" s="846"/>
      <c r="M62" s="848"/>
    </row>
    <row r="63" spans="1:13" s="856" customFormat="1">
      <c r="A63" s="874">
        <v>19</v>
      </c>
      <c r="B63" s="926" t="s">
        <v>256</v>
      </c>
      <c r="C63" s="849"/>
      <c r="D63" s="849"/>
      <c r="E63" s="849"/>
      <c r="F63" s="849"/>
      <c r="G63" s="849"/>
      <c r="H63" s="849"/>
      <c r="I63" s="846"/>
      <c r="J63" s="846"/>
      <c r="K63" s="846"/>
      <c r="L63" s="846"/>
      <c r="M63" s="848"/>
    </row>
    <row r="64" spans="1:13" s="856" customFormat="1">
      <c r="A64" s="849"/>
      <c r="B64" s="927" t="s">
        <v>2657</v>
      </c>
      <c r="I64" s="927"/>
      <c r="J64" s="927"/>
      <c r="K64" s="927"/>
      <c r="L64" s="927"/>
      <c r="M64" s="848"/>
    </row>
    <row r="65" spans="1:13" s="856" customFormat="1">
      <c r="A65" s="849"/>
      <c r="B65" s="927" t="s">
        <v>2963</v>
      </c>
      <c r="I65" s="927"/>
      <c r="J65" s="927"/>
      <c r="K65" s="927"/>
      <c r="L65" s="927"/>
      <c r="M65" s="848"/>
    </row>
    <row r="66" spans="1:13" s="856" customFormat="1">
      <c r="A66" s="849"/>
      <c r="B66" s="927" t="s">
        <v>2964</v>
      </c>
      <c r="I66" s="927"/>
      <c r="J66" s="927"/>
      <c r="K66" s="927"/>
      <c r="L66" s="927"/>
      <c r="M66" s="848"/>
    </row>
    <row r="67" spans="1:13" s="856" customFormat="1">
      <c r="A67" s="849"/>
      <c r="B67" s="1368" t="s">
        <v>2965</v>
      </c>
      <c r="C67" s="927"/>
      <c r="D67" s="927"/>
      <c r="E67" s="927"/>
      <c r="F67" s="927"/>
      <c r="G67" s="927"/>
      <c r="I67" s="927"/>
      <c r="J67" s="927"/>
      <c r="K67" s="927"/>
      <c r="L67" s="927"/>
      <c r="M67" s="848"/>
    </row>
    <row r="68" spans="1:13" s="856" customFormat="1">
      <c r="A68" s="849"/>
      <c r="B68" s="1368" t="s">
        <v>2966</v>
      </c>
      <c r="C68" s="927"/>
      <c r="D68" s="927"/>
      <c r="E68" s="927"/>
      <c r="F68" s="927"/>
      <c r="G68" s="927"/>
      <c r="I68" s="927"/>
      <c r="J68" s="927"/>
      <c r="K68" s="927"/>
      <c r="L68" s="927"/>
      <c r="M68" s="848"/>
    </row>
    <row r="69" spans="1:13" s="856" customFormat="1">
      <c r="A69" s="849"/>
      <c r="B69" s="1369" t="s">
        <v>2967</v>
      </c>
      <c r="I69" s="927"/>
      <c r="J69" s="927"/>
      <c r="K69" s="927"/>
      <c r="L69" s="927"/>
      <c r="M69" s="848"/>
    </row>
    <row r="70" spans="1:13" s="856" customFormat="1">
      <c r="A70" s="849"/>
      <c r="B70" s="927" t="s">
        <v>2968</v>
      </c>
      <c r="I70" s="927"/>
      <c r="J70" s="927"/>
      <c r="K70" s="927"/>
      <c r="L70" s="927"/>
      <c r="M70" s="848"/>
    </row>
    <row r="71" spans="1:13" s="856" customFormat="1">
      <c r="A71" s="849"/>
      <c r="B71" s="927" t="s">
        <v>2969</v>
      </c>
      <c r="I71" s="927"/>
      <c r="J71" s="927"/>
      <c r="K71" s="927"/>
      <c r="L71" s="927"/>
      <c r="M71" s="848"/>
    </row>
    <row r="72" spans="1:13" s="856" customFormat="1">
      <c r="A72" s="849"/>
      <c r="B72" s="927" t="s">
        <v>2970</v>
      </c>
      <c r="I72" s="927"/>
      <c r="J72" s="927"/>
      <c r="K72" s="927"/>
      <c r="L72" s="927"/>
      <c r="M72" s="848"/>
    </row>
    <row r="73" spans="1:13" s="856" customFormat="1">
      <c r="A73" s="849"/>
      <c r="B73" s="927" t="s">
        <v>2971</v>
      </c>
      <c r="I73" s="927"/>
      <c r="J73" s="927"/>
      <c r="K73" s="927"/>
      <c r="L73" s="927"/>
      <c r="M73" s="848"/>
    </row>
    <row r="74" spans="1:13" s="856" customFormat="1">
      <c r="A74" s="849"/>
      <c r="B74" s="927" t="s">
        <v>2972</v>
      </c>
      <c r="I74" s="927"/>
      <c r="J74" s="927"/>
      <c r="K74" s="927"/>
      <c r="L74" s="927"/>
      <c r="M74" s="848"/>
    </row>
    <row r="75" spans="1:13" s="856" customFormat="1">
      <c r="A75" s="849"/>
      <c r="B75" s="1368" t="s">
        <v>2973</v>
      </c>
      <c r="I75" s="927"/>
      <c r="J75" s="927"/>
      <c r="K75" s="927"/>
      <c r="L75" s="927"/>
      <c r="M75" s="848"/>
    </row>
    <row r="76" spans="1:13" s="856" customFormat="1">
      <c r="A76" s="849"/>
      <c r="B76" s="1368" t="s">
        <v>2974</v>
      </c>
      <c r="I76" s="927"/>
      <c r="J76" s="927"/>
      <c r="K76" s="927"/>
      <c r="L76" s="927"/>
      <c r="M76" s="848"/>
    </row>
    <row r="77" spans="1:13" s="856" customFormat="1">
      <c r="A77" s="849"/>
      <c r="B77" s="1368" t="s">
        <v>2975</v>
      </c>
      <c r="I77" s="927"/>
      <c r="J77" s="927"/>
      <c r="K77" s="927"/>
      <c r="L77" s="927"/>
      <c r="M77" s="848"/>
    </row>
    <row r="78" spans="1:13" s="856" customFormat="1" ht="15.75">
      <c r="A78" s="849"/>
      <c r="B78" s="927" t="s">
        <v>2976</v>
      </c>
      <c r="I78" s="927"/>
      <c r="J78" s="927"/>
      <c r="K78" s="927"/>
      <c r="L78" s="927"/>
      <c r="M78" s="848"/>
    </row>
    <row r="79" spans="1:13" s="856" customFormat="1">
      <c r="A79" s="849"/>
      <c r="B79" s="927" t="s">
        <v>2977</v>
      </c>
      <c r="I79" s="927"/>
      <c r="J79" s="927"/>
      <c r="K79" s="927"/>
      <c r="L79" s="927"/>
      <c r="M79" s="848"/>
    </row>
    <row r="80" spans="1:13" s="856" customFormat="1">
      <c r="A80" s="849"/>
      <c r="B80" s="927" t="s">
        <v>2978</v>
      </c>
      <c r="I80" s="927"/>
      <c r="J80" s="927"/>
      <c r="K80" s="927"/>
      <c r="L80" s="927"/>
      <c r="M80" s="848"/>
    </row>
    <row r="81" spans="1:13" s="856" customFormat="1">
      <c r="A81" s="849"/>
      <c r="B81" s="927" t="s">
        <v>2979</v>
      </c>
      <c r="I81" s="927"/>
      <c r="J81" s="927"/>
      <c r="K81" s="927"/>
      <c r="L81" s="927"/>
      <c r="M81" s="848"/>
    </row>
    <row r="82" spans="1:13" s="856" customFormat="1">
      <c r="A82" s="849"/>
      <c r="B82" s="927" t="s">
        <v>2980</v>
      </c>
      <c r="I82" s="927"/>
      <c r="J82" s="927"/>
      <c r="K82" s="927"/>
      <c r="L82" s="927"/>
      <c r="M82" s="848"/>
    </row>
    <row r="83" spans="1:13">
      <c r="A83" s="874">
        <v>20</v>
      </c>
    </row>
    <row r="84" spans="1:13" s="856" customFormat="1">
      <c r="A84" s="874">
        <v>21</v>
      </c>
      <c r="B84" s="928"/>
      <c r="C84" s="849"/>
      <c r="D84" s="849"/>
      <c r="M84" s="848"/>
    </row>
    <row r="85" spans="1:13" s="856" customFormat="1" ht="15.75">
      <c r="A85" s="874">
        <v>22</v>
      </c>
      <c r="B85" s="845" t="s">
        <v>1317</v>
      </c>
      <c r="C85" s="849"/>
      <c r="D85" s="849"/>
      <c r="E85" s="849"/>
      <c r="F85" s="849"/>
      <c r="G85" s="849"/>
      <c r="H85" s="849"/>
      <c r="I85" s="849"/>
      <c r="J85" s="849"/>
      <c r="K85" s="849"/>
      <c r="L85" s="849"/>
      <c r="M85" s="848"/>
    </row>
    <row r="86" spans="1:13">
      <c r="A86" s="874">
        <v>23</v>
      </c>
    </row>
    <row r="87" spans="1:13">
      <c r="A87" s="874">
        <v>24</v>
      </c>
    </row>
    <row r="88" spans="1:13" s="856" customFormat="1" ht="25.5" customHeight="1">
      <c r="A88" s="874">
        <v>25</v>
      </c>
      <c r="B88" s="871" t="str">
        <f>B11</f>
        <v>CPUC Rate Group</v>
      </c>
      <c r="C88" s="929" t="s">
        <v>1318</v>
      </c>
      <c r="D88" s="930"/>
      <c r="E88" s="930"/>
      <c r="F88" s="930"/>
      <c r="G88" s="930"/>
      <c r="H88" s="930"/>
      <c r="I88" s="930"/>
      <c r="J88" s="931"/>
      <c r="K88" s="849"/>
      <c r="L88" s="849"/>
      <c r="M88" s="848"/>
    </row>
    <row r="89" spans="1:13" s="856" customFormat="1">
      <c r="A89" s="874" t="s">
        <v>2658</v>
      </c>
      <c r="B89" s="1370" t="s">
        <v>2603</v>
      </c>
      <c r="C89" s="1371" t="s">
        <v>3031</v>
      </c>
      <c r="D89" s="932"/>
      <c r="E89" s="932"/>
      <c r="F89" s="932"/>
      <c r="G89" s="932"/>
      <c r="H89" s="932"/>
      <c r="I89" s="933"/>
      <c r="J89" s="933"/>
      <c r="K89" s="849"/>
      <c r="L89" s="849"/>
      <c r="M89" s="848"/>
    </row>
    <row r="90" spans="1:13" s="856" customFormat="1">
      <c r="A90" s="874"/>
      <c r="B90" s="1372" t="s">
        <v>2912</v>
      </c>
      <c r="C90" s="1373"/>
      <c r="D90" s="1373" t="s">
        <v>3032</v>
      </c>
      <c r="E90" s="1294"/>
      <c r="F90" s="1294"/>
      <c r="G90" s="1294"/>
      <c r="H90" s="1294"/>
      <c r="I90" s="933"/>
      <c r="J90" s="933"/>
      <c r="K90" s="849"/>
      <c r="L90" s="849"/>
      <c r="M90" s="848"/>
    </row>
    <row r="91" spans="1:13" s="856" customFormat="1">
      <c r="A91" s="874" t="s">
        <v>2659</v>
      </c>
      <c r="B91" s="1370" t="s">
        <v>2604</v>
      </c>
      <c r="C91" s="1371" t="s">
        <v>3033</v>
      </c>
      <c r="D91" s="932"/>
      <c r="E91" s="932"/>
      <c r="F91" s="932"/>
      <c r="G91" s="932"/>
      <c r="H91" s="932"/>
      <c r="I91" s="933"/>
      <c r="J91" s="1370"/>
      <c r="K91" s="849"/>
      <c r="L91" s="849"/>
      <c r="M91" s="848"/>
    </row>
    <row r="92" spans="1:13" s="856" customFormat="1">
      <c r="A92" s="874" t="s">
        <v>2660</v>
      </c>
      <c r="B92" s="1370" t="s">
        <v>2606</v>
      </c>
      <c r="C92" s="1371" t="s">
        <v>2755</v>
      </c>
      <c r="D92" s="932"/>
      <c r="E92" s="932"/>
      <c r="F92" s="932"/>
      <c r="G92" s="932"/>
      <c r="H92" s="932"/>
      <c r="I92" s="933"/>
      <c r="J92" s="1370"/>
      <c r="K92" s="849"/>
      <c r="L92" s="849"/>
      <c r="M92" s="848"/>
    </row>
    <row r="93" spans="1:13" s="856" customFormat="1">
      <c r="A93" s="874" t="s">
        <v>2661</v>
      </c>
      <c r="B93" s="1370" t="s">
        <v>2607</v>
      </c>
      <c r="C93" s="1371" t="s">
        <v>2764</v>
      </c>
      <c r="D93" s="932"/>
      <c r="E93" s="932"/>
      <c r="F93" s="932"/>
      <c r="G93" s="932"/>
      <c r="H93" s="932"/>
      <c r="I93" s="933"/>
      <c r="J93" s="1370"/>
      <c r="K93" s="849"/>
      <c r="L93" s="849"/>
      <c r="M93" s="848"/>
    </row>
    <row r="94" spans="1:13" s="856" customFormat="1">
      <c r="A94" s="874" t="s">
        <v>2662</v>
      </c>
      <c r="B94" s="1370" t="s">
        <v>2608</v>
      </c>
      <c r="C94" s="1371" t="s">
        <v>2765</v>
      </c>
      <c r="D94" s="932"/>
      <c r="E94" s="932"/>
      <c r="F94" s="932"/>
      <c r="G94" s="932"/>
      <c r="H94" s="932"/>
      <c r="I94" s="933"/>
      <c r="J94" s="1370"/>
      <c r="K94" s="849"/>
      <c r="L94" s="849"/>
      <c r="M94" s="848"/>
    </row>
    <row r="95" spans="1:13" s="856" customFormat="1">
      <c r="A95" s="874" t="s">
        <v>2663</v>
      </c>
      <c r="B95" s="1372" t="s">
        <v>2609</v>
      </c>
      <c r="C95" s="1373" t="s">
        <v>2913</v>
      </c>
      <c r="D95" s="1294"/>
      <c r="E95" s="1294"/>
      <c r="F95" s="1294"/>
      <c r="G95" s="1294"/>
      <c r="H95" s="1294"/>
      <c r="I95" s="1294"/>
      <c r="J95" s="1372"/>
      <c r="K95" s="849"/>
      <c r="L95" s="849"/>
      <c r="M95" s="848"/>
    </row>
    <row r="96" spans="1:13">
      <c r="A96" s="874" t="s">
        <v>2664</v>
      </c>
      <c r="B96" s="1372" t="s">
        <v>2610</v>
      </c>
      <c r="C96" s="1373" t="s">
        <v>2913</v>
      </c>
      <c r="D96" s="1294"/>
      <c r="E96" s="1294"/>
      <c r="F96" s="1294"/>
      <c r="G96" s="1294"/>
      <c r="H96" s="1294"/>
      <c r="I96" s="1294"/>
      <c r="J96" s="1372"/>
    </row>
    <row r="97" spans="1:13">
      <c r="A97" s="874" t="s">
        <v>2665</v>
      </c>
      <c r="B97" s="1372" t="s">
        <v>2611</v>
      </c>
      <c r="C97" s="1373" t="s">
        <v>2913</v>
      </c>
      <c r="D97" s="1294"/>
      <c r="E97" s="1294"/>
      <c r="F97" s="1294"/>
      <c r="G97" s="1294"/>
      <c r="H97" s="1294"/>
      <c r="I97" s="1294"/>
      <c r="J97" s="1372"/>
    </row>
    <row r="98" spans="1:13">
      <c r="A98" s="874" t="s">
        <v>2666</v>
      </c>
      <c r="B98" s="1372" t="s">
        <v>2612</v>
      </c>
      <c r="C98" s="1373" t="s">
        <v>3034</v>
      </c>
      <c r="D98" s="1294"/>
      <c r="E98" s="1294"/>
      <c r="F98" s="1294"/>
      <c r="G98" s="1294"/>
      <c r="H98" s="1294"/>
      <c r="I98" s="1295"/>
      <c r="J98" s="1372"/>
    </row>
    <row r="99" spans="1:13">
      <c r="A99" s="874" t="s">
        <v>2667</v>
      </c>
      <c r="B99" s="1372" t="s">
        <v>2613</v>
      </c>
      <c r="C99" s="1373" t="s">
        <v>3034</v>
      </c>
      <c r="D99" s="1294"/>
      <c r="E99" s="1294"/>
      <c r="F99" s="1294"/>
      <c r="G99" s="1294"/>
      <c r="H99" s="1294"/>
      <c r="I99" s="1295"/>
      <c r="J99" s="1372"/>
    </row>
    <row r="100" spans="1:13">
      <c r="A100" s="874" t="s">
        <v>2668</v>
      </c>
      <c r="B100" s="1372" t="s">
        <v>2614</v>
      </c>
      <c r="C100" s="1373" t="s">
        <v>3034</v>
      </c>
      <c r="D100" s="1294"/>
      <c r="E100" s="1294"/>
      <c r="F100" s="1294"/>
      <c r="G100" s="1294"/>
      <c r="H100" s="1294"/>
      <c r="I100" s="1295"/>
      <c r="J100" s="1372"/>
    </row>
    <row r="101" spans="1:13">
      <c r="A101" s="874" t="s">
        <v>2669</v>
      </c>
      <c r="B101" s="1370" t="s">
        <v>2615</v>
      </c>
      <c r="C101" s="1371" t="s">
        <v>2756</v>
      </c>
      <c r="D101" s="932"/>
      <c r="E101" s="932"/>
      <c r="F101" s="932"/>
      <c r="G101" s="932"/>
      <c r="H101" s="932"/>
      <c r="I101" s="933"/>
      <c r="J101" s="1370"/>
    </row>
    <row r="102" spans="1:13">
      <c r="A102" s="874" t="s">
        <v>2670</v>
      </c>
      <c r="B102" s="1370" t="s">
        <v>2616</v>
      </c>
      <c r="C102" s="1371" t="s">
        <v>2757</v>
      </c>
      <c r="D102" s="932"/>
      <c r="E102" s="932"/>
      <c r="F102" s="932"/>
      <c r="G102" s="932"/>
      <c r="H102" s="932"/>
      <c r="I102" s="933"/>
      <c r="J102" s="1370"/>
    </row>
    <row r="103" spans="1:13">
      <c r="A103" s="874" t="s">
        <v>2671</v>
      </c>
      <c r="B103" s="1370" t="s">
        <v>2617</v>
      </c>
      <c r="C103" s="1371" t="s">
        <v>3035</v>
      </c>
      <c r="D103" s="932"/>
      <c r="E103" s="932"/>
      <c r="F103" s="932"/>
      <c r="G103" s="932"/>
      <c r="H103" s="932"/>
      <c r="I103" s="933"/>
      <c r="J103" s="1370"/>
    </row>
    <row r="104" spans="1:13">
      <c r="A104" s="874" t="s">
        <v>2672</v>
      </c>
      <c r="B104" s="1374" t="s">
        <v>86</v>
      </c>
      <c r="C104" s="1371"/>
      <c r="D104" s="932"/>
      <c r="E104" s="932"/>
      <c r="F104" s="932"/>
      <c r="G104" s="932"/>
      <c r="H104" s="932"/>
      <c r="I104" s="933"/>
      <c r="J104" s="1370"/>
    </row>
    <row r="105" spans="1:13">
      <c r="A105" s="874">
        <v>27</v>
      </c>
    </row>
    <row r="106" spans="1:13">
      <c r="A106" s="874">
        <f t="shared" ref="A106:A112" si="18">A105+1</f>
        <v>28</v>
      </c>
    </row>
    <row r="107" spans="1:13" ht="15.75">
      <c r="A107" s="874">
        <f t="shared" si="18"/>
        <v>29</v>
      </c>
      <c r="B107" s="845" t="s">
        <v>1319</v>
      </c>
    </row>
    <row r="108" spans="1:13">
      <c r="A108" s="874">
        <f t="shared" si="18"/>
        <v>30</v>
      </c>
      <c r="C108" s="858" t="s">
        <v>394</v>
      </c>
      <c r="D108" s="858" t="s">
        <v>378</v>
      </c>
      <c r="E108" s="858" t="s">
        <v>379</v>
      </c>
      <c r="F108" s="858" t="s">
        <v>380</v>
      </c>
      <c r="G108" s="934" t="s">
        <v>381</v>
      </c>
      <c r="H108" s="934" t="s">
        <v>382</v>
      </c>
      <c r="I108" s="934" t="s">
        <v>383</v>
      </c>
      <c r="J108" s="934" t="s">
        <v>596</v>
      </c>
      <c r="K108" s="934" t="s">
        <v>1045</v>
      </c>
      <c r="L108" s="934" t="s">
        <v>1061</v>
      </c>
      <c r="M108" s="934" t="s">
        <v>1064</v>
      </c>
    </row>
    <row r="109" spans="1:13" s="863" customFormat="1" ht="38.25">
      <c r="A109" s="935">
        <f t="shared" si="18"/>
        <v>31</v>
      </c>
      <c r="C109" s="864"/>
      <c r="D109" s="864"/>
      <c r="E109" s="864"/>
      <c r="F109" s="902" t="s">
        <v>2673</v>
      </c>
      <c r="G109" s="936"/>
      <c r="H109" s="902"/>
      <c r="I109" s="1375" t="s">
        <v>2674</v>
      </c>
      <c r="J109" s="1375" t="s">
        <v>2981</v>
      </c>
      <c r="K109" s="1375" t="s">
        <v>2982</v>
      </c>
      <c r="L109" s="1375" t="s">
        <v>2983</v>
      </c>
      <c r="M109" s="1375" t="s">
        <v>2984</v>
      </c>
    </row>
    <row r="110" spans="1:13" s="937" customFormat="1">
      <c r="A110" s="874">
        <f t="shared" si="18"/>
        <v>32</v>
      </c>
      <c r="C110" s="938"/>
      <c r="D110" s="938"/>
      <c r="E110" s="938"/>
      <c r="F110" s="939"/>
      <c r="G110" s="940"/>
      <c r="H110" s="939"/>
      <c r="I110" s="1344" t="s">
        <v>2985</v>
      </c>
      <c r="J110" s="1376"/>
      <c r="K110" s="939"/>
      <c r="L110" s="939"/>
      <c r="M110" s="939"/>
    </row>
    <row r="111" spans="1:13" ht="21.75" customHeight="1">
      <c r="A111" s="874">
        <f t="shared" si="18"/>
        <v>33</v>
      </c>
      <c r="B111" s="941"/>
      <c r="C111" s="1480" t="s">
        <v>1648</v>
      </c>
      <c r="D111" s="1481"/>
      <c r="E111" s="1481"/>
      <c r="F111" s="1484"/>
      <c r="G111" s="941"/>
      <c r="H111" s="942"/>
      <c r="I111" s="943"/>
      <c r="J111" s="943"/>
      <c r="K111" s="941"/>
      <c r="L111" s="943"/>
      <c r="M111" s="944"/>
    </row>
    <row r="112" spans="1:13" s="898" customFormat="1" ht="51.75" customHeight="1">
      <c r="A112" s="874">
        <f t="shared" si="18"/>
        <v>34</v>
      </c>
      <c r="B112" s="945" t="str">
        <f>B11</f>
        <v>CPUC Rate Group</v>
      </c>
      <c r="C112" s="946">
        <v>2012</v>
      </c>
      <c r="D112" s="947">
        <v>2013</v>
      </c>
      <c r="E112" s="947">
        <v>2014</v>
      </c>
      <c r="F112" s="945" t="s">
        <v>2675</v>
      </c>
      <c r="G112" s="945" t="s">
        <v>1320</v>
      </c>
      <c r="H112" s="948" t="s">
        <v>3030</v>
      </c>
      <c r="I112" s="1377" t="s">
        <v>2986</v>
      </c>
      <c r="J112" s="945" t="s">
        <v>2937</v>
      </c>
      <c r="K112" s="945" t="s">
        <v>2987</v>
      </c>
      <c r="L112" s="945" t="s">
        <v>1649</v>
      </c>
      <c r="M112" s="945" t="s">
        <v>2676</v>
      </c>
    </row>
    <row r="113" spans="1:13">
      <c r="A113" s="874" t="s">
        <v>2677</v>
      </c>
      <c r="B113" s="1334" t="str">
        <f>B12</f>
        <v>Domestic</v>
      </c>
      <c r="C113" s="1378">
        <v>69458.14</v>
      </c>
      <c r="D113" s="1378">
        <v>70484.58</v>
      </c>
      <c r="E113" s="1378">
        <v>68996.84</v>
      </c>
      <c r="F113" s="949">
        <f>(C113+D113+E113)/3</f>
        <v>69646.52</v>
      </c>
      <c r="G113" s="1431">
        <v>1.0876999999999999</v>
      </c>
      <c r="H113" s="1159">
        <v>29754.090399999997</v>
      </c>
      <c r="I113" s="1357">
        <f>E12</f>
        <v>28525.260941260982</v>
      </c>
      <c r="J113" s="1357">
        <f>F12</f>
        <v>0</v>
      </c>
      <c r="K113" s="899">
        <f>I113+J113</f>
        <v>28525.260941260982</v>
      </c>
      <c r="L113" s="949">
        <f>(F113*G113)*(K113/H113)</f>
        <v>72625.894989181819</v>
      </c>
      <c r="M113" s="1380">
        <f t="shared" ref="M113:M126" si="19">L113/$L$128</f>
        <v>0.40557421661787196</v>
      </c>
    </row>
    <row r="114" spans="1:13">
      <c r="A114" s="874" t="s">
        <v>2678</v>
      </c>
      <c r="B114" s="1334" t="str">
        <f>B13</f>
        <v>GS-1</v>
      </c>
      <c r="C114" s="1378">
        <v>10970.85</v>
      </c>
      <c r="D114" s="1378">
        <v>10515.59</v>
      </c>
      <c r="E114" s="1378">
        <v>12145.16</v>
      </c>
      <c r="F114" s="949">
        <f t="shared" ref="F114:F126" si="20">(C114+D114+E114)/3</f>
        <v>11210.533333333335</v>
      </c>
      <c r="G114" s="1431">
        <v>1.0879000000000001</v>
      </c>
      <c r="H114" s="1159">
        <v>5255.7139766666669</v>
      </c>
      <c r="I114" s="1357">
        <f t="shared" ref="I114" si="21">E13</f>
        <v>5764.3706632922303</v>
      </c>
      <c r="J114" s="1357">
        <f>F13</f>
        <v>0</v>
      </c>
      <c r="K114" s="899">
        <f t="shared" ref="K114:K126" si="22">I114+J114</f>
        <v>5764.3706632922303</v>
      </c>
      <c r="L114" s="949">
        <f t="shared" ref="L114:L126" si="23">(F114*G114)*(K114/H114)</f>
        <v>13376.282370910452</v>
      </c>
      <c r="M114" s="1380">
        <f t="shared" si="19"/>
        <v>7.4698910693624693E-2</v>
      </c>
    </row>
    <row r="115" spans="1:13">
      <c r="A115" s="874" t="s">
        <v>2679</v>
      </c>
      <c r="B115" s="1334" t="str">
        <f t="shared" ref="B115:B126" si="24">B15</f>
        <v>TC-1</v>
      </c>
      <c r="C115" s="1378">
        <v>86.72</v>
      </c>
      <c r="D115" s="1378">
        <v>85.75</v>
      </c>
      <c r="E115" s="1378">
        <v>85.18</v>
      </c>
      <c r="F115" s="949">
        <f t="shared" si="20"/>
        <v>85.883333333333326</v>
      </c>
      <c r="G115" s="1431">
        <v>1.0886</v>
      </c>
      <c r="H115" s="1159">
        <v>62.778103333333341</v>
      </c>
      <c r="I115" s="1357">
        <f t="shared" ref="I115:J126" si="25">E15</f>
        <v>59.508178094598399</v>
      </c>
      <c r="J115" s="1357">
        <f t="shared" si="25"/>
        <v>0</v>
      </c>
      <c r="K115" s="899">
        <f t="shared" si="22"/>
        <v>59.508178094598399</v>
      </c>
      <c r="L115" s="949">
        <f t="shared" si="23"/>
        <v>88.622844551793918</v>
      </c>
      <c r="M115" s="1380">
        <f t="shared" si="19"/>
        <v>4.9490805943107851E-4</v>
      </c>
    </row>
    <row r="116" spans="1:13">
      <c r="A116" s="874" t="s">
        <v>2680</v>
      </c>
      <c r="B116" s="1334" t="str">
        <f t="shared" si="24"/>
        <v>GS-2</v>
      </c>
      <c r="C116" s="1378">
        <v>30954.68</v>
      </c>
      <c r="D116" s="1378">
        <v>30348.79</v>
      </c>
      <c r="E116" s="1378">
        <v>30524.12</v>
      </c>
      <c r="F116" s="949">
        <f t="shared" si="20"/>
        <v>30609.196666666667</v>
      </c>
      <c r="G116" s="1431">
        <v>1.0875999999999999</v>
      </c>
      <c r="H116" s="1159">
        <v>15258.319880000001</v>
      </c>
      <c r="I116" s="1357">
        <f t="shared" si="25"/>
        <v>14468.049151239065</v>
      </c>
      <c r="J116" s="1357">
        <f t="shared" si="25"/>
        <v>0</v>
      </c>
      <c r="K116" s="899">
        <f t="shared" si="22"/>
        <v>14468.049151239065</v>
      </c>
      <c r="L116" s="949">
        <f t="shared" si="23"/>
        <v>31566.351691377913</v>
      </c>
      <c r="M116" s="1380">
        <f t="shared" si="19"/>
        <v>0.1762800769700926</v>
      </c>
    </row>
    <row r="117" spans="1:13">
      <c r="A117" s="874" t="s">
        <v>2681</v>
      </c>
      <c r="B117" s="1334" t="str">
        <f t="shared" si="24"/>
        <v>TOU-GS-3</v>
      </c>
      <c r="C117" s="1378">
        <v>15788.66</v>
      </c>
      <c r="D117" s="1378">
        <v>15669.5</v>
      </c>
      <c r="E117" s="1378">
        <v>16197.25</v>
      </c>
      <c r="F117" s="949">
        <f t="shared" si="20"/>
        <v>15885.136666666667</v>
      </c>
      <c r="G117" s="1431">
        <v>1.0871</v>
      </c>
      <c r="H117" s="1159">
        <v>8529.9745766666674</v>
      </c>
      <c r="I117" s="1357">
        <f t="shared" si="25"/>
        <v>8237.6804487195768</v>
      </c>
      <c r="J117" s="1357">
        <f t="shared" si="25"/>
        <v>0</v>
      </c>
      <c r="K117" s="899">
        <f t="shared" si="22"/>
        <v>8237.6804487195768</v>
      </c>
      <c r="L117" s="949">
        <f t="shared" si="23"/>
        <v>16676.989511679363</v>
      </c>
      <c r="M117" s="1380">
        <f t="shared" si="19"/>
        <v>9.3131478211061464E-2</v>
      </c>
    </row>
    <row r="118" spans="1:13">
      <c r="A118" s="874" t="s">
        <v>2682</v>
      </c>
      <c r="B118" s="1334" t="str">
        <f t="shared" si="24"/>
        <v>TOU-8-SEC</v>
      </c>
      <c r="C118" s="1378">
        <v>14947.18</v>
      </c>
      <c r="D118" s="1378">
        <v>14863.900000000001</v>
      </c>
      <c r="E118" s="1378">
        <v>15190.25</v>
      </c>
      <c r="F118" s="949">
        <f t="shared" si="20"/>
        <v>15000.443333333335</v>
      </c>
      <c r="G118" s="1431">
        <v>1.0879000000000001</v>
      </c>
      <c r="H118" s="1160">
        <v>8664.2888036518871</v>
      </c>
      <c r="I118" s="1357">
        <f>E18+E21</f>
        <v>8473.7436995849657</v>
      </c>
      <c r="J118" s="1357">
        <f t="shared" si="25"/>
        <v>0</v>
      </c>
      <c r="K118" s="899">
        <f>I118+J118</f>
        <v>8473.7436995849657</v>
      </c>
      <c r="L118" s="949">
        <f t="shared" si="23"/>
        <v>15960.095121685139</v>
      </c>
      <c r="M118" s="1380">
        <f t="shared" si="19"/>
        <v>8.9128031772804636E-2</v>
      </c>
    </row>
    <row r="119" spans="1:13">
      <c r="A119" s="874" t="s">
        <v>2683</v>
      </c>
      <c r="B119" s="1334" t="str">
        <f t="shared" si="24"/>
        <v>TOU-8-PRI</v>
      </c>
      <c r="C119" s="1378">
        <v>9830.33</v>
      </c>
      <c r="D119" s="1378">
        <v>9812.9500000000007</v>
      </c>
      <c r="E119" s="1378">
        <v>9948.57</v>
      </c>
      <c r="F119" s="949">
        <f t="shared" si="20"/>
        <v>9863.9499999999989</v>
      </c>
      <c r="G119" s="1431">
        <v>1.0623</v>
      </c>
      <c r="H119" s="1160">
        <v>6160.8126970021476</v>
      </c>
      <c r="I119" s="1357">
        <f>E19+E22</f>
        <v>6179.5172182473325</v>
      </c>
      <c r="J119" s="1357">
        <f t="shared" si="25"/>
        <v>0</v>
      </c>
      <c r="K119" s="899">
        <f t="shared" si="22"/>
        <v>6179.5172182473325</v>
      </c>
      <c r="L119" s="949">
        <f t="shared" si="23"/>
        <v>10510.287232190041</v>
      </c>
      <c r="M119" s="1380">
        <f t="shared" si="19"/>
        <v>5.8693961861113857E-2</v>
      </c>
    </row>
    <row r="120" spans="1:13">
      <c r="A120" s="874" t="s">
        <v>2684</v>
      </c>
      <c r="B120" s="1334" t="str">
        <f t="shared" si="24"/>
        <v>TOU-8-SUB</v>
      </c>
      <c r="C120" s="1378">
        <v>10964.300000000001</v>
      </c>
      <c r="D120" s="1378">
        <v>11037.14</v>
      </c>
      <c r="E120" s="1378">
        <v>11843.23</v>
      </c>
      <c r="F120" s="949">
        <f t="shared" si="20"/>
        <v>11281.556666666665</v>
      </c>
      <c r="G120" s="1431">
        <v>1.0305</v>
      </c>
      <c r="H120" s="1160">
        <v>7856.2439980302706</v>
      </c>
      <c r="I120" s="1357">
        <f>E20+E23</f>
        <v>7716.4312814807399</v>
      </c>
      <c r="J120" s="1357">
        <f t="shared" si="25"/>
        <v>0</v>
      </c>
      <c r="K120" s="899">
        <f t="shared" si="22"/>
        <v>7716.4312814807399</v>
      </c>
      <c r="L120" s="949">
        <f t="shared" si="23"/>
        <v>11418.749744831404</v>
      </c>
      <c r="M120" s="1380">
        <f t="shared" si="19"/>
        <v>6.3767207043787438E-2</v>
      </c>
    </row>
    <row r="121" spans="1:13">
      <c r="A121" s="874" t="s">
        <v>2685</v>
      </c>
      <c r="B121" s="1334" t="str">
        <f t="shared" si="24"/>
        <v>TOU-8-Standby-SEC</v>
      </c>
      <c r="C121" s="1378">
        <v>95.13</v>
      </c>
      <c r="D121" s="1378">
        <v>100.27</v>
      </c>
      <c r="E121" s="1378">
        <v>100.81</v>
      </c>
      <c r="F121" s="949">
        <f t="shared" si="20"/>
        <v>98.736666666666665</v>
      </c>
      <c r="G121" s="1431">
        <v>1.0881000000000001</v>
      </c>
      <c r="H121" s="1160">
        <v>68.267267078630525</v>
      </c>
      <c r="I121" s="1381">
        <f>E21*0</f>
        <v>0</v>
      </c>
      <c r="J121" s="1357">
        <f t="shared" si="25"/>
        <v>68</v>
      </c>
      <c r="K121" s="899">
        <f t="shared" si="22"/>
        <v>68</v>
      </c>
      <c r="L121" s="949">
        <f t="shared" si="23"/>
        <v>107.01475639247977</v>
      </c>
      <c r="M121" s="1380">
        <f t="shared" si="19"/>
        <v>5.9761640110455791E-4</v>
      </c>
    </row>
    <row r="122" spans="1:13">
      <c r="A122" s="874" t="s">
        <v>2686</v>
      </c>
      <c r="B122" s="1334" t="str">
        <f t="shared" si="24"/>
        <v>TOU-8-Standby-PRI</v>
      </c>
      <c r="C122" s="1378">
        <v>308.14999999999998</v>
      </c>
      <c r="D122" s="1378">
        <v>268.92</v>
      </c>
      <c r="E122" s="1378">
        <v>294.37</v>
      </c>
      <c r="F122" s="949">
        <f t="shared" si="20"/>
        <v>290.47999999999996</v>
      </c>
      <c r="G122" s="1431">
        <v>1.0623</v>
      </c>
      <c r="H122" s="1160">
        <v>200.70791149702029</v>
      </c>
      <c r="I122" s="1381">
        <f>E22*0</f>
        <v>0</v>
      </c>
      <c r="J122" s="1357">
        <f t="shared" si="25"/>
        <v>201</v>
      </c>
      <c r="K122" s="899">
        <f t="shared" si="22"/>
        <v>201</v>
      </c>
      <c r="L122" s="949">
        <f t="shared" si="23"/>
        <v>309.02597332303367</v>
      </c>
      <c r="M122" s="1380">
        <f t="shared" si="19"/>
        <v>1.7257338730728767E-3</v>
      </c>
    </row>
    <row r="123" spans="1:13">
      <c r="A123" s="874" t="s">
        <v>2687</v>
      </c>
      <c r="B123" s="1334" t="str">
        <f t="shared" si="24"/>
        <v>TOU-8-Standby-SUB</v>
      </c>
      <c r="C123" s="1166">
        <v>634.39</v>
      </c>
      <c r="D123" s="1166">
        <v>450.49</v>
      </c>
      <c r="E123" s="1166">
        <v>587.17999999999995</v>
      </c>
      <c r="F123" s="949">
        <f t="shared" si="20"/>
        <v>557.35333333333335</v>
      </c>
      <c r="G123" s="1431">
        <v>1.0306</v>
      </c>
      <c r="H123" s="1160">
        <v>503.91976876197413</v>
      </c>
      <c r="I123" s="1381">
        <f>E23*0</f>
        <v>0</v>
      </c>
      <c r="J123" s="1357">
        <f t="shared" si="25"/>
        <v>504</v>
      </c>
      <c r="K123" s="899">
        <f t="shared" si="22"/>
        <v>504</v>
      </c>
      <c r="L123" s="949">
        <f t="shared" si="23"/>
        <v>574.49979936140562</v>
      </c>
      <c r="M123" s="1380">
        <f t="shared" si="19"/>
        <v>3.2082538343635443E-3</v>
      </c>
    </row>
    <row r="124" spans="1:13">
      <c r="A124" s="874" t="s">
        <v>2688</v>
      </c>
      <c r="B124" s="1334" t="str">
        <f t="shared" si="24"/>
        <v>TOU-PA-2</v>
      </c>
      <c r="C124" s="1378">
        <v>2890.94</v>
      </c>
      <c r="D124" s="1378">
        <v>3095.42</v>
      </c>
      <c r="E124" s="1378">
        <v>3188.9</v>
      </c>
      <c r="F124" s="949">
        <f t="shared" si="20"/>
        <v>3058.42</v>
      </c>
      <c r="G124" s="1431">
        <v>1.0879000000000001</v>
      </c>
      <c r="H124" s="1159">
        <v>2170.6901866666667</v>
      </c>
      <c r="I124" s="1357">
        <f>E24</f>
        <v>1933.6316261397371</v>
      </c>
      <c r="J124" s="1357">
        <f t="shared" si="25"/>
        <v>0</v>
      </c>
      <c r="K124" s="899">
        <f t="shared" si="22"/>
        <v>1933.6316261397371</v>
      </c>
      <c r="L124" s="949">
        <f t="shared" si="23"/>
        <v>2963.8894412102795</v>
      </c>
      <c r="M124" s="1380">
        <f t="shared" si="19"/>
        <v>1.6551632698500993E-2</v>
      </c>
    </row>
    <row r="125" spans="1:13">
      <c r="A125" s="874" t="s">
        <v>2689</v>
      </c>
      <c r="B125" s="1334" t="str">
        <f t="shared" si="24"/>
        <v>TOU-PA-3</v>
      </c>
      <c r="C125" s="1378">
        <v>1627.15</v>
      </c>
      <c r="D125" s="1378">
        <v>1712.88</v>
      </c>
      <c r="E125" s="1378">
        <v>1845.59</v>
      </c>
      <c r="F125" s="949">
        <f t="shared" si="20"/>
        <v>1728.54</v>
      </c>
      <c r="G125" s="1431">
        <v>1.0867</v>
      </c>
      <c r="H125" s="1159">
        <v>1335.1120966666665</v>
      </c>
      <c r="I125" s="1357">
        <f>E25</f>
        <v>1373.4684764183203</v>
      </c>
      <c r="J125" s="1357">
        <f t="shared" si="25"/>
        <v>0</v>
      </c>
      <c r="K125" s="899">
        <f t="shared" si="22"/>
        <v>1373.4684764183203</v>
      </c>
      <c r="L125" s="949">
        <f t="shared" si="23"/>
        <v>1932.3690201962304</v>
      </c>
      <c r="M125" s="1380">
        <f t="shared" si="19"/>
        <v>1.0791179257749207E-2</v>
      </c>
    </row>
    <row r="126" spans="1:13">
      <c r="A126" s="874" t="s">
        <v>2690</v>
      </c>
      <c r="B126" s="1334" t="str">
        <f t="shared" si="24"/>
        <v>Street Lighting</v>
      </c>
      <c r="C126" s="1378">
        <v>879.52</v>
      </c>
      <c r="D126" s="1378">
        <v>877.87</v>
      </c>
      <c r="E126" s="1378">
        <v>812</v>
      </c>
      <c r="F126" s="949">
        <f t="shared" si="20"/>
        <v>856.46333333333325</v>
      </c>
      <c r="G126" s="1431">
        <v>1.0906</v>
      </c>
      <c r="H126" s="1159">
        <v>728.67340999999999</v>
      </c>
      <c r="I126" s="1357">
        <f>E26</f>
        <v>748.31534980493677</v>
      </c>
      <c r="J126" s="1357">
        <f t="shared" si="25"/>
        <v>0</v>
      </c>
      <c r="K126" s="899">
        <f t="shared" si="22"/>
        <v>748.31534980493677</v>
      </c>
      <c r="L126" s="949">
        <f t="shared" si="23"/>
        <v>959.23717179802372</v>
      </c>
      <c r="M126" s="1380">
        <f t="shared" si="19"/>
        <v>5.35679270542108E-3</v>
      </c>
    </row>
    <row r="127" spans="1:13" ht="15">
      <c r="A127" s="874" t="s">
        <v>2691</v>
      </c>
      <c r="B127" s="1337" t="s">
        <v>86</v>
      </c>
      <c r="C127" s="1161"/>
      <c r="D127" s="1161"/>
      <c r="E127" s="1161"/>
      <c r="F127" s="949"/>
      <c r="G127" s="1379"/>
      <c r="H127" s="1159"/>
      <c r="I127" s="846"/>
      <c r="J127" s="846"/>
      <c r="K127" s="899"/>
      <c r="L127" s="949"/>
      <c r="M127" s="1380"/>
    </row>
    <row r="128" spans="1:13">
      <c r="A128" s="874">
        <v>36</v>
      </c>
      <c r="B128" s="1338" t="s">
        <v>216</v>
      </c>
      <c r="C128" s="897">
        <f>SUM(C113:C127)</f>
        <v>169436.13999999998</v>
      </c>
      <c r="D128" s="897">
        <f>SUM(D113:D127)</f>
        <v>169324.05000000002</v>
      </c>
      <c r="E128" s="897">
        <f>SUM(E113:E127)</f>
        <v>171759.44999999998</v>
      </c>
      <c r="F128" s="897">
        <f>SUM(F113:F127)</f>
        <v>170173.21333333341</v>
      </c>
      <c r="G128" s="895"/>
      <c r="H128" s="897">
        <f>SUM(H113:H127)</f>
        <v>86549.593076021934</v>
      </c>
      <c r="I128" s="1382">
        <f t="shared" ref="I128:J128" si="26">SUM(I113:I127)</f>
        <v>83479.977034282492</v>
      </c>
      <c r="J128" s="1382">
        <f t="shared" si="26"/>
        <v>773</v>
      </c>
      <c r="K128" s="897">
        <f>SUM(K113:K127)</f>
        <v>84252.977034282492</v>
      </c>
      <c r="L128" s="897">
        <f>SUM(L113:L127)</f>
        <v>179069.30966868938</v>
      </c>
      <c r="M128" s="1383">
        <f>SUM(M113:M127)</f>
        <v>1</v>
      </c>
    </row>
    <row r="129" spans="10:13">
      <c r="J129" s="950"/>
      <c r="L129" s="910"/>
      <c r="M129" s="911"/>
    </row>
    <row r="130" spans="10:13">
      <c r="J130" s="950"/>
      <c r="L130" s="910"/>
      <c r="M130" s="911"/>
    </row>
    <row r="131" spans="10:13">
      <c r="J131" s="950"/>
      <c r="L131" s="910"/>
      <c r="M131" s="911"/>
    </row>
    <row r="132" spans="10:13">
      <c r="J132" s="950"/>
      <c r="L132" s="910"/>
      <c r="M132" s="911"/>
    </row>
    <row r="133" spans="10:13">
      <c r="J133" s="950"/>
      <c r="L133" s="910"/>
      <c r="M133" s="911"/>
    </row>
    <row r="134" spans="10:13">
      <c r="J134" s="950"/>
      <c r="L134" s="910"/>
      <c r="M134" s="911"/>
    </row>
    <row r="135" spans="10:13">
      <c r="J135" s="950"/>
      <c r="L135" s="910"/>
      <c r="M135" s="911"/>
    </row>
    <row r="136" spans="10:13">
      <c r="J136" s="950"/>
      <c r="L136" s="910"/>
      <c r="M136" s="911"/>
    </row>
    <row r="137" spans="10:13">
      <c r="J137" s="950"/>
      <c r="L137" s="910"/>
      <c r="M137" s="911"/>
    </row>
    <row r="138" spans="10:13">
      <c r="L138" s="910"/>
    </row>
    <row r="142" spans="10:13">
      <c r="M142" s="849"/>
    </row>
    <row r="143" spans="10:13">
      <c r="M143" s="849"/>
    </row>
    <row r="144" spans="10:13">
      <c r="M144" s="849"/>
    </row>
    <row r="145" spans="13:13">
      <c r="M145" s="849"/>
    </row>
    <row r="146" spans="13:13">
      <c r="M146" s="849"/>
    </row>
    <row r="147" spans="13:13">
      <c r="M147" s="849"/>
    </row>
    <row r="148" spans="13:13">
      <c r="M148" s="849"/>
    </row>
    <row r="149" spans="13:13">
      <c r="M149" s="849"/>
    </row>
    <row r="150" spans="13:13">
      <c r="M150" s="849"/>
    </row>
    <row r="151" spans="13:13">
      <c r="M151" s="849"/>
    </row>
    <row r="152" spans="13:13">
      <c r="M152" s="849"/>
    </row>
    <row r="153" spans="13:13">
      <c r="M153" s="849"/>
    </row>
    <row r="154" spans="13:13">
      <c r="M154" s="849"/>
    </row>
    <row r="155" spans="13:13">
      <c r="M155" s="849"/>
    </row>
    <row r="156" spans="13:13">
      <c r="M156" s="849"/>
    </row>
    <row r="157" spans="13:13">
      <c r="M157" s="849"/>
    </row>
    <row r="158" spans="13:13">
      <c r="M158" s="849"/>
    </row>
    <row r="159" spans="13:13">
      <c r="M159" s="849"/>
    </row>
    <row r="160" spans="13:13">
      <c r="M160" s="849"/>
    </row>
    <row r="161" spans="13:13">
      <c r="M161" s="849"/>
    </row>
    <row r="162" spans="13:13">
      <c r="M162" s="849"/>
    </row>
    <row r="163" spans="13:13">
      <c r="M163" s="849"/>
    </row>
    <row r="164" spans="13:13">
      <c r="M164" s="849"/>
    </row>
    <row r="165" spans="13:13">
      <c r="M165" s="849"/>
    </row>
    <row r="166" spans="13:13">
      <c r="M166" s="849"/>
    </row>
    <row r="167" spans="13:13">
      <c r="M167" s="849"/>
    </row>
    <row r="168" spans="13:13">
      <c r="M168" s="849"/>
    </row>
    <row r="169" spans="13:13">
      <c r="M169" s="849"/>
    </row>
    <row r="170" spans="13:13">
      <c r="M170" s="849"/>
    </row>
    <row r="171" spans="13:13">
      <c r="M171" s="849"/>
    </row>
    <row r="172" spans="13:13">
      <c r="M172" s="849"/>
    </row>
    <row r="173" spans="13:13">
      <c r="M173" s="849"/>
    </row>
    <row r="174" spans="13:13">
      <c r="M174" s="849"/>
    </row>
    <row r="175" spans="13:13">
      <c r="M175" s="849"/>
    </row>
    <row r="176" spans="13:13">
      <c r="M176" s="849"/>
    </row>
    <row r="177" spans="13:13">
      <c r="M177" s="849"/>
    </row>
    <row r="178" spans="13:13">
      <c r="M178" s="849"/>
    </row>
    <row r="179" spans="13:13">
      <c r="M179" s="849"/>
    </row>
    <row r="180" spans="13:13">
      <c r="M180" s="849"/>
    </row>
    <row r="181" spans="13:13">
      <c r="M181" s="849"/>
    </row>
    <row r="182" spans="13:13">
      <c r="M182" s="849"/>
    </row>
    <row r="183" spans="13:13">
      <c r="M183" s="849"/>
    </row>
    <row r="184" spans="13:13">
      <c r="M184" s="849"/>
    </row>
    <row r="185" spans="13:13">
      <c r="M185" s="849"/>
    </row>
    <row r="186" spans="13:13">
      <c r="M186" s="849"/>
    </row>
    <row r="187" spans="13:13">
      <c r="M187" s="849"/>
    </row>
    <row r="188" spans="13:13">
      <c r="M188" s="849"/>
    </row>
    <row r="189" spans="13:13">
      <c r="M189" s="849"/>
    </row>
    <row r="190" spans="13:13">
      <c r="M190" s="849"/>
    </row>
    <row r="191" spans="13:13">
      <c r="M191" s="849"/>
    </row>
    <row r="192" spans="13:13">
      <c r="M192" s="849"/>
    </row>
    <row r="193" spans="13:13">
      <c r="M193" s="849"/>
    </row>
    <row r="194" spans="13:13">
      <c r="M194" s="849"/>
    </row>
    <row r="195" spans="13:13">
      <c r="M195" s="849"/>
    </row>
    <row r="196" spans="13:13">
      <c r="M196" s="849"/>
    </row>
    <row r="197" spans="13:13">
      <c r="M197" s="849"/>
    </row>
    <row r="198" spans="13:13">
      <c r="M198" s="849"/>
    </row>
    <row r="199" spans="13:13">
      <c r="M199" s="849"/>
    </row>
    <row r="200" spans="13:13">
      <c r="M200" s="849"/>
    </row>
    <row r="201" spans="13:13">
      <c r="M201" s="849"/>
    </row>
    <row r="202" spans="13:13">
      <c r="M202" s="849"/>
    </row>
    <row r="203" spans="13:13">
      <c r="M203" s="849"/>
    </row>
    <row r="204" spans="13:13">
      <c r="M204" s="849"/>
    </row>
    <row r="205" spans="13:13">
      <c r="M205" s="849"/>
    </row>
    <row r="206" spans="13:13">
      <c r="M206" s="849"/>
    </row>
    <row r="207" spans="13:13">
      <c r="M207" s="849"/>
    </row>
    <row r="208" spans="13:13">
      <c r="M208" s="849"/>
    </row>
    <row r="209" spans="13:13">
      <c r="M209" s="849"/>
    </row>
    <row r="210" spans="13:13">
      <c r="M210" s="849"/>
    </row>
    <row r="211" spans="13:13">
      <c r="M211" s="849"/>
    </row>
    <row r="212" spans="13:13">
      <c r="M212" s="849"/>
    </row>
    <row r="213" spans="13:13">
      <c r="M213" s="849"/>
    </row>
    <row r="214" spans="13:13">
      <c r="M214" s="849"/>
    </row>
    <row r="215" spans="13:13">
      <c r="M215" s="849"/>
    </row>
    <row r="216" spans="13:13">
      <c r="M216" s="849"/>
    </row>
    <row r="217" spans="13:13">
      <c r="M217" s="849"/>
    </row>
    <row r="218" spans="13:13">
      <c r="M218" s="849"/>
    </row>
    <row r="219" spans="13:13">
      <c r="M219" s="849"/>
    </row>
    <row r="220" spans="13:13">
      <c r="M220" s="849"/>
    </row>
    <row r="221" spans="13:13">
      <c r="M221" s="849"/>
    </row>
    <row r="222" spans="13:13">
      <c r="M222" s="849"/>
    </row>
    <row r="223" spans="13:13">
      <c r="M223" s="849"/>
    </row>
    <row r="224" spans="13:13">
      <c r="M224" s="849"/>
    </row>
    <row r="225" spans="13:13">
      <c r="M225" s="849"/>
    </row>
    <row r="226" spans="13:13">
      <c r="M226" s="849"/>
    </row>
    <row r="227" spans="13:13">
      <c r="M227" s="849"/>
    </row>
    <row r="228" spans="13:13">
      <c r="M228" s="849"/>
    </row>
    <row r="229" spans="13:13">
      <c r="M229" s="849"/>
    </row>
    <row r="230" spans="13:13">
      <c r="M230" s="849"/>
    </row>
    <row r="231" spans="13:13">
      <c r="M231" s="849"/>
    </row>
    <row r="232" spans="13:13">
      <c r="M232" s="849"/>
    </row>
    <row r="233" spans="13:13">
      <c r="M233" s="849"/>
    </row>
    <row r="234" spans="13:13">
      <c r="M234" s="849"/>
    </row>
    <row r="235" spans="13:13">
      <c r="M235" s="849"/>
    </row>
    <row r="236" spans="13:13">
      <c r="M236" s="849"/>
    </row>
    <row r="237" spans="13:13">
      <c r="M237" s="849"/>
    </row>
    <row r="238" spans="13:13">
      <c r="M238" s="849"/>
    </row>
    <row r="239" spans="13:13">
      <c r="M239" s="849"/>
    </row>
    <row r="240" spans="13:13">
      <c r="M240" s="849"/>
    </row>
    <row r="241" spans="13:13">
      <c r="M241" s="849"/>
    </row>
    <row r="242" spans="13:13">
      <c r="M242" s="849"/>
    </row>
    <row r="243" spans="13:13">
      <c r="M243" s="849"/>
    </row>
    <row r="244" spans="13:13">
      <c r="M244" s="849"/>
    </row>
    <row r="245" spans="13:13">
      <c r="M245" s="849"/>
    </row>
    <row r="246" spans="13:13">
      <c r="M246" s="849"/>
    </row>
    <row r="247" spans="13:13">
      <c r="M247" s="849"/>
    </row>
    <row r="248" spans="13:13">
      <c r="M248" s="849"/>
    </row>
    <row r="249" spans="13:13">
      <c r="M249" s="849"/>
    </row>
    <row r="250" spans="13:13">
      <c r="M250" s="849"/>
    </row>
  </sheetData>
  <mergeCells count="2">
    <mergeCell ref="E9:I9"/>
    <mergeCell ref="C111:F111"/>
  </mergeCells>
  <pageMargins left="0.7" right="0.7" top="0.75" bottom="0.75" header="0.3" footer="0.3"/>
  <pageSetup scale="50" orientation="landscape" verticalDpi="1200" r:id="rId1"/>
  <headerFooter>
    <oddHeader>&amp;CSchedule 33
Retail Transmission Rates&amp;"Arial,Bold"
&amp;RTO11 Draft Annual Update
Attachment 1</oddHeader>
    <oddFooter>&amp;R&amp;A</oddFooter>
  </headerFooter>
  <rowBreaks count="2" manualBreakCount="2">
    <brk id="40" max="16383" man="1"/>
    <brk id="106"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zoomScaleNormal="100" workbookViewId="0"/>
  </sheetViews>
  <sheetFormatPr defaultRowHeight="12.75"/>
  <cols>
    <col min="1" max="1" width="4.85546875" customWidth="1"/>
    <col min="2" max="2" width="1.7109375" customWidth="1"/>
    <col min="3" max="3" width="46" customWidth="1"/>
    <col min="4" max="4" width="1.7109375" customWidth="1"/>
    <col min="5" max="5" width="34" customWidth="1"/>
    <col min="6" max="6" width="1.7109375" customWidth="1"/>
    <col min="7" max="7" width="16.7109375" customWidth="1"/>
    <col min="8" max="8" width="1.7109375" customWidth="1"/>
    <col min="9" max="9" width="16.7109375" customWidth="1"/>
    <col min="10" max="10" width="1.7109375" customWidth="1"/>
    <col min="11" max="11" width="16.7109375" customWidth="1"/>
    <col min="12" max="12" width="2.85546875" customWidth="1"/>
    <col min="13" max="13" width="35.42578125" bestFit="1" customWidth="1"/>
    <col min="14" max="14" width="20.140625" customWidth="1"/>
    <col min="257" max="257" width="4.85546875" customWidth="1"/>
    <col min="258" max="258" width="1.7109375" customWidth="1"/>
    <col min="259" max="259" width="46" customWidth="1"/>
    <col min="260" max="260" width="1.7109375" customWidth="1"/>
    <col min="261" max="261" width="34" customWidth="1"/>
    <col min="262" max="262" width="1.7109375" customWidth="1"/>
    <col min="263" max="263" width="16" customWidth="1"/>
    <col min="264" max="264" width="1.7109375" customWidth="1"/>
    <col min="265" max="265" width="14" customWidth="1"/>
    <col min="266" max="266" width="1.7109375" customWidth="1"/>
    <col min="267" max="267" width="11.5703125" customWidth="1"/>
    <col min="268" max="268" width="2.85546875" customWidth="1"/>
    <col min="269" max="269" width="35.42578125" bestFit="1" customWidth="1"/>
    <col min="270" max="270" width="20.140625" customWidth="1"/>
    <col min="513" max="513" width="4.85546875" customWidth="1"/>
    <col min="514" max="514" width="1.7109375" customWidth="1"/>
    <col min="515" max="515" width="46" customWidth="1"/>
    <col min="516" max="516" width="1.7109375" customWidth="1"/>
    <col min="517" max="517" width="34" customWidth="1"/>
    <col min="518" max="518" width="1.7109375" customWidth="1"/>
    <col min="519" max="519" width="16" customWidth="1"/>
    <col min="520" max="520" width="1.7109375" customWidth="1"/>
    <col min="521" max="521" width="14" customWidth="1"/>
    <col min="522" max="522" width="1.7109375" customWidth="1"/>
    <col min="523" max="523" width="11.5703125" customWidth="1"/>
    <col min="524" max="524" width="2.85546875" customWidth="1"/>
    <col min="525" max="525" width="35.42578125" bestFit="1" customWidth="1"/>
    <col min="526" max="526" width="20.140625" customWidth="1"/>
    <col min="769" max="769" width="4.85546875" customWidth="1"/>
    <col min="770" max="770" width="1.7109375" customWidth="1"/>
    <col min="771" max="771" width="46" customWidth="1"/>
    <col min="772" max="772" width="1.7109375" customWidth="1"/>
    <col min="773" max="773" width="34" customWidth="1"/>
    <col min="774" max="774" width="1.7109375" customWidth="1"/>
    <col min="775" max="775" width="16" customWidth="1"/>
    <col min="776" max="776" width="1.7109375" customWidth="1"/>
    <col min="777" max="777" width="14" customWidth="1"/>
    <col min="778" max="778" width="1.7109375" customWidth="1"/>
    <col min="779" max="779" width="11.5703125" customWidth="1"/>
    <col min="780" max="780" width="2.85546875" customWidth="1"/>
    <col min="781" max="781" width="35.42578125" bestFit="1" customWidth="1"/>
    <col min="782" max="782" width="20.140625" customWidth="1"/>
    <col min="1025" max="1025" width="4.85546875" customWidth="1"/>
    <col min="1026" max="1026" width="1.7109375" customWidth="1"/>
    <col min="1027" max="1027" width="46" customWidth="1"/>
    <col min="1028" max="1028" width="1.7109375" customWidth="1"/>
    <col min="1029" max="1029" width="34" customWidth="1"/>
    <col min="1030" max="1030" width="1.7109375" customWidth="1"/>
    <col min="1031" max="1031" width="16" customWidth="1"/>
    <col min="1032" max="1032" width="1.7109375" customWidth="1"/>
    <col min="1033" max="1033" width="14" customWidth="1"/>
    <col min="1034" max="1034" width="1.7109375" customWidth="1"/>
    <col min="1035" max="1035" width="11.5703125" customWidth="1"/>
    <col min="1036" max="1036" width="2.85546875" customWidth="1"/>
    <col min="1037" max="1037" width="35.42578125" bestFit="1" customWidth="1"/>
    <col min="1038" max="1038" width="20.140625" customWidth="1"/>
    <col min="1281" max="1281" width="4.85546875" customWidth="1"/>
    <col min="1282" max="1282" width="1.7109375" customWidth="1"/>
    <col min="1283" max="1283" width="46" customWidth="1"/>
    <col min="1284" max="1284" width="1.7109375" customWidth="1"/>
    <col min="1285" max="1285" width="34" customWidth="1"/>
    <col min="1286" max="1286" width="1.7109375" customWidth="1"/>
    <col min="1287" max="1287" width="16" customWidth="1"/>
    <col min="1288" max="1288" width="1.7109375" customWidth="1"/>
    <col min="1289" max="1289" width="14" customWidth="1"/>
    <col min="1290" max="1290" width="1.7109375" customWidth="1"/>
    <col min="1291" max="1291" width="11.5703125" customWidth="1"/>
    <col min="1292" max="1292" width="2.85546875" customWidth="1"/>
    <col min="1293" max="1293" width="35.42578125" bestFit="1" customWidth="1"/>
    <col min="1294" max="1294" width="20.140625" customWidth="1"/>
    <col min="1537" max="1537" width="4.85546875" customWidth="1"/>
    <col min="1538" max="1538" width="1.7109375" customWidth="1"/>
    <col min="1539" max="1539" width="46" customWidth="1"/>
    <col min="1540" max="1540" width="1.7109375" customWidth="1"/>
    <col min="1541" max="1541" width="34" customWidth="1"/>
    <col min="1542" max="1542" width="1.7109375" customWidth="1"/>
    <col min="1543" max="1543" width="16" customWidth="1"/>
    <col min="1544" max="1544" width="1.7109375" customWidth="1"/>
    <col min="1545" max="1545" width="14" customWidth="1"/>
    <col min="1546" max="1546" width="1.7109375" customWidth="1"/>
    <col min="1547" max="1547" width="11.5703125" customWidth="1"/>
    <col min="1548" max="1548" width="2.85546875" customWidth="1"/>
    <col min="1549" max="1549" width="35.42578125" bestFit="1" customWidth="1"/>
    <col min="1550" max="1550" width="20.140625" customWidth="1"/>
    <col min="1793" max="1793" width="4.85546875" customWidth="1"/>
    <col min="1794" max="1794" width="1.7109375" customWidth="1"/>
    <col min="1795" max="1795" width="46" customWidth="1"/>
    <col min="1796" max="1796" width="1.7109375" customWidth="1"/>
    <col min="1797" max="1797" width="34" customWidth="1"/>
    <col min="1798" max="1798" width="1.7109375" customWidth="1"/>
    <col min="1799" max="1799" width="16" customWidth="1"/>
    <col min="1800" max="1800" width="1.7109375" customWidth="1"/>
    <col min="1801" max="1801" width="14" customWidth="1"/>
    <col min="1802" max="1802" width="1.7109375" customWidth="1"/>
    <col min="1803" max="1803" width="11.5703125" customWidth="1"/>
    <col min="1804" max="1804" width="2.85546875" customWidth="1"/>
    <col min="1805" max="1805" width="35.42578125" bestFit="1" customWidth="1"/>
    <col min="1806" max="1806" width="20.140625" customWidth="1"/>
    <col min="2049" max="2049" width="4.85546875" customWidth="1"/>
    <col min="2050" max="2050" width="1.7109375" customWidth="1"/>
    <col min="2051" max="2051" width="46" customWidth="1"/>
    <col min="2052" max="2052" width="1.7109375" customWidth="1"/>
    <col min="2053" max="2053" width="34" customWidth="1"/>
    <col min="2054" max="2054" width="1.7109375" customWidth="1"/>
    <col min="2055" max="2055" width="16" customWidth="1"/>
    <col min="2056" max="2056" width="1.7109375" customWidth="1"/>
    <col min="2057" max="2057" width="14" customWidth="1"/>
    <col min="2058" max="2058" width="1.7109375" customWidth="1"/>
    <col min="2059" max="2059" width="11.5703125" customWidth="1"/>
    <col min="2060" max="2060" width="2.85546875" customWidth="1"/>
    <col min="2061" max="2061" width="35.42578125" bestFit="1" customWidth="1"/>
    <col min="2062" max="2062" width="20.140625" customWidth="1"/>
    <col min="2305" max="2305" width="4.85546875" customWidth="1"/>
    <col min="2306" max="2306" width="1.7109375" customWidth="1"/>
    <col min="2307" max="2307" width="46" customWidth="1"/>
    <col min="2308" max="2308" width="1.7109375" customWidth="1"/>
    <col min="2309" max="2309" width="34" customWidth="1"/>
    <col min="2310" max="2310" width="1.7109375" customWidth="1"/>
    <col min="2311" max="2311" width="16" customWidth="1"/>
    <col min="2312" max="2312" width="1.7109375" customWidth="1"/>
    <col min="2313" max="2313" width="14" customWidth="1"/>
    <col min="2314" max="2314" width="1.7109375" customWidth="1"/>
    <col min="2315" max="2315" width="11.5703125" customWidth="1"/>
    <col min="2316" max="2316" width="2.85546875" customWidth="1"/>
    <col min="2317" max="2317" width="35.42578125" bestFit="1" customWidth="1"/>
    <col min="2318" max="2318" width="20.140625" customWidth="1"/>
    <col min="2561" max="2561" width="4.85546875" customWidth="1"/>
    <col min="2562" max="2562" width="1.7109375" customWidth="1"/>
    <col min="2563" max="2563" width="46" customWidth="1"/>
    <col min="2564" max="2564" width="1.7109375" customWidth="1"/>
    <col min="2565" max="2565" width="34" customWidth="1"/>
    <col min="2566" max="2566" width="1.7109375" customWidth="1"/>
    <col min="2567" max="2567" width="16" customWidth="1"/>
    <col min="2568" max="2568" width="1.7109375" customWidth="1"/>
    <col min="2569" max="2569" width="14" customWidth="1"/>
    <col min="2570" max="2570" width="1.7109375" customWidth="1"/>
    <col min="2571" max="2571" width="11.5703125" customWidth="1"/>
    <col min="2572" max="2572" width="2.85546875" customWidth="1"/>
    <col min="2573" max="2573" width="35.42578125" bestFit="1" customWidth="1"/>
    <col min="2574" max="2574" width="20.140625" customWidth="1"/>
    <col min="2817" max="2817" width="4.85546875" customWidth="1"/>
    <col min="2818" max="2818" width="1.7109375" customWidth="1"/>
    <col min="2819" max="2819" width="46" customWidth="1"/>
    <col min="2820" max="2820" width="1.7109375" customWidth="1"/>
    <col min="2821" max="2821" width="34" customWidth="1"/>
    <col min="2822" max="2822" width="1.7109375" customWidth="1"/>
    <col min="2823" max="2823" width="16" customWidth="1"/>
    <col min="2824" max="2824" width="1.7109375" customWidth="1"/>
    <col min="2825" max="2825" width="14" customWidth="1"/>
    <col min="2826" max="2826" width="1.7109375" customWidth="1"/>
    <col min="2827" max="2827" width="11.5703125" customWidth="1"/>
    <col min="2828" max="2828" width="2.85546875" customWidth="1"/>
    <col min="2829" max="2829" width="35.42578125" bestFit="1" customWidth="1"/>
    <col min="2830" max="2830" width="20.140625" customWidth="1"/>
    <col min="3073" max="3073" width="4.85546875" customWidth="1"/>
    <col min="3074" max="3074" width="1.7109375" customWidth="1"/>
    <col min="3075" max="3075" width="46" customWidth="1"/>
    <col min="3076" max="3076" width="1.7109375" customWidth="1"/>
    <col min="3077" max="3077" width="34" customWidth="1"/>
    <col min="3078" max="3078" width="1.7109375" customWidth="1"/>
    <col min="3079" max="3079" width="16" customWidth="1"/>
    <col min="3080" max="3080" width="1.7109375" customWidth="1"/>
    <col min="3081" max="3081" width="14" customWidth="1"/>
    <col min="3082" max="3082" width="1.7109375" customWidth="1"/>
    <col min="3083" max="3083" width="11.5703125" customWidth="1"/>
    <col min="3084" max="3084" width="2.85546875" customWidth="1"/>
    <col min="3085" max="3085" width="35.42578125" bestFit="1" customWidth="1"/>
    <col min="3086" max="3086" width="20.140625" customWidth="1"/>
    <col min="3329" max="3329" width="4.85546875" customWidth="1"/>
    <col min="3330" max="3330" width="1.7109375" customWidth="1"/>
    <col min="3331" max="3331" width="46" customWidth="1"/>
    <col min="3332" max="3332" width="1.7109375" customWidth="1"/>
    <col min="3333" max="3333" width="34" customWidth="1"/>
    <col min="3334" max="3334" width="1.7109375" customWidth="1"/>
    <col min="3335" max="3335" width="16" customWidth="1"/>
    <col min="3336" max="3336" width="1.7109375" customWidth="1"/>
    <col min="3337" max="3337" width="14" customWidth="1"/>
    <col min="3338" max="3338" width="1.7109375" customWidth="1"/>
    <col min="3339" max="3339" width="11.5703125" customWidth="1"/>
    <col min="3340" max="3340" width="2.85546875" customWidth="1"/>
    <col min="3341" max="3341" width="35.42578125" bestFit="1" customWidth="1"/>
    <col min="3342" max="3342" width="20.140625" customWidth="1"/>
    <col min="3585" max="3585" width="4.85546875" customWidth="1"/>
    <col min="3586" max="3586" width="1.7109375" customWidth="1"/>
    <col min="3587" max="3587" width="46" customWidth="1"/>
    <col min="3588" max="3588" width="1.7109375" customWidth="1"/>
    <col min="3589" max="3589" width="34" customWidth="1"/>
    <col min="3590" max="3590" width="1.7109375" customWidth="1"/>
    <col min="3591" max="3591" width="16" customWidth="1"/>
    <col min="3592" max="3592" width="1.7109375" customWidth="1"/>
    <col min="3593" max="3593" width="14" customWidth="1"/>
    <col min="3594" max="3594" width="1.7109375" customWidth="1"/>
    <col min="3595" max="3595" width="11.5703125" customWidth="1"/>
    <col min="3596" max="3596" width="2.85546875" customWidth="1"/>
    <col min="3597" max="3597" width="35.42578125" bestFit="1" customWidth="1"/>
    <col min="3598" max="3598" width="20.140625" customWidth="1"/>
    <col min="3841" max="3841" width="4.85546875" customWidth="1"/>
    <col min="3842" max="3842" width="1.7109375" customWidth="1"/>
    <col min="3843" max="3843" width="46" customWidth="1"/>
    <col min="3844" max="3844" width="1.7109375" customWidth="1"/>
    <col min="3845" max="3845" width="34" customWidth="1"/>
    <col min="3846" max="3846" width="1.7109375" customWidth="1"/>
    <col min="3847" max="3847" width="16" customWidth="1"/>
    <col min="3848" max="3848" width="1.7109375" customWidth="1"/>
    <col min="3849" max="3849" width="14" customWidth="1"/>
    <col min="3850" max="3850" width="1.7109375" customWidth="1"/>
    <col min="3851" max="3851" width="11.5703125" customWidth="1"/>
    <col min="3852" max="3852" width="2.85546875" customWidth="1"/>
    <col min="3853" max="3853" width="35.42578125" bestFit="1" customWidth="1"/>
    <col min="3854" max="3854" width="20.140625" customWidth="1"/>
    <col min="4097" max="4097" width="4.85546875" customWidth="1"/>
    <col min="4098" max="4098" width="1.7109375" customWidth="1"/>
    <col min="4099" max="4099" width="46" customWidth="1"/>
    <col min="4100" max="4100" width="1.7109375" customWidth="1"/>
    <col min="4101" max="4101" width="34" customWidth="1"/>
    <col min="4102" max="4102" width="1.7109375" customWidth="1"/>
    <col min="4103" max="4103" width="16" customWidth="1"/>
    <col min="4104" max="4104" width="1.7109375" customWidth="1"/>
    <col min="4105" max="4105" width="14" customWidth="1"/>
    <col min="4106" max="4106" width="1.7109375" customWidth="1"/>
    <col min="4107" max="4107" width="11.5703125" customWidth="1"/>
    <col min="4108" max="4108" width="2.85546875" customWidth="1"/>
    <col min="4109" max="4109" width="35.42578125" bestFit="1" customWidth="1"/>
    <col min="4110" max="4110" width="20.140625" customWidth="1"/>
    <col min="4353" max="4353" width="4.85546875" customWidth="1"/>
    <col min="4354" max="4354" width="1.7109375" customWidth="1"/>
    <col min="4355" max="4355" width="46" customWidth="1"/>
    <col min="4356" max="4356" width="1.7109375" customWidth="1"/>
    <col min="4357" max="4357" width="34" customWidth="1"/>
    <col min="4358" max="4358" width="1.7109375" customWidth="1"/>
    <col min="4359" max="4359" width="16" customWidth="1"/>
    <col min="4360" max="4360" width="1.7109375" customWidth="1"/>
    <col min="4361" max="4361" width="14" customWidth="1"/>
    <col min="4362" max="4362" width="1.7109375" customWidth="1"/>
    <col min="4363" max="4363" width="11.5703125" customWidth="1"/>
    <col min="4364" max="4364" width="2.85546875" customWidth="1"/>
    <col min="4365" max="4365" width="35.42578125" bestFit="1" customWidth="1"/>
    <col min="4366" max="4366" width="20.140625" customWidth="1"/>
    <col min="4609" max="4609" width="4.85546875" customWidth="1"/>
    <col min="4610" max="4610" width="1.7109375" customWidth="1"/>
    <col min="4611" max="4611" width="46" customWidth="1"/>
    <col min="4612" max="4612" width="1.7109375" customWidth="1"/>
    <col min="4613" max="4613" width="34" customWidth="1"/>
    <col min="4614" max="4614" width="1.7109375" customWidth="1"/>
    <col min="4615" max="4615" width="16" customWidth="1"/>
    <col min="4616" max="4616" width="1.7109375" customWidth="1"/>
    <col min="4617" max="4617" width="14" customWidth="1"/>
    <col min="4618" max="4618" width="1.7109375" customWidth="1"/>
    <col min="4619" max="4619" width="11.5703125" customWidth="1"/>
    <col min="4620" max="4620" width="2.85546875" customWidth="1"/>
    <col min="4621" max="4621" width="35.42578125" bestFit="1" customWidth="1"/>
    <col min="4622" max="4622" width="20.140625" customWidth="1"/>
    <col min="4865" max="4865" width="4.85546875" customWidth="1"/>
    <col min="4866" max="4866" width="1.7109375" customWidth="1"/>
    <col min="4867" max="4867" width="46" customWidth="1"/>
    <col min="4868" max="4868" width="1.7109375" customWidth="1"/>
    <col min="4869" max="4869" width="34" customWidth="1"/>
    <col min="4870" max="4870" width="1.7109375" customWidth="1"/>
    <col min="4871" max="4871" width="16" customWidth="1"/>
    <col min="4872" max="4872" width="1.7109375" customWidth="1"/>
    <col min="4873" max="4873" width="14" customWidth="1"/>
    <col min="4874" max="4874" width="1.7109375" customWidth="1"/>
    <col min="4875" max="4875" width="11.5703125" customWidth="1"/>
    <col min="4876" max="4876" width="2.85546875" customWidth="1"/>
    <col min="4877" max="4877" width="35.42578125" bestFit="1" customWidth="1"/>
    <col min="4878" max="4878" width="20.140625" customWidth="1"/>
    <col min="5121" max="5121" width="4.85546875" customWidth="1"/>
    <col min="5122" max="5122" width="1.7109375" customWidth="1"/>
    <col min="5123" max="5123" width="46" customWidth="1"/>
    <col min="5124" max="5124" width="1.7109375" customWidth="1"/>
    <col min="5125" max="5125" width="34" customWidth="1"/>
    <col min="5126" max="5126" width="1.7109375" customWidth="1"/>
    <col min="5127" max="5127" width="16" customWidth="1"/>
    <col min="5128" max="5128" width="1.7109375" customWidth="1"/>
    <col min="5129" max="5129" width="14" customWidth="1"/>
    <col min="5130" max="5130" width="1.7109375" customWidth="1"/>
    <col min="5131" max="5131" width="11.5703125" customWidth="1"/>
    <col min="5132" max="5132" width="2.85546875" customWidth="1"/>
    <col min="5133" max="5133" width="35.42578125" bestFit="1" customWidth="1"/>
    <col min="5134" max="5134" width="20.140625" customWidth="1"/>
    <col min="5377" max="5377" width="4.85546875" customWidth="1"/>
    <col min="5378" max="5378" width="1.7109375" customWidth="1"/>
    <col min="5379" max="5379" width="46" customWidth="1"/>
    <col min="5380" max="5380" width="1.7109375" customWidth="1"/>
    <col min="5381" max="5381" width="34" customWidth="1"/>
    <col min="5382" max="5382" width="1.7109375" customWidth="1"/>
    <col min="5383" max="5383" width="16" customWidth="1"/>
    <col min="5384" max="5384" width="1.7109375" customWidth="1"/>
    <col min="5385" max="5385" width="14" customWidth="1"/>
    <col min="5386" max="5386" width="1.7109375" customWidth="1"/>
    <col min="5387" max="5387" width="11.5703125" customWidth="1"/>
    <col min="5388" max="5388" width="2.85546875" customWidth="1"/>
    <col min="5389" max="5389" width="35.42578125" bestFit="1" customWidth="1"/>
    <col min="5390" max="5390" width="20.140625" customWidth="1"/>
    <col min="5633" max="5633" width="4.85546875" customWidth="1"/>
    <col min="5634" max="5634" width="1.7109375" customWidth="1"/>
    <col min="5635" max="5635" width="46" customWidth="1"/>
    <col min="5636" max="5636" width="1.7109375" customWidth="1"/>
    <col min="5637" max="5637" width="34" customWidth="1"/>
    <col min="5638" max="5638" width="1.7109375" customWidth="1"/>
    <col min="5639" max="5639" width="16" customWidth="1"/>
    <col min="5640" max="5640" width="1.7109375" customWidth="1"/>
    <col min="5641" max="5641" width="14" customWidth="1"/>
    <col min="5642" max="5642" width="1.7109375" customWidth="1"/>
    <col min="5643" max="5643" width="11.5703125" customWidth="1"/>
    <col min="5644" max="5644" width="2.85546875" customWidth="1"/>
    <col min="5645" max="5645" width="35.42578125" bestFit="1" customWidth="1"/>
    <col min="5646" max="5646" width="20.140625" customWidth="1"/>
    <col min="5889" max="5889" width="4.85546875" customWidth="1"/>
    <col min="5890" max="5890" width="1.7109375" customWidth="1"/>
    <col min="5891" max="5891" width="46" customWidth="1"/>
    <col min="5892" max="5892" width="1.7109375" customWidth="1"/>
    <col min="5893" max="5893" width="34" customWidth="1"/>
    <col min="5894" max="5894" width="1.7109375" customWidth="1"/>
    <col min="5895" max="5895" width="16" customWidth="1"/>
    <col min="5896" max="5896" width="1.7109375" customWidth="1"/>
    <col min="5897" max="5897" width="14" customWidth="1"/>
    <col min="5898" max="5898" width="1.7109375" customWidth="1"/>
    <col min="5899" max="5899" width="11.5703125" customWidth="1"/>
    <col min="5900" max="5900" width="2.85546875" customWidth="1"/>
    <col min="5901" max="5901" width="35.42578125" bestFit="1" customWidth="1"/>
    <col min="5902" max="5902" width="20.140625" customWidth="1"/>
    <col min="6145" max="6145" width="4.85546875" customWidth="1"/>
    <col min="6146" max="6146" width="1.7109375" customWidth="1"/>
    <col min="6147" max="6147" width="46" customWidth="1"/>
    <col min="6148" max="6148" width="1.7109375" customWidth="1"/>
    <col min="6149" max="6149" width="34" customWidth="1"/>
    <col min="6150" max="6150" width="1.7109375" customWidth="1"/>
    <col min="6151" max="6151" width="16" customWidth="1"/>
    <col min="6152" max="6152" width="1.7109375" customWidth="1"/>
    <col min="6153" max="6153" width="14" customWidth="1"/>
    <col min="6154" max="6154" width="1.7109375" customWidth="1"/>
    <col min="6155" max="6155" width="11.5703125" customWidth="1"/>
    <col min="6156" max="6156" width="2.85546875" customWidth="1"/>
    <col min="6157" max="6157" width="35.42578125" bestFit="1" customWidth="1"/>
    <col min="6158" max="6158" width="20.140625" customWidth="1"/>
    <col min="6401" max="6401" width="4.85546875" customWidth="1"/>
    <col min="6402" max="6402" width="1.7109375" customWidth="1"/>
    <col min="6403" max="6403" width="46" customWidth="1"/>
    <col min="6404" max="6404" width="1.7109375" customWidth="1"/>
    <col min="6405" max="6405" width="34" customWidth="1"/>
    <col min="6406" max="6406" width="1.7109375" customWidth="1"/>
    <col min="6407" max="6407" width="16" customWidth="1"/>
    <col min="6408" max="6408" width="1.7109375" customWidth="1"/>
    <col min="6409" max="6409" width="14" customWidth="1"/>
    <col min="6410" max="6410" width="1.7109375" customWidth="1"/>
    <col min="6411" max="6411" width="11.5703125" customWidth="1"/>
    <col min="6412" max="6412" width="2.85546875" customWidth="1"/>
    <col min="6413" max="6413" width="35.42578125" bestFit="1" customWidth="1"/>
    <col min="6414" max="6414" width="20.140625" customWidth="1"/>
    <col min="6657" max="6657" width="4.85546875" customWidth="1"/>
    <col min="6658" max="6658" width="1.7109375" customWidth="1"/>
    <col min="6659" max="6659" width="46" customWidth="1"/>
    <col min="6660" max="6660" width="1.7109375" customWidth="1"/>
    <col min="6661" max="6661" width="34" customWidth="1"/>
    <col min="6662" max="6662" width="1.7109375" customWidth="1"/>
    <col min="6663" max="6663" width="16" customWidth="1"/>
    <col min="6664" max="6664" width="1.7109375" customWidth="1"/>
    <col min="6665" max="6665" width="14" customWidth="1"/>
    <col min="6666" max="6666" width="1.7109375" customWidth="1"/>
    <col min="6667" max="6667" width="11.5703125" customWidth="1"/>
    <col min="6668" max="6668" width="2.85546875" customWidth="1"/>
    <col min="6669" max="6669" width="35.42578125" bestFit="1" customWidth="1"/>
    <col min="6670" max="6670" width="20.140625" customWidth="1"/>
    <col min="6913" max="6913" width="4.85546875" customWidth="1"/>
    <col min="6914" max="6914" width="1.7109375" customWidth="1"/>
    <col min="6915" max="6915" width="46" customWidth="1"/>
    <col min="6916" max="6916" width="1.7109375" customWidth="1"/>
    <col min="6917" max="6917" width="34" customWidth="1"/>
    <col min="6918" max="6918" width="1.7109375" customWidth="1"/>
    <col min="6919" max="6919" width="16" customWidth="1"/>
    <col min="6920" max="6920" width="1.7109375" customWidth="1"/>
    <col min="6921" max="6921" width="14" customWidth="1"/>
    <col min="6922" max="6922" width="1.7109375" customWidth="1"/>
    <col min="6923" max="6923" width="11.5703125" customWidth="1"/>
    <col min="6924" max="6924" width="2.85546875" customWidth="1"/>
    <col min="6925" max="6925" width="35.42578125" bestFit="1" customWidth="1"/>
    <col min="6926" max="6926" width="20.140625" customWidth="1"/>
    <col min="7169" max="7169" width="4.85546875" customWidth="1"/>
    <col min="7170" max="7170" width="1.7109375" customWidth="1"/>
    <col min="7171" max="7171" width="46" customWidth="1"/>
    <col min="7172" max="7172" width="1.7109375" customWidth="1"/>
    <col min="7173" max="7173" width="34" customWidth="1"/>
    <col min="7174" max="7174" width="1.7109375" customWidth="1"/>
    <col min="7175" max="7175" width="16" customWidth="1"/>
    <col min="7176" max="7176" width="1.7109375" customWidth="1"/>
    <col min="7177" max="7177" width="14" customWidth="1"/>
    <col min="7178" max="7178" width="1.7109375" customWidth="1"/>
    <col min="7179" max="7179" width="11.5703125" customWidth="1"/>
    <col min="7180" max="7180" width="2.85546875" customWidth="1"/>
    <col min="7181" max="7181" width="35.42578125" bestFit="1" customWidth="1"/>
    <col min="7182" max="7182" width="20.140625" customWidth="1"/>
    <col min="7425" max="7425" width="4.85546875" customWidth="1"/>
    <col min="7426" max="7426" width="1.7109375" customWidth="1"/>
    <col min="7427" max="7427" width="46" customWidth="1"/>
    <col min="7428" max="7428" width="1.7109375" customWidth="1"/>
    <col min="7429" max="7429" width="34" customWidth="1"/>
    <col min="7430" max="7430" width="1.7109375" customWidth="1"/>
    <col min="7431" max="7431" width="16" customWidth="1"/>
    <col min="7432" max="7432" width="1.7109375" customWidth="1"/>
    <col min="7433" max="7433" width="14" customWidth="1"/>
    <col min="7434" max="7434" width="1.7109375" customWidth="1"/>
    <col min="7435" max="7435" width="11.5703125" customWidth="1"/>
    <col min="7436" max="7436" width="2.85546875" customWidth="1"/>
    <col min="7437" max="7437" width="35.42578125" bestFit="1" customWidth="1"/>
    <col min="7438" max="7438" width="20.140625" customWidth="1"/>
    <col min="7681" max="7681" width="4.85546875" customWidth="1"/>
    <col min="7682" max="7682" width="1.7109375" customWidth="1"/>
    <col min="7683" max="7683" width="46" customWidth="1"/>
    <col min="7684" max="7684" width="1.7109375" customWidth="1"/>
    <col min="7685" max="7685" width="34" customWidth="1"/>
    <col min="7686" max="7686" width="1.7109375" customWidth="1"/>
    <col min="7687" max="7687" width="16" customWidth="1"/>
    <col min="7688" max="7688" width="1.7109375" customWidth="1"/>
    <col min="7689" max="7689" width="14" customWidth="1"/>
    <col min="7690" max="7690" width="1.7109375" customWidth="1"/>
    <col min="7691" max="7691" width="11.5703125" customWidth="1"/>
    <col min="7692" max="7692" width="2.85546875" customWidth="1"/>
    <col min="7693" max="7693" width="35.42578125" bestFit="1" customWidth="1"/>
    <col min="7694" max="7694" width="20.140625" customWidth="1"/>
    <col min="7937" max="7937" width="4.85546875" customWidth="1"/>
    <col min="7938" max="7938" width="1.7109375" customWidth="1"/>
    <col min="7939" max="7939" width="46" customWidth="1"/>
    <col min="7940" max="7940" width="1.7109375" customWidth="1"/>
    <col min="7941" max="7941" width="34" customWidth="1"/>
    <col min="7942" max="7942" width="1.7109375" customWidth="1"/>
    <col min="7943" max="7943" width="16" customWidth="1"/>
    <col min="7944" max="7944" width="1.7109375" customWidth="1"/>
    <col min="7945" max="7945" width="14" customWidth="1"/>
    <col min="7946" max="7946" width="1.7109375" customWidth="1"/>
    <col min="7947" max="7947" width="11.5703125" customWidth="1"/>
    <col min="7948" max="7948" width="2.85546875" customWidth="1"/>
    <col min="7949" max="7949" width="35.42578125" bestFit="1" customWidth="1"/>
    <col min="7950" max="7950" width="20.140625" customWidth="1"/>
    <col min="8193" max="8193" width="4.85546875" customWidth="1"/>
    <col min="8194" max="8194" width="1.7109375" customWidth="1"/>
    <col min="8195" max="8195" width="46" customWidth="1"/>
    <col min="8196" max="8196" width="1.7109375" customWidth="1"/>
    <col min="8197" max="8197" width="34" customWidth="1"/>
    <col min="8198" max="8198" width="1.7109375" customWidth="1"/>
    <col min="8199" max="8199" width="16" customWidth="1"/>
    <col min="8200" max="8200" width="1.7109375" customWidth="1"/>
    <col min="8201" max="8201" width="14" customWidth="1"/>
    <col min="8202" max="8202" width="1.7109375" customWidth="1"/>
    <col min="8203" max="8203" width="11.5703125" customWidth="1"/>
    <col min="8204" max="8204" width="2.85546875" customWidth="1"/>
    <col min="8205" max="8205" width="35.42578125" bestFit="1" customWidth="1"/>
    <col min="8206" max="8206" width="20.140625" customWidth="1"/>
    <col min="8449" max="8449" width="4.85546875" customWidth="1"/>
    <col min="8450" max="8450" width="1.7109375" customWidth="1"/>
    <col min="8451" max="8451" width="46" customWidth="1"/>
    <col min="8452" max="8452" width="1.7109375" customWidth="1"/>
    <col min="8453" max="8453" width="34" customWidth="1"/>
    <col min="8454" max="8454" width="1.7109375" customWidth="1"/>
    <col min="8455" max="8455" width="16" customWidth="1"/>
    <col min="8456" max="8456" width="1.7109375" customWidth="1"/>
    <col min="8457" max="8457" width="14" customWidth="1"/>
    <col min="8458" max="8458" width="1.7109375" customWidth="1"/>
    <col min="8459" max="8459" width="11.5703125" customWidth="1"/>
    <col min="8460" max="8460" width="2.85546875" customWidth="1"/>
    <col min="8461" max="8461" width="35.42578125" bestFit="1" customWidth="1"/>
    <col min="8462" max="8462" width="20.140625" customWidth="1"/>
    <col min="8705" max="8705" width="4.85546875" customWidth="1"/>
    <col min="8706" max="8706" width="1.7109375" customWidth="1"/>
    <col min="8707" max="8707" width="46" customWidth="1"/>
    <col min="8708" max="8708" width="1.7109375" customWidth="1"/>
    <col min="8709" max="8709" width="34" customWidth="1"/>
    <col min="8710" max="8710" width="1.7109375" customWidth="1"/>
    <col min="8711" max="8711" width="16" customWidth="1"/>
    <col min="8712" max="8712" width="1.7109375" customWidth="1"/>
    <col min="8713" max="8713" width="14" customWidth="1"/>
    <col min="8714" max="8714" width="1.7109375" customWidth="1"/>
    <col min="8715" max="8715" width="11.5703125" customWidth="1"/>
    <col min="8716" max="8716" width="2.85546875" customWidth="1"/>
    <col min="8717" max="8717" width="35.42578125" bestFit="1" customWidth="1"/>
    <col min="8718" max="8718" width="20.140625" customWidth="1"/>
    <col min="8961" max="8961" width="4.85546875" customWidth="1"/>
    <col min="8962" max="8962" width="1.7109375" customWidth="1"/>
    <col min="8963" max="8963" width="46" customWidth="1"/>
    <col min="8964" max="8964" width="1.7109375" customWidth="1"/>
    <col min="8965" max="8965" width="34" customWidth="1"/>
    <col min="8966" max="8966" width="1.7109375" customWidth="1"/>
    <col min="8967" max="8967" width="16" customWidth="1"/>
    <col min="8968" max="8968" width="1.7109375" customWidth="1"/>
    <col min="8969" max="8969" width="14" customWidth="1"/>
    <col min="8970" max="8970" width="1.7109375" customWidth="1"/>
    <col min="8971" max="8971" width="11.5703125" customWidth="1"/>
    <col min="8972" max="8972" width="2.85546875" customWidth="1"/>
    <col min="8973" max="8973" width="35.42578125" bestFit="1" customWidth="1"/>
    <col min="8974" max="8974" width="20.140625" customWidth="1"/>
    <col min="9217" max="9217" width="4.85546875" customWidth="1"/>
    <col min="9218" max="9218" width="1.7109375" customWidth="1"/>
    <col min="9219" max="9219" width="46" customWidth="1"/>
    <col min="9220" max="9220" width="1.7109375" customWidth="1"/>
    <col min="9221" max="9221" width="34" customWidth="1"/>
    <col min="9222" max="9222" width="1.7109375" customWidth="1"/>
    <col min="9223" max="9223" width="16" customWidth="1"/>
    <col min="9224" max="9224" width="1.7109375" customWidth="1"/>
    <col min="9225" max="9225" width="14" customWidth="1"/>
    <col min="9226" max="9226" width="1.7109375" customWidth="1"/>
    <col min="9227" max="9227" width="11.5703125" customWidth="1"/>
    <col min="9228" max="9228" width="2.85546875" customWidth="1"/>
    <col min="9229" max="9229" width="35.42578125" bestFit="1" customWidth="1"/>
    <col min="9230" max="9230" width="20.140625" customWidth="1"/>
    <col min="9473" max="9473" width="4.85546875" customWidth="1"/>
    <col min="9474" max="9474" width="1.7109375" customWidth="1"/>
    <col min="9475" max="9475" width="46" customWidth="1"/>
    <col min="9476" max="9476" width="1.7109375" customWidth="1"/>
    <col min="9477" max="9477" width="34" customWidth="1"/>
    <col min="9478" max="9478" width="1.7109375" customWidth="1"/>
    <col min="9479" max="9479" width="16" customWidth="1"/>
    <col min="9480" max="9480" width="1.7109375" customWidth="1"/>
    <col min="9481" max="9481" width="14" customWidth="1"/>
    <col min="9482" max="9482" width="1.7109375" customWidth="1"/>
    <col min="9483" max="9483" width="11.5703125" customWidth="1"/>
    <col min="9484" max="9484" width="2.85546875" customWidth="1"/>
    <col min="9485" max="9485" width="35.42578125" bestFit="1" customWidth="1"/>
    <col min="9486" max="9486" width="20.140625" customWidth="1"/>
    <col min="9729" max="9729" width="4.85546875" customWidth="1"/>
    <col min="9730" max="9730" width="1.7109375" customWidth="1"/>
    <col min="9731" max="9731" width="46" customWidth="1"/>
    <col min="9732" max="9732" width="1.7109375" customWidth="1"/>
    <col min="9733" max="9733" width="34" customWidth="1"/>
    <col min="9734" max="9734" width="1.7109375" customWidth="1"/>
    <col min="9735" max="9735" width="16" customWidth="1"/>
    <col min="9736" max="9736" width="1.7109375" customWidth="1"/>
    <col min="9737" max="9737" width="14" customWidth="1"/>
    <col min="9738" max="9738" width="1.7109375" customWidth="1"/>
    <col min="9739" max="9739" width="11.5703125" customWidth="1"/>
    <col min="9740" max="9740" width="2.85546875" customWidth="1"/>
    <col min="9741" max="9741" width="35.42578125" bestFit="1" customWidth="1"/>
    <col min="9742" max="9742" width="20.140625" customWidth="1"/>
    <col min="9985" max="9985" width="4.85546875" customWidth="1"/>
    <col min="9986" max="9986" width="1.7109375" customWidth="1"/>
    <col min="9987" max="9987" width="46" customWidth="1"/>
    <col min="9988" max="9988" width="1.7109375" customWidth="1"/>
    <col min="9989" max="9989" width="34" customWidth="1"/>
    <col min="9990" max="9990" width="1.7109375" customWidth="1"/>
    <col min="9991" max="9991" width="16" customWidth="1"/>
    <col min="9992" max="9992" width="1.7109375" customWidth="1"/>
    <col min="9993" max="9993" width="14" customWidth="1"/>
    <col min="9994" max="9994" width="1.7109375" customWidth="1"/>
    <col min="9995" max="9995" width="11.5703125" customWidth="1"/>
    <col min="9996" max="9996" width="2.85546875" customWidth="1"/>
    <col min="9997" max="9997" width="35.42578125" bestFit="1" customWidth="1"/>
    <col min="9998" max="9998" width="20.140625" customWidth="1"/>
    <col min="10241" max="10241" width="4.85546875" customWidth="1"/>
    <col min="10242" max="10242" width="1.7109375" customWidth="1"/>
    <col min="10243" max="10243" width="46" customWidth="1"/>
    <col min="10244" max="10244" width="1.7109375" customWidth="1"/>
    <col min="10245" max="10245" width="34" customWidth="1"/>
    <col min="10246" max="10246" width="1.7109375" customWidth="1"/>
    <col min="10247" max="10247" width="16" customWidth="1"/>
    <col min="10248" max="10248" width="1.7109375" customWidth="1"/>
    <col min="10249" max="10249" width="14" customWidth="1"/>
    <col min="10250" max="10250" width="1.7109375" customWidth="1"/>
    <col min="10251" max="10251" width="11.5703125" customWidth="1"/>
    <col min="10252" max="10252" width="2.85546875" customWidth="1"/>
    <col min="10253" max="10253" width="35.42578125" bestFit="1" customWidth="1"/>
    <col min="10254" max="10254" width="20.140625" customWidth="1"/>
    <col min="10497" max="10497" width="4.85546875" customWidth="1"/>
    <col min="10498" max="10498" width="1.7109375" customWidth="1"/>
    <col min="10499" max="10499" width="46" customWidth="1"/>
    <col min="10500" max="10500" width="1.7109375" customWidth="1"/>
    <col min="10501" max="10501" width="34" customWidth="1"/>
    <col min="10502" max="10502" width="1.7109375" customWidth="1"/>
    <col min="10503" max="10503" width="16" customWidth="1"/>
    <col min="10504" max="10504" width="1.7109375" customWidth="1"/>
    <col min="10505" max="10505" width="14" customWidth="1"/>
    <col min="10506" max="10506" width="1.7109375" customWidth="1"/>
    <col min="10507" max="10507" width="11.5703125" customWidth="1"/>
    <col min="10508" max="10508" width="2.85546875" customWidth="1"/>
    <col min="10509" max="10509" width="35.42578125" bestFit="1" customWidth="1"/>
    <col min="10510" max="10510" width="20.140625" customWidth="1"/>
    <col min="10753" max="10753" width="4.85546875" customWidth="1"/>
    <col min="10754" max="10754" width="1.7109375" customWidth="1"/>
    <col min="10755" max="10755" width="46" customWidth="1"/>
    <col min="10756" max="10756" width="1.7109375" customWidth="1"/>
    <col min="10757" max="10757" width="34" customWidth="1"/>
    <col min="10758" max="10758" width="1.7109375" customWidth="1"/>
    <col min="10759" max="10759" width="16" customWidth="1"/>
    <col min="10760" max="10760" width="1.7109375" customWidth="1"/>
    <col min="10761" max="10761" width="14" customWidth="1"/>
    <col min="10762" max="10762" width="1.7109375" customWidth="1"/>
    <col min="10763" max="10763" width="11.5703125" customWidth="1"/>
    <col min="10764" max="10764" width="2.85546875" customWidth="1"/>
    <col min="10765" max="10765" width="35.42578125" bestFit="1" customWidth="1"/>
    <col min="10766" max="10766" width="20.140625" customWidth="1"/>
    <col min="11009" max="11009" width="4.85546875" customWidth="1"/>
    <col min="11010" max="11010" width="1.7109375" customWidth="1"/>
    <col min="11011" max="11011" width="46" customWidth="1"/>
    <col min="11012" max="11012" width="1.7109375" customWidth="1"/>
    <col min="11013" max="11013" width="34" customWidth="1"/>
    <col min="11014" max="11014" width="1.7109375" customWidth="1"/>
    <col min="11015" max="11015" width="16" customWidth="1"/>
    <col min="11016" max="11016" width="1.7109375" customWidth="1"/>
    <col min="11017" max="11017" width="14" customWidth="1"/>
    <col min="11018" max="11018" width="1.7109375" customWidth="1"/>
    <col min="11019" max="11019" width="11.5703125" customWidth="1"/>
    <col min="11020" max="11020" width="2.85546875" customWidth="1"/>
    <col min="11021" max="11021" width="35.42578125" bestFit="1" customWidth="1"/>
    <col min="11022" max="11022" width="20.140625" customWidth="1"/>
    <col min="11265" max="11265" width="4.85546875" customWidth="1"/>
    <col min="11266" max="11266" width="1.7109375" customWidth="1"/>
    <col min="11267" max="11267" width="46" customWidth="1"/>
    <col min="11268" max="11268" width="1.7109375" customWidth="1"/>
    <col min="11269" max="11269" width="34" customWidth="1"/>
    <col min="11270" max="11270" width="1.7109375" customWidth="1"/>
    <col min="11271" max="11271" width="16" customWidth="1"/>
    <col min="11272" max="11272" width="1.7109375" customWidth="1"/>
    <col min="11273" max="11273" width="14" customWidth="1"/>
    <col min="11274" max="11274" width="1.7109375" customWidth="1"/>
    <col min="11275" max="11275" width="11.5703125" customWidth="1"/>
    <col min="11276" max="11276" width="2.85546875" customWidth="1"/>
    <col min="11277" max="11277" width="35.42578125" bestFit="1" customWidth="1"/>
    <col min="11278" max="11278" width="20.140625" customWidth="1"/>
    <col min="11521" max="11521" width="4.85546875" customWidth="1"/>
    <col min="11522" max="11522" width="1.7109375" customWidth="1"/>
    <col min="11523" max="11523" width="46" customWidth="1"/>
    <col min="11524" max="11524" width="1.7109375" customWidth="1"/>
    <col min="11525" max="11525" width="34" customWidth="1"/>
    <col min="11526" max="11526" width="1.7109375" customWidth="1"/>
    <col min="11527" max="11527" width="16" customWidth="1"/>
    <col min="11528" max="11528" width="1.7109375" customWidth="1"/>
    <col min="11529" max="11529" width="14" customWidth="1"/>
    <col min="11530" max="11530" width="1.7109375" customWidth="1"/>
    <col min="11531" max="11531" width="11.5703125" customWidth="1"/>
    <col min="11532" max="11532" width="2.85546875" customWidth="1"/>
    <col min="11533" max="11533" width="35.42578125" bestFit="1" customWidth="1"/>
    <col min="11534" max="11534" width="20.140625" customWidth="1"/>
    <col min="11777" max="11777" width="4.85546875" customWidth="1"/>
    <col min="11778" max="11778" width="1.7109375" customWidth="1"/>
    <col min="11779" max="11779" width="46" customWidth="1"/>
    <col min="11780" max="11780" width="1.7109375" customWidth="1"/>
    <col min="11781" max="11781" width="34" customWidth="1"/>
    <col min="11782" max="11782" width="1.7109375" customWidth="1"/>
    <col min="11783" max="11783" width="16" customWidth="1"/>
    <col min="11784" max="11784" width="1.7109375" customWidth="1"/>
    <col min="11785" max="11785" width="14" customWidth="1"/>
    <col min="11786" max="11786" width="1.7109375" customWidth="1"/>
    <col min="11787" max="11787" width="11.5703125" customWidth="1"/>
    <col min="11788" max="11788" width="2.85546875" customWidth="1"/>
    <col min="11789" max="11789" width="35.42578125" bestFit="1" customWidth="1"/>
    <col min="11790" max="11790" width="20.140625" customWidth="1"/>
    <col min="12033" max="12033" width="4.85546875" customWidth="1"/>
    <col min="12034" max="12034" width="1.7109375" customWidth="1"/>
    <col min="12035" max="12035" width="46" customWidth="1"/>
    <col min="12036" max="12036" width="1.7109375" customWidth="1"/>
    <col min="12037" max="12037" width="34" customWidth="1"/>
    <col min="12038" max="12038" width="1.7109375" customWidth="1"/>
    <col min="12039" max="12039" width="16" customWidth="1"/>
    <col min="12040" max="12040" width="1.7109375" customWidth="1"/>
    <col min="12041" max="12041" width="14" customWidth="1"/>
    <col min="12042" max="12042" width="1.7109375" customWidth="1"/>
    <col min="12043" max="12043" width="11.5703125" customWidth="1"/>
    <col min="12044" max="12044" width="2.85546875" customWidth="1"/>
    <col min="12045" max="12045" width="35.42578125" bestFit="1" customWidth="1"/>
    <col min="12046" max="12046" width="20.140625" customWidth="1"/>
    <col min="12289" max="12289" width="4.85546875" customWidth="1"/>
    <col min="12290" max="12290" width="1.7109375" customWidth="1"/>
    <col min="12291" max="12291" width="46" customWidth="1"/>
    <col min="12292" max="12292" width="1.7109375" customWidth="1"/>
    <col min="12293" max="12293" width="34" customWidth="1"/>
    <col min="12294" max="12294" width="1.7109375" customWidth="1"/>
    <col min="12295" max="12295" width="16" customWidth="1"/>
    <col min="12296" max="12296" width="1.7109375" customWidth="1"/>
    <col min="12297" max="12297" width="14" customWidth="1"/>
    <col min="12298" max="12298" width="1.7109375" customWidth="1"/>
    <col min="12299" max="12299" width="11.5703125" customWidth="1"/>
    <col min="12300" max="12300" width="2.85546875" customWidth="1"/>
    <col min="12301" max="12301" width="35.42578125" bestFit="1" customWidth="1"/>
    <col min="12302" max="12302" width="20.140625" customWidth="1"/>
    <col min="12545" max="12545" width="4.85546875" customWidth="1"/>
    <col min="12546" max="12546" width="1.7109375" customWidth="1"/>
    <col min="12547" max="12547" width="46" customWidth="1"/>
    <col min="12548" max="12548" width="1.7109375" customWidth="1"/>
    <col min="12549" max="12549" width="34" customWidth="1"/>
    <col min="12550" max="12550" width="1.7109375" customWidth="1"/>
    <col min="12551" max="12551" width="16" customWidth="1"/>
    <col min="12552" max="12552" width="1.7109375" customWidth="1"/>
    <col min="12553" max="12553" width="14" customWidth="1"/>
    <col min="12554" max="12554" width="1.7109375" customWidth="1"/>
    <col min="12555" max="12555" width="11.5703125" customWidth="1"/>
    <col min="12556" max="12556" width="2.85546875" customWidth="1"/>
    <col min="12557" max="12557" width="35.42578125" bestFit="1" customWidth="1"/>
    <col min="12558" max="12558" width="20.140625" customWidth="1"/>
    <col min="12801" max="12801" width="4.85546875" customWidth="1"/>
    <col min="12802" max="12802" width="1.7109375" customWidth="1"/>
    <col min="12803" max="12803" width="46" customWidth="1"/>
    <col min="12804" max="12804" width="1.7109375" customWidth="1"/>
    <col min="12805" max="12805" width="34" customWidth="1"/>
    <col min="12806" max="12806" width="1.7109375" customWidth="1"/>
    <col min="12807" max="12807" width="16" customWidth="1"/>
    <col min="12808" max="12808" width="1.7109375" customWidth="1"/>
    <col min="12809" max="12809" width="14" customWidth="1"/>
    <col min="12810" max="12810" width="1.7109375" customWidth="1"/>
    <col min="12811" max="12811" width="11.5703125" customWidth="1"/>
    <col min="12812" max="12812" width="2.85546875" customWidth="1"/>
    <col min="12813" max="12813" width="35.42578125" bestFit="1" customWidth="1"/>
    <col min="12814" max="12814" width="20.140625" customWidth="1"/>
    <col min="13057" max="13057" width="4.85546875" customWidth="1"/>
    <col min="13058" max="13058" width="1.7109375" customWidth="1"/>
    <col min="13059" max="13059" width="46" customWidth="1"/>
    <col min="13060" max="13060" width="1.7109375" customWidth="1"/>
    <col min="13061" max="13061" width="34" customWidth="1"/>
    <col min="13062" max="13062" width="1.7109375" customWidth="1"/>
    <col min="13063" max="13063" width="16" customWidth="1"/>
    <col min="13064" max="13064" width="1.7109375" customWidth="1"/>
    <col min="13065" max="13065" width="14" customWidth="1"/>
    <col min="13066" max="13066" width="1.7109375" customWidth="1"/>
    <col min="13067" max="13067" width="11.5703125" customWidth="1"/>
    <col min="13068" max="13068" width="2.85546875" customWidth="1"/>
    <col min="13069" max="13069" width="35.42578125" bestFit="1" customWidth="1"/>
    <col min="13070" max="13070" width="20.140625" customWidth="1"/>
    <col min="13313" max="13313" width="4.85546875" customWidth="1"/>
    <col min="13314" max="13314" width="1.7109375" customWidth="1"/>
    <col min="13315" max="13315" width="46" customWidth="1"/>
    <col min="13316" max="13316" width="1.7109375" customWidth="1"/>
    <col min="13317" max="13317" width="34" customWidth="1"/>
    <col min="13318" max="13318" width="1.7109375" customWidth="1"/>
    <col min="13319" max="13319" width="16" customWidth="1"/>
    <col min="13320" max="13320" width="1.7109375" customWidth="1"/>
    <col min="13321" max="13321" width="14" customWidth="1"/>
    <col min="13322" max="13322" width="1.7109375" customWidth="1"/>
    <col min="13323" max="13323" width="11.5703125" customWidth="1"/>
    <col min="13324" max="13324" width="2.85546875" customWidth="1"/>
    <col min="13325" max="13325" width="35.42578125" bestFit="1" customWidth="1"/>
    <col min="13326" max="13326" width="20.140625" customWidth="1"/>
    <col min="13569" max="13569" width="4.85546875" customWidth="1"/>
    <col min="13570" max="13570" width="1.7109375" customWidth="1"/>
    <col min="13571" max="13571" width="46" customWidth="1"/>
    <col min="13572" max="13572" width="1.7109375" customWidth="1"/>
    <col min="13573" max="13573" width="34" customWidth="1"/>
    <col min="13574" max="13574" width="1.7109375" customWidth="1"/>
    <col min="13575" max="13575" width="16" customWidth="1"/>
    <col min="13576" max="13576" width="1.7109375" customWidth="1"/>
    <col min="13577" max="13577" width="14" customWidth="1"/>
    <col min="13578" max="13578" width="1.7109375" customWidth="1"/>
    <col min="13579" max="13579" width="11.5703125" customWidth="1"/>
    <col min="13580" max="13580" width="2.85546875" customWidth="1"/>
    <col min="13581" max="13581" width="35.42578125" bestFit="1" customWidth="1"/>
    <col min="13582" max="13582" width="20.140625" customWidth="1"/>
    <col min="13825" max="13825" width="4.85546875" customWidth="1"/>
    <col min="13826" max="13826" width="1.7109375" customWidth="1"/>
    <col min="13827" max="13827" width="46" customWidth="1"/>
    <col min="13828" max="13828" width="1.7109375" customWidth="1"/>
    <col min="13829" max="13829" width="34" customWidth="1"/>
    <col min="13830" max="13830" width="1.7109375" customWidth="1"/>
    <col min="13831" max="13831" width="16" customWidth="1"/>
    <col min="13832" max="13832" width="1.7109375" customWidth="1"/>
    <col min="13833" max="13833" width="14" customWidth="1"/>
    <col min="13834" max="13834" width="1.7109375" customWidth="1"/>
    <col min="13835" max="13835" width="11.5703125" customWidth="1"/>
    <col min="13836" max="13836" width="2.85546875" customWidth="1"/>
    <col min="13837" max="13837" width="35.42578125" bestFit="1" customWidth="1"/>
    <col min="13838" max="13838" width="20.140625" customWidth="1"/>
    <col min="14081" max="14081" width="4.85546875" customWidth="1"/>
    <col min="14082" max="14082" width="1.7109375" customWidth="1"/>
    <col min="14083" max="14083" width="46" customWidth="1"/>
    <col min="14084" max="14084" width="1.7109375" customWidth="1"/>
    <col min="14085" max="14085" width="34" customWidth="1"/>
    <col min="14086" max="14086" width="1.7109375" customWidth="1"/>
    <col min="14087" max="14087" width="16" customWidth="1"/>
    <col min="14088" max="14088" width="1.7109375" customWidth="1"/>
    <col min="14089" max="14089" width="14" customWidth="1"/>
    <col min="14090" max="14090" width="1.7109375" customWidth="1"/>
    <col min="14091" max="14091" width="11.5703125" customWidth="1"/>
    <col min="14092" max="14092" width="2.85546875" customWidth="1"/>
    <col min="14093" max="14093" width="35.42578125" bestFit="1" customWidth="1"/>
    <col min="14094" max="14094" width="20.140625" customWidth="1"/>
    <col min="14337" max="14337" width="4.85546875" customWidth="1"/>
    <col min="14338" max="14338" width="1.7109375" customWidth="1"/>
    <col min="14339" max="14339" width="46" customWidth="1"/>
    <col min="14340" max="14340" width="1.7109375" customWidth="1"/>
    <col min="14341" max="14341" width="34" customWidth="1"/>
    <col min="14342" max="14342" width="1.7109375" customWidth="1"/>
    <col min="14343" max="14343" width="16" customWidth="1"/>
    <col min="14344" max="14344" width="1.7109375" customWidth="1"/>
    <col min="14345" max="14345" width="14" customWidth="1"/>
    <col min="14346" max="14346" width="1.7109375" customWidth="1"/>
    <col min="14347" max="14347" width="11.5703125" customWidth="1"/>
    <col min="14348" max="14348" width="2.85546875" customWidth="1"/>
    <col min="14349" max="14349" width="35.42578125" bestFit="1" customWidth="1"/>
    <col min="14350" max="14350" width="20.140625" customWidth="1"/>
    <col min="14593" max="14593" width="4.85546875" customWidth="1"/>
    <col min="14594" max="14594" width="1.7109375" customWidth="1"/>
    <col min="14595" max="14595" width="46" customWidth="1"/>
    <col min="14596" max="14596" width="1.7109375" customWidth="1"/>
    <col min="14597" max="14597" width="34" customWidth="1"/>
    <col min="14598" max="14598" width="1.7109375" customWidth="1"/>
    <col min="14599" max="14599" width="16" customWidth="1"/>
    <col min="14600" max="14600" width="1.7109375" customWidth="1"/>
    <col min="14601" max="14601" width="14" customWidth="1"/>
    <col min="14602" max="14602" width="1.7109375" customWidth="1"/>
    <col min="14603" max="14603" width="11.5703125" customWidth="1"/>
    <col min="14604" max="14604" width="2.85546875" customWidth="1"/>
    <col min="14605" max="14605" width="35.42578125" bestFit="1" customWidth="1"/>
    <col min="14606" max="14606" width="20.140625" customWidth="1"/>
    <col min="14849" max="14849" width="4.85546875" customWidth="1"/>
    <col min="14850" max="14850" width="1.7109375" customWidth="1"/>
    <col min="14851" max="14851" width="46" customWidth="1"/>
    <col min="14852" max="14852" width="1.7109375" customWidth="1"/>
    <col min="14853" max="14853" width="34" customWidth="1"/>
    <col min="14854" max="14854" width="1.7109375" customWidth="1"/>
    <col min="14855" max="14855" width="16" customWidth="1"/>
    <col min="14856" max="14856" width="1.7109375" customWidth="1"/>
    <col min="14857" max="14857" width="14" customWidth="1"/>
    <col min="14858" max="14858" width="1.7109375" customWidth="1"/>
    <col min="14859" max="14859" width="11.5703125" customWidth="1"/>
    <col min="14860" max="14860" width="2.85546875" customWidth="1"/>
    <col min="14861" max="14861" width="35.42578125" bestFit="1" customWidth="1"/>
    <col min="14862" max="14862" width="20.140625" customWidth="1"/>
    <col min="15105" max="15105" width="4.85546875" customWidth="1"/>
    <col min="15106" max="15106" width="1.7109375" customWidth="1"/>
    <col min="15107" max="15107" width="46" customWidth="1"/>
    <col min="15108" max="15108" width="1.7109375" customWidth="1"/>
    <col min="15109" max="15109" width="34" customWidth="1"/>
    <col min="15110" max="15110" width="1.7109375" customWidth="1"/>
    <col min="15111" max="15111" width="16" customWidth="1"/>
    <col min="15112" max="15112" width="1.7109375" customWidth="1"/>
    <col min="15113" max="15113" width="14" customWidth="1"/>
    <col min="15114" max="15114" width="1.7109375" customWidth="1"/>
    <col min="15115" max="15115" width="11.5703125" customWidth="1"/>
    <col min="15116" max="15116" width="2.85546875" customWidth="1"/>
    <col min="15117" max="15117" width="35.42578125" bestFit="1" customWidth="1"/>
    <col min="15118" max="15118" width="20.140625" customWidth="1"/>
    <col min="15361" max="15361" width="4.85546875" customWidth="1"/>
    <col min="15362" max="15362" width="1.7109375" customWidth="1"/>
    <col min="15363" max="15363" width="46" customWidth="1"/>
    <col min="15364" max="15364" width="1.7109375" customWidth="1"/>
    <col min="15365" max="15365" width="34" customWidth="1"/>
    <col min="15366" max="15366" width="1.7109375" customWidth="1"/>
    <col min="15367" max="15367" width="16" customWidth="1"/>
    <col min="15368" max="15368" width="1.7109375" customWidth="1"/>
    <col min="15369" max="15369" width="14" customWidth="1"/>
    <col min="15370" max="15370" width="1.7109375" customWidth="1"/>
    <col min="15371" max="15371" width="11.5703125" customWidth="1"/>
    <col min="15372" max="15372" width="2.85546875" customWidth="1"/>
    <col min="15373" max="15373" width="35.42578125" bestFit="1" customWidth="1"/>
    <col min="15374" max="15374" width="20.140625" customWidth="1"/>
    <col min="15617" max="15617" width="4.85546875" customWidth="1"/>
    <col min="15618" max="15618" width="1.7109375" customWidth="1"/>
    <col min="15619" max="15619" width="46" customWidth="1"/>
    <col min="15620" max="15620" width="1.7109375" customWidth="1"/>
    <col min="15621" max="15621" width="34" customWidth="1"/>
    <col min="15622" max="15622" width="1.7109375" customWidth="1"/>
    <col min="15623" max="15623" width="16" customWidth="1"/>
    <col min="15624" max="15624" width="1.7109375" customWidth="1"/>
    <col min="15625" max="15625" width="14" customWidth="1"/>
    <col min="15626" max="15626" width="1.7109375" customWidth="1"/>
    <col min="15627" max="15627" width="11.5703125" customWidth="1"/>
    <col min="15628" max="15628" width="2.85546875" customWidth="1"/>
    <col min="15629" max="15629" width="35.42578125" bestFit="1" customWidth="1"/>
    <col min="15630" max="15630" width="20.140625" customWidth="1"/>
    <col min="15873" max="15873" width="4.85546875" customWidth="1"/>
    <col min="15874" max="15874" width="1.7109375" customWidth="1"/>
    <col min="15875" max="15875" width="46" customWidth="1"/>
    <col min="15876" max="15876" width="1.7109375" customWidth="1"/>
    <col min="15877" max="15877" width="34" customWidth="1"/>
    <col min="15878" max="15878" width="1.7109375" customWidth="1"/>
    <col min="15879" max="15879" width="16" customWidth="1"/>
    <col min="15880" max="15880" width="1.7109375" customWidth="1"/>
    <col min="15881" max="15881" width="14" customWidth="1"/>
    <col min="15882" max="15882" width="1.7109375" customWidth="1"/>
    <col min="15883" max="15883" width="11.5703125" customWidth="1"/>
    <col min="15884" max="15884" width="2.85546875" customWidth="1"/>
    <col min="15885" max="15885" width="35.42578125" bestFit="1" customWidth="1"/>
    <col min="15886" max="15886" width="20.140625" customWidth="1"/>
    <col min="16129" max="16129" width="4.85546875" customWidth="1"/>
    <col min="16130" max="16130" width="1.7109375" customWidth="1"/>
    <col min="16131" max="16131" width="46" customWidth="1"/>
    <col min="16132" max="16132" width="1.7109375" customWidth="1"/>
    <col min="16133" max="16133" width="34" customWidth="1"/>
    <col min="16134" max="16134" width="1.7109375" customWidth="1"/>
    <col min="16135" max="16135" width="16" customWidth="1"/>
    <col min="16136" max="16136" width="1.7109375" customWidth="1"/>
    <col min="16137" max="16137" width="14" customWidth="1"/>
    <col min="16138" max="16138" width="1.7109375" customWidth="1"/>
    <col min="16139" max="16139" width="11.5703125" customWidth="1"/>
    <col min="16140" max="16140" width="2.85546875" customWidth="1"/>
    <col min="16141" max="16141" width="35.42578125" bestFit="1" customWidth="1"/>
    <col min="16142" max="16142" width="20.140625" customWidth="1"/>
  </cols>
  <sheetData>
    <row r="1" spans="1:20">
      <c r="A1" s="795" t="s">
        <v>2416</v>
      </c>
      <c r="B1" s="795"/>
      <c r="C1" s="796"/>
      <c r="D1" s="796"/>
      <c r="G1" s="796"/>
      <c r="H1" s="796"/>
      <c r="I1" s="796"/>
      <c r="J1" s="796"/>
      <c r="K1" s="796"/>
      <c r="L1" s="796"/>
      <c r="M1" s="796"/>
      <c r="N1" s="14"/>
      <c r="O1" s="14"/>
      <c r="P1" s="14"/>
      <c r="Q1" s="14"/>
      <c r="R1" s="14"/>
      <c r="S1" s="14"/>
      <c r="T1" s="14"/>
    </row>
    <row r="2" spans="1:20">
      <c r="A2" s="14"/>
      <c r="B2" s="14"/>
      <c r="C2" s="524"/>
      <c r="D2" s="14"/>
      <c r="E2" s="14"/>
      <c r="F2" s="14"/>
      <c r="G2" s="14"/>
      <c r="H2" s="14"/>
      <c r="I2" s="14"/>
      <c r="J2" s="14"/>
      <c r="K2" s="14"/>
      <c r="L2" s="14"/>
      <c r="M2" s="14"/>
      <c r="N2" s="14"/>
      <c r="O2" s="14"/>
      <c r="P2" s="14"/>
      <c r="Q2" s="14"/>
      <c r="R2" s="14"/>
      <c r="S2" s="14"/>
      <c r="T2" s="14"/>
    </row>
    <row r="3" spans="1:20">
      <c r="A3" s="797" t="s">
        <v>360</v>
      </c>
      <c r="B3" s="797"/>
      <c r="C3" s="796"/>
      <c r="D3" s="796"/>
      <c r="E3" s="796"/>
      <c r="F3" s="796"/>
      <c r="G3" s="796"/>
      <c r="H3" s="796"/>
      <c r="I3" s="796"/>
      <c r="J3" s="796"/>
      <c r="K3" s="796"/>
      <c r="L3" s="796"/>
      <c r="M3" s="796"/>
      <c r="N3" s="14"/>
      <c r="O3" s="14"/>
      <c r="P3" s="14"/>
      <c r="Q3" s="14"/>
      <c r="R3" s="14"/>
      <c r="S3" s="14"/>
      <c r="T3" s="14"/>
    </row>
    <row r="4" spans="1:20">
      <c r="A4" s="798">
        <v>1</v>
      </c>
      <c r="B4" s="798"/>
      <c r="C4" s="661"/>
      <c r="D4" s="661"/>
      <c r="E4" s="661"/>
      <c r="F4" s="661"/>
      <c r="G4" s="796"/>
      <c r="H4" s="796"/>
      <c r="I4" s="796"/>
      <c r="J4" s="796"/>
      <c r="K4" s="796"/>
      <c r="L4" s="796"/>
      <c r="M4" s="796"/>
      <c r="N4" s="14"/>
      <c r="O4" s="14"/>
      <c r="P4" s="14"/>
      <c r="Q4" s="14"/>
      <c r="R4" s="14"/>
      <c r="S4" s="14"/>
      <c r="T4" s="14"/>
    </row>
    <row r="5" spans="1:20">
      <c r="A5" s="652">
        <v>2</v>
      </c>
      <c r="B5" s="652"/>
      <c r="C5" s="661"/>
      <c r="D5" s="661"/>
      <c r="E5" s="661"/>
      <c r="F5" s="661"/>
      <c r="G5" s="796"/>
      <c r="H5" s="796"/>
      <c r="I5" s="796"/>
      <c r="J5" s="796"/>
      <c r="K5" s="796"/>
      <c r="L5" s="796"/>
      <c r="M5" s="796"/>
      <c r="N5" s="14"/>
      <c r="O5" s="14"/>
    </row>
    <row r="6" spans="1:20">
      <c r="A6" s="652">
        <v>3</v>
      </c>
      <c r="B6" s="652"/>
      <c r="C6" s="653"/>
      <c r="D6" s="653"/>
      <c r="E6" s="653"/>
      <c r="F6" s="653"/>
      <c r="G6" s="650"/>
      <c r="H6" s="650"/>
      <c r="I6" s="650"/>
      <c r="J6" s="650"/>
      <c r="K6" s="652" t="s">
        <v>73</v>
      </c>
      <c r="L6" s="650"/>
      <c r="M6" s="650"/>
    </row>
    <row r="7" spans="1:20">
      <c r="A7" s="652">
        <v>4</v>
      </c>
      <c r="B7" s="652"/>
      <c r="C7" s="650"/>
      <c r="D7" s="650"/>
      <c r="E7" s="799" t="s">
        <v>224</v>
      </c>
      <c r="F7" s="800"/>
      <c r="G7" s="650"/>
      <c r="H7" s="650"/>
      <c r="I7" s="650"/>
      <c r="J7" s="650"/>
      <c r="K7" s="801" t="s">
        <v>194</v>
      </c>
      <c r="L7" s="650"/>
      <c r="M7" s="655"/>
    </row>
    <row r="8" spans="1:20">
      <c r="A8" s="652">
        <v>5</v>
      </c>
      <c r="B8" s="652"/>
      <c r="C8" s="653"/>
      <c r="D8" s="653"/>
      <c r="E8" s="653"/>
      <c r="F8" s="653"/>
      <c r="G8" s="650"/>
      <c r="H8" s="650"/>
      <c r="I8" s="650"/>
      <c r="J8" s="650"/>
      <c r="K8" s="656"/>
      <c r="L8" s="650"/>
      <c r="M8" s="653"/>
    </row>
    <row r="9" spans="1:20">
      <c r="A9" s="652">
        <v>6</v>
      </c>
      <c r="B9" s="652"/>
      <c r="C9" s="795" t="s">
        <v>2437</v>
      </c>
      <c r="D9" s="661"/>
      <c r="E9" s="661" t="s">
        <v>2438</v>
      </c>
      <c r="F9" s="661"/>
      <c r="G9" s="796"/>
      <c r="H9" s="796"/>
      <c r="I9" s="796"/>
      <c r="J9" s="796"/>
      <c r="K9" s="656">
        <f>I20</f>
        <v>-13234692.067683082</v>
      </c>
      <c r="L9" s="650"/>
      <c r="M9" s="653"/>
      <c r="N9" s="802"/>
    </row>
    <row r="10" spans="1:20" ht="13.5" thickBot="1">
      <c r="A10" s="652">
        <v>7</v>
      </c>
      <c r="B10" s="652"/>
      <c r="C10" s="795" t="s">
        <v>2436</v>
      </c>
      <c r="D10" s="797"/>
      <c r="E10" s="661" t="s">
        <v>2417</v>
      </c>
      <c r="F10" s="661"/>
      <c r="G10" s="796"/>
      <c r="H10" s="796"/>
      <c r="I10" s="796"/>
      <c r="J10" s="796"/>
      <c r="K10" s="1315">
        <f>+K20</f>
        <v>-14932517.085769501</v>
      </c>
      <c r="L10" s="650"/>
      <c r="M10" s="653"/>
    </row>
    <row r="11" spans="1:20" ht="13.5" thickTop="1">
      <c r="A11" s="652">
        <v>8</v>
      </c>
      <c r="B11" s="652"/>
      <c r="C11" s="661"/>
      <c r="D11" s="661"/>
      <c r="E11" s="661"/>
      <c r="F11" s="661"/>
      <c r="G11" s="796"/>
      <c r="H11" s="796"/>
      <c r="I11" s="796"/>
      <c r="J11" s="796"/>
      <c r="K11" s="656"/>
      <c r="L11" s="650"/>
      <c r="M11" s="650"/>
    </row>
    <row r="12" spans="1:20">
      <c r="A12" s="652">
        <v>9</v>
      </c>
      <c r="B12" s="652"/>
      <c r="C12" s="796"/>
      <c r="D12" s="796"/>
      <c r="E12" s="796"/>
      <c r="F12" s="796"/>
      <c r="G12" s="803" t="s">
        <v>394</v>
      </c>
      <c r="H12" s="803"/>
      <c r="I12" s="803" t="s">
        <v>378</v>
      </c>
      <c r="J12" s="803"/>
      <c r="K12" s="803" t="s">
        <v>379</v>
      </c>
      <c r="L12" s="650"/>
      <c r="M12" s="650"/>
    </row>
    <row r="13" spans="1:20">
      <c r="A13" s="652">
        <v>10</v>
      </c>
      <c r="B13" s="652"/>
      <c r="C13" s="796"/>
      <c r="D13" s="796"/>
      <c r="E13" s="796"/>
      <c r="F13" s="796"/>
      <c r="G13" s="798" t="s">
        <v>73</v>
      </c>
      <c r="H13" s="798"/>
      <c r="I13" s="798" t="s">
        <v>73</v>
      </c>
      <c r="J13" s="800"/>
      <c r="K13" s="798" t="s">
        <v>73</v>
      </c>
      <c r="L13" s="650"/>
      <c r="M13" s="650"/>
    </row>
    <row r="14" spans="1:20" ht="15">
      <c r="A14" s="652">
        <v>11</v>
      </c>
      <c r="B14" s="652"/>
      <c r="C14" s="798"/>
      <c r="D14" s="798"/>
      <c r="E14" s="798"/>
      <c r="F14" s="798"/>
      <c r="G14" s="798" t="s">
        <v>423</v>
      </c>
      <c r="H14" s="798"/>
      <c r="I14" s="798" t="s">
        <v>330</v>
      </c>
      <c r="J14" s="800"/>
      <c r="K14" s="804" t="s">
        <v>255</v>
      </c>
      <c r="L14" s="650"/>
      <c r="M14" s="650"/>
    </row>
    <row r="15" spans="1:20">
      <c r="A15" s="652">
        <v>12</v>
      </c>
      <c r="B15" s="652"/>
      <c r="C15" s="652" t="s">
        <v>458</v>
      </c>
      <c r="D15" s="652"/>
      <c r="E15" s="652"/>
      <c r="F15" s="652"/>
      <c r="G15" s="652" t="s">
        <v>2418</v>
      </c>
      <c r="H15" s="800"/>
      <c r="I15" s="652" t="s">
        <v>2418</v>
      </c>
      <c r="J15" s="800"/>
      <c r="K15" s="652" t="s">
        <v>2418</v>
      </c>
      <c r="L15" s="650"/>
      <c r="M15" s="650"/>
    </row>
    <row r="16" spans="1:20">
      <c r="A16" s="652">
        <v>13</v>
      </c>
      <c r="B16" s="652"/>
      <c r="C16" s="654" t="s">
        <v>2415</v>
      </c>
      <c r="D16" s="654"/>
      <c r="E16" s="654"/>
      <c r="F16" s="654"/>
      <c r="G16" s="801" t="s">
        <v>2419</v>
      </c>
      <c r="H16" s="800"/>
      <c r="I16" s="801" t="s">
        <v>2419</v>
      </c>
      <c r="J16" s="800"/>
      <c r="K16" s="801" t="s">
        <v>2419</v>
      </c>
      <c r="L16" s="650"/>
      <c r="M16" s="650"/>
    </row>
    <row r="17" spans="1:14">
      <c r="A17" s="652">
        <v>14</v>
      </c>
      <c r="B17" s="652"/>
      <c r="C17" s="661" t="s">
        <v>2420</v>
      </c>
      <c r="D17" s="661"/>
      <c r="E17" s="524" t="s">
        <v>2827</v>
      </c>
      <c r="F17" s="522"/>
      <c r="G17" s="656">
        <f>+G27</f>
        <v>-11992321.227039801</v>
      </c>
      <c r="H17" s="805"/>
      <c r="I17" s="656">
        <f>+I27</f>
        <v>-8932772.1097449288</v>
      </c>
      <c r="J17" s="805"/>
      <c r="K17" s="656">
        <f>(+G17+I17)/2</f>
        <v>-10462546.668392364</v>
      </c>
      <c r="L17" s="650"/>
      <c r="M17" s="650"/>
      <c r="N17" s="650"/>
    </row>
    <row r="18" spans="1:14">
      <c r="A18" s="652">
        <v>15</v>
      </c>
      <c r="B18" s="652"/>
      <c r="C18" s="661" t="s">
        <v>2421</v>
      </c>
      <c r="D18" s="661"/>
      <c r="E18" s="661" t="s">
        <v>2828</v>
      </c>
      <c r="F18" s="661"/>
      <c r="G18" s="656">
        <f>+G32</f>
        <v>-4044610.4510006658</v>
      </c>
      <c r="H18" s="805"/>
      <c r="I18" s="656">
        <f>+I32</f>
        <v>-3716543.6529387701</v>
      </c>
      <c r="J18" s="805"/>
      <c r="K18" s="656">
        <f>(+G18+I18)/2</f>
        <v>-3880577.0519697182</v>
      </c>
      <c r="L18" s="650"/>
      <c r="M18" s="650"/>
      <c r="N18" s="650"/>
    </row>
    <row r="19" spans="1:14">
      <c r="A19" s="652">
        <v>16</v>
      </c>
      <c r="B19" s="652"/>
      <c r="C19" s="661" t="s">
        <v>2422</v>
      </c>
      <c r="D19" s="661"/>
      <c r="E19" s="661" t="s">
        <v>2829</v>
      </c>
      <c r="F19" s="661"/>
      <c r="G19" s="1316">
        <f>+G39</f>
        <v>-593410.42581545573</v>
      </c>
      <c r="H19" s="806"/>
      <c r="I19" s="1316">
        <f>+I39</f>
        <v>-585376.30499938282</v>
      </c>
      <c r="J19" s="806"/>
      <c r="K19" s="656">
        <f>(+G19+I19)/2</f>
        <v>-589393.36540741927</v>
      </c>
      <c r="L19" s="650"/>
      <c r="M19" s="650"/>
    </row>
    <row r="20" spans="1:14" ht="13.5" thickBot="1">
      <c r="A20" s="652">
        <v>17</v>
      </c>
      <c r="B20" s="652"/>
      <c r="C20" s="653" t="s">
        <v>216</v>
      </c>
      <c r="D20" s="653"/>
      <c r="E20" s="653" t="s">
        <v>2423</v>
      </c>
      <c r="F20" s="653"/>
      <c r="G20" s="1317">
        <f>+G17+G18+G19</f>
        <v>-16630342.103855923</v>
      </c>
      <c r="H20" s="805"/>
      <c r="I20" s="1317">
        <f>+I17+I18+I19</f>
        <v>-13234692.067683082</v>
      </c>
      <c r="J20" s="805"/>
      <c r="K20" s="1317">
        <f>+K17+K18+K19</f>
        <v>-14932517.085769501</v>
      </c>
      <c r="L20" s="650"/>
      <c r="M20" s="653"/>
      <c r="N20" s="522" t="s">
        <v>359</v>
      </c>
    </row>
    <row r="21" spans="1:14" ht="13.5" thickTop="1">
      <c r="A21" s="652">
        <v>18</v>
      </c>
      <c r="B21" s="652"/>
      <c r="C21" s="650"/>
      <c r="D21" s="650"/>
      <c r="E21" s="650"/>
      <c r="F21" s="650"/>
      <c r="G21" s="796"/>
      <c r="H21" s="807"/>
      <c r="I21" s="796"/>
      <c r="J21" s="807"/>
      <c r="K21" s="796"/>
      <c r="L21" s="650"/>
      <c r="M21" s="650"/>
    </row>
    <row r="22" spans="1:14">
      <c r="A22" s="652">
        <v>19</v>
      </c>
      <c r="B22" s="652"/>
      <c r="C22" s="651" t="s">
        <v>2424</v>
      </c>
      <c r="D22" s="651"/>
      <c r="E22" s="651"/>
      <c r="F22" s="651"/>
      <c r="G22" s="796"/>
      <c r="H22" s="807"/>
      <c r="I22" s="796"/>
      <c r="J22" s="807"/>
      <c r="K22" s="796"/>
      <c r="L22" s="650"/>
      <c r="M22" s="650"/>
    </row>
    <row r="23" spans="1:14">
      <c r="A23" s="652">
        <v>20</v>
      </c>
      <c r="B23" s="652"/>
      <c r="H23" s="590"/>
      <c r="J23" s="590"/>
      <c r="K23" s="523" t="s">
        <v>255</v>
      </c>
    </row>
    <row r="24" spans="1:14">
      <c r="A24" s="652">
        <v>21</v>
      </c>
      <c r="B24" s="652"/>
      <c r="C24" s="651" t="s">
        <v>118</v>
      </c>
      <c r="D24" s="651"/>
      <c r="E24" s="651"/>
      <c r="F24" s="651"/>
      <c r="G24" s="426" t="s">
        <v>423</v>
      </c>
      <c r="H24" s="808"/>
      <c r="I24" s="426" t="s">
        <v>330</v>
      </c>
      <c r="J24" s="808"/>
      <c r="K24" s="809" t="s">
        <v>2425</v>
      </c>
      <c r="M24" s="541" t="s">
        <v>359</v>
      </c>
    </row>
    <row r="25" spans="1:14">
      <c r="A25" s="652">
        <v>22</v>
      </c>
      <c r="B25" s="652"/>
      <c r="C25" t="s">
        <v>2426</v>
      </c>
      <c r="E25" s="661" t="s">
        <v>2427</v>
      </c>
      <c r="F25" s="661"/>
      <c r="G25" s="810">
        <v>-199141537.86000001</v>
      </c>
      <c r="H25" s="811"/>
      <c r="I25" s="810">
        <v>-148335417.44</v>
      </c>
      <c r="J25" s="812"/>
      <c r="M25" s="802"/>
      <c r="N25" s="694"/>
    </row>
    <row r="26" spans="1:14">
      <c r="A26" s="798">
        <v>23</v>
      </c>
      <c r="B26" s="652"/>
      <c r="C26" t="s">
        <v>219</v>
      </c>
      <c r="E26" s="813" t="s">
        <v>2428</v>
      </c>
      <c r="F26" s="813"/>
      <c r="G26" s="1318">
        <f>'27-Allocators'!G15</f>
        <v>6.0220089469584258E-2</v>
      </c>
      <c r="H26" s="814"/>
      <c r="I26" s="1318">
        <f>'27-Allocators'!G15</f>
        <v>6.0220089469584258E-2</v>
      </c>
      <c r="J26" s="814"/>
      <c r="K26" s="14"/>
      <c r="M26" s="802"/>
    </row>
    <row r="27" spans="1:14" ht="13.5" thickBot="1">
      <c r="A27" s="798">
        <v>24</v>
      </c>
      <c r="B27" s="652"/>
      <c r="C27" t="s">
        <v>2429</v>
      </c>
      <c r="E27" s="672" t="s">
        <v>2830</v>
      </c>
      <c r="F27" s="53"/>
      <c r="G27" s="1319">
        <f>+G25*G26</f>
        <v>-11992321.227039801</v>
      </c>
      <c r="H27" s="815"/>
      <c r="I27" s="1319">
        <f>+I25*I26</f>
        <v>-8932772.1097449288</v>
      </c>
      <c r="J27" s="815"/>
      <c r="K27" s="1320">
        <f>(G27+I27)/2</f>
        <v>-10462546.668392364</v>
      </c>
      <c r="M27" s="802"/>
    </row>
    <row r="28" spans="1:14" ht="13.5" thickTop="1">
      <c r="A28" s="798">
        <v>25</v>
      </c>
      <c r="B28" s="652"/>
      <c r="G28" s="14"/>
      <c r="H28" s="590"/>
      <c r="I28" s="14"/>
      <c r="J28" s="590"/>
      <c r="K28" s="14"/>
      <c r="M28" s="802"/>
    </row>
    <row r="29" spans="1:14">
      <c r="A29" s="798">
        <v>26</v>
      </c>
      <c r="B29" s="652"/>
      <c r="C29" s="52" t="s">
        <v>2430</v>
      </c>
      <c r="D29" s="52"/>
      <c r="E29" s="52"/>
      <c r="F29" s="52"/>
      <c r="H29" s="590"/>
      <c r="J29" s="590"/>
      <c r="M29" s="816" t="s">
        <v>359</v>
      </c>
    </row>
    <row r="30" spans="1:14">
      <c r="A30" s="798">
        <v>27</v>
      </c>
      <c r="B30" s="652"/>
      <c r="C30" s="522" t="s">
        <v>2431</v>
      </c>
      <c r="D30" s="522"/>
      <c r="E30" s="661" t="s">
        <v>2427</v>
      </c>
      <c r="F30" s="661"/>
      <c r="G30" s="810">
        <v>-67163806.739999995</v>
      </c>
      <c r="H30" s="811"/>
      <c r="I30" s="810">
        <v>-61716010.149999999</v>
      </c>
      <c r="J30" s="812"/>
      <c r="M30" s="802"/>
    </row>
    <row r="31" spans="1:14">
      <c r="A31" s="798">
        <v>28</v>
      </c>
      <c r="B31" s="652"/>
      <c r="C31" t="s">
        <v>219</v>
      </c>
      <c r="E31" s="813" t="s">
        <v>2428</v>
      </c>
      <c r="F31" s="813"/>
      <c r="G31" s="1318">
        <f>'27-Allocators'!G15</f>
        <v>6.0220089469584258E-2</v>
      </c>
      <c r="H31" s="814"/>
      <c r="I31" s="1318">
        <f>'27-Allocators'!G15</f>
        <v>6.0220089469584258E-2</v>
      </c>
      <c r="J31" s="814"/>
      <c r="K31" s="14"/>
      <c r="M31" s="802"/>
    </row>
    <row r="32" spans="1:14" ht="13.5" thickBot="1">
      <c r="A32" s="798">
        <v>29</v>
      </c>
      <c r="B32" s="652"/>
      <c r="C32" t="s">
        <v>2429</v>
      </c>
      <c r="E32" s="672" t="s">
        <v>2831</v>
      </c>
      <c r="F32" s="53"/>
      <c r="G32" s="1319">
        <f>+G30*G31</f>
        <v>-4044610.4510006658</v>
      </c>
      <c r="H32" s="815"/>
      <c r="I32" s="1319">
        <f>+I30*I31</f>
        <v>-3716543.6529387701</v>
      </c>
      <c r="J32" s="815"/>
      <c r="K32" s="1320">
        <f>(G32+I32)/2</f>
        <v>-3880577.0519697182</v>
      </c>
      <c r="M32" s="802"/>
    </row>
    <row r="33" spans="1:11" ht="13.5" thickTop="1">
      <c r="A33" s="798">
        <f t="shared" ref="A33:A39" si="0">1+A32</f>
        <v>30</v>
      </c>
      <c r="G33" s="14"/>
      <c r="H33" s="590"/>
      <c r="I33" s="14"/>
      <c r="J33" s="590"/>
      <c r="K33" s="14"/>
    </row>
    <row r="34" spans="1:11">
      <c r="A34" s="798">
        <f t="shared" si="0"/>
        <v>31</v>
      </c>
      <c r="C34" s="52" t="s">
        <v>2432</v>
      </c>
      <c r="H34" s="590"/>
      <c r="J34" s="590"/>
    </row>
    <row r="35" spans="1:11">
      <c r="A35" s="798">
        <f t="shared" si="0"/>
        <v>32</v>
      </c>
      <c r="C35" s="522" t="s">
        <v>2432</v>
      </c>
      <c r="E35" s="661" t="s">
        <v>2427</v>
      </c>
      <c r="F35" s="661"/>
      <c r="G35" s="114">
        <v>-19708055.27</v>
      </c>
      <c r="H35" s="817"/>
      <c r="I35" s="114">
        <v>-19441230</v>
      </c>
      <c r="J35" s="812"/>
    </row>
    <row r="36" spans="1:11">
      <c r="A36" s="798">
        <f t="shared" si="0"/>
        <v>33</v>
      </c>
      <c r="C36" s="522" t="s">
        <v>2433</v>
      </c>
      <c r="E36" s="818" t="s">
        <v>2434</v>
      </c>
      <c r="G36" s="819">
        <v>0.5</v>
      </c>
      <c r="H36" s="590"/>
      <c r="I36" s="819">
        <v>0.5</v>
      </c>
      <c r="J36" s="590"/>
    </row>
    <row r="37" spans="1:11">
      <c r="A37" s="798">
        <f t="shared" si="0"/>
        <v>34</v>
      </c>
      <c r="C37" s="522" t="s">
        <v>2435</v>
      </c>
      <c r="E37" s="524" t="s">
        <v>2832</v>
      </c>
      <c r="G37" s="7">
        <f>+G35*G36</f>
        <v>-9854027.6349999998</v>
      </c>
      <c r="H37" s="820"/>
      <c r="I37" s="7">
        <f>+I35*I36</f>
        <v>-9720615</v>
      </c>
      <c r="J37" s="590"/>
    </row>
    <row r="38" spans="1:11">
      <c r="A38" s="798">
        <f t="shared" si="0"/>
        <v>35</v>
      </c>
      <c r="C38" t="s">
        <v>219</v>
      </c>
      <c r="E38" s="813" t="s">
        <v>2428</v>
      </c>
      <c r="F38" s="813"/>
      <c r="G38" s="1318">
        <f>'27-Allocators'!G15</f>
        <v>6.0220089469584258E-2</v>
      </c>
      <c r="H38" s="814"/>
      <c r="I38" s="1318">
        <f>'27-Allocators'!G15</f>
        <v>6.0220089469584258E-2</v>
      </c>
      <c r="J38" s="814"/>
      <c r="K38" s="14"/>
    </row>
    <row r="39" spans="1:11" ht="13.5" thickBot="1">
      <c r="A39" s="798">
        <f t="shared" si="0"/>
        <v>36</v>
      </c>
      <c r="C39" t="s">
        <v>2429</v>
      </c>
      <c r="E39" s="672" t="s">
        <v>2833</v>
      </c>
      <c r="F39" s="53"/>
      <c r="G39" s="1319">
        <f>+G37*G38</f>
        <v>-593410.42581545573</v>
      </c>
      <c r="H39" s="815"/>
      <c r="I39" s="1319">
        <f>+I37*I38</f>
        <v>-585376.30499938282</v>
      </c>
      <c r="J39" s="815"/>
      <c r="K39" s="1320">
        <f>(G39+I39)/2</f>
        <v>-589393.36540741927</v>
      </c>
    </row>
    <row r="40" spans="1:11" ht="13.5" thickTop="1">
      <c r="H40" s="590"/>
      <c r="J40" s="590"/>
    </row>
    <row r="41" spans="1:11">
      <c r="H41" s="61"/>
      <c r="J41" s="61"/>
    </row>
    <row r="42" spans="1:11">
      <c r="H42" s="61"/>
      <c r="J42" s="61"/>
    </row>
    <row r="43" spans="1:11">
      <c r="H43" s="61"/>
      <c r="J43" s="61"/>
    </row>
    <row r="44" spans="1:11">
      <c r="H44" s="61"/>
      <c r="J44" s="61"/>
    </row>
    <row r="45" spans="1:11">
      <c r="H45" s="61"/>
      <c r="J45" s="61"/>
    </row>
    <row r="46" spans="1:11">
      <c r="H46" s="61"/>
      <c r="J46" s="61"/>
    </row>
    <row r="47" spans="1:11">
      <c r="H47" s="61"/>
      <c r="J47" s="61"/>
    </row>
    <row r="48" spans="1:11">
      <c r="H48" s="61"/>
      <c r="J48" s="61"/>
    </row>
    <row r="49" spans="8:10">
      <c r="H49" s="61"/>
      <c r="J49" s="61"/>
    </row>
    <row r="50" spans="8:10">
      <c r="H50" s="61"/>
      <c r="J50" s="61"/>
    </row>
    <row r="51" spans="8:10">
      <c r="H51" s="61"/>
      <c r="J51" s="61"/>
    </row>
    <row r="52" spans="8:10">
      <c r="H52" s="61"/>
      <c r="J52" s="61"/>
    </row>
    <row r="53" spans="8:10">
      <c r="H53" s="61"/>
      <c r="J53" s="61"/>
    </row>
    <row r="54" spans="8:10">
      <c r="H54" s="61"/>
      <c r="J54" s="61"/>
    </row>
    <row r="55" spans="8:10">
      <c r="H55" s="61"/>
    </row>
    <row r="56" spans="8:10">
      <c r="H56" s="61"/>
    </row>
  </sheetData>
  <pageMargins left="0.7" right="0.7" top="0.75" bottom="0.75" header="0.3" footer="0.3"/>
  <pageSetup scale="85" orientation="landscape" cellComments="asDisplayed" r:id="rId1"/>
  <headerFooter>
    <oddHeader>&amp;CSchedule 34
Unfunded Reserves
&amp;RTO11 Draft Annual Update
Attachment 1</oddHeader>
    <oddFooter>&amp;R34-UnfundedReserves</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zoomScaleNormal="100" zoomScaleSheetLayoutView="70" workbookViewId="0"/>
  </sheetViews>
  <sheetFormatPr defaultColWidth="8.85546875" defaultRowHeight="12.75"/>
  <cols>
    <col min="1" max="1" width="4.7109375" style="1189" customWidth="1"/>
    <col min="2" max="5" width="8.7109375" style="1189" customWidth="1"/>
    <col min="6" max="6" width="8.85546875" style="1189"/>
    <col min="7" max="11" width="12.7109375" style="1189" customWidth="1"/>
    <col min="12" max="12" width="8.85546875" style="1189"/>
    <col min="13" max="13" width="11.42578125" style="1189" customWidth="1"/>
    <col min="14" max="16384" width="8.85546875" style="1189"/>
  </cols>
  <sheetData>
    <row r="1" spans="1:14">
      <c r="A1" s="1046" t="s">
        <v>2409</v>
      </c>
      <c r="B1" s="524"/>
      <c r="C1" s="524"/>
      <c r="D1" s="524"/>
      <c r="E1" s="524"/>
      <c r="F1" s="524"/>
      <c r="G1" s="524"/>
      <c r="H1" s="524"/>
      <c r="I1" s="524"/>
      <c r="J1" s="524"/>
      <c r="K1" s="524"/>
      <c r="L1" s="524"/>
    </row>
    <row r="2" spans="1:14">
      <c r="A2" s="1046"/>
      <c r="B2" s="524"/>
      <c r="C2" s="524"/>
      <c r="D2" s="524"/>
      <c r="E2" s="524"/>
      <c r="F2" s="524"/>
      <c r="G2" s="524"/>
      <c r="H2" s="524"/>
      <c r="I2" s="524"/>
      <c r="J2" s="524"/>
      <c r="K2" s="524"/>
      <c r="L2" s="524"/>
    </row>
    <row r="3" spans="1:14">
      <c r="A3" s="606" t="s">
        <v>2768</v>
      </c>
      <c r="B3" s="606"/>
      <c r="C3" s="606"/>
      <c r="D3" s="606"/>
      <c r="E3" s="606"/>
      <c r="F3" s="606"/>
      <c r="G3" s="606"/>
      <c r="H3" s="606"/>
      <c r="I3" s="606"/>
      <c r="J3" s="606"/>
      <c r="K3" s="606"/>
      <c r="L3" s="606"/>
      <c r="M3" s="61"/>
    </row>
    <row r="4" spans="1:14">
      <c r="A4" s="606" t="s">
        <v>2769</v>
      </c>
      <c r="B4" s="606"/>
      <c r="C4" s="606"/>
      <c r="D4" s="606"/>
      <c r="E4" s="606"/>
      <c r="F4" s="606"/>
      <c r="G4" s="606"/>
      <c r="H4" s="606"/>
      <c r="I4" s="606"/>
      <c r="J4" s="606"/>
      <c r="K4" s="606"/>
      <c r="L4" s="606"/>
      <c r="M4" s="61"/>
    </row>
    <row r="5" spans="1:14">
      <c r="A5" s="1268"/>
      <c r="B5" s="606"/>
      <c r="C5" s="606"/>
      <c r="D5" s="606"/>
      <c r="E5" s="606"/>
      <c r="F5" s="606"/>
      <c r="G5" s="606"/>
      <c r="H5" s="606"/>
      <c r="I5" s="606"/>
      <c r="J5" s="606"/>
      <c r="K5" s="606"/>
      <c r="L5" s="606"/>
      <c r="M5" s="61"/>
    </row>
    <row r="6" spans="1:14">
      <c r="A6" s="606"/>
      <c r="B6" s="606" t="s">
        <v>2412</v>
      </c>
      <c r="C6" s="606"/>
      <c r="D6" s="606"/>
      <c r="E6" s="606"/>
      <c r="F6" s="606"/>
      <c r="G6" s="606"/>
      <c r="H6" s="606"/>
      <c r="I6" s="606"/>
      <c r="J6" s="606"/>
      <c r="K6" s="606"/>
      <c r="L6" s="606"/>
      <c r="M6" s="590"/>
    </row>
    <row r="7" spans="1:14">
      <c r="A7" s="622"/>
      <c r="B7" s="622" t="s">
        <v>2770</v>
      </c>
      <c r="C7" s="622"/>
      <c r="D7" s="622"/>
      <c r="E7" s="622"/>
      <c r="F7" s="622"/>
      <c r="G7" s="622"/>
      <c r="H7" s="622"/>
      <c r="I7" s="622"/>
      <c r="J7" s="622"/>
      <c r="K7" s="622"/>
      <c r="L7" s="622"/>
      <c r="M7" s="590"/>
    </row>
    <row r="8" spans="1:14">
      <c r="A8" s="622"/>
      <c r="B8" s="622" t="s">
        <v>2771</v>
      </c>
      <c r="C8" s="622"/>
      <c r="D8" s="622"/>
      <c r="E8" s="622"/>
      <c r="F8" s="622"/>
      <c r="G8" s="622"/>
      <c r="H8" s="622"/>
      <c r="I8" s="622"/>
      <c r="J8" s="622"/>
      <c r="K8" s="622"/>
      <c r="L8" s="622"/>
      <c r="M8" s="590"/>
    </row>
    <row r="9" spans="1:14">
      <c r="A9" s="622"/>
      <c r="B9" s="622"/>
      <c r="C9" s="622"/>
      <c r="D9" s="622"/>
      <c r="E9" s="622"/>
      <c r="F9" s="622"/>
      <c r="G9" s="622"/>
      <c r="H9" s="622"/>
      <c r="I9" s="622"/>
      <c r="J9" s="622"/>
      <c r="K9" s="622"/>
      <c r="L9" s="622"/>
      <c r="M9" s="590"/>
    </row>
    <row r="10" spans="1:14">
      <c r="A10" s="522"/>
      <c r="B10" s="522" t="s">
        <v>2380</v>
      </c>
      <c r="C10" s="524"/>
      <c r="D10" s="524"/>
      <c r="E10" s="524"/>
      <c r="F10" s="524"/>
      <c r="G10" s="793"/>
      <c r="H10" s="534"/>
      <c r="I10" s="524"/>
      <c r="J10" s="524"/>
      <c r="K10" s="522"/>
      <c r="L10" s="522"/>
      <c r="M10" s="14"/>
    </row>
    <row r="11" spans="1:14">
      <c r="A11" s="54" t="s">
        <v>350</v>
      </c>
      <c r="B11" s="522"/>
      <c r="C11" s="522"/>
      <c r="D11" s="522"/>
      <c r="E11" s="522"/>
      <c r="F11" s="522"/>
      <c r="G11" s="379" t="s">
        <v>2381</v>
      </c>
      <c r="H11" s="379" t="s">
        <v>194</v>
      </c>
      <c r="I11" s="522"/>
      <c r="J11" s="434" t="s">
        <v>198</v>
      </c>
      <c r="K11" s="522"/>
      <c r="L11" s="522"/>
      <c r="M11" s="14"/>
    </row>
    <row r="12" spans="1:14">
      <c r="A12" s="244">
        <v>1</v>
      </c>
      <c r="B12" s="1269" t="s">
        <v>2772</v>
      </c>
      <c r="C12" s="622"/>
      <c r="D12" s="622"/>
      <c r="E12" s="622"/>
      <c r="F12" s="522"/>
      <c r="G12" s="794" t="s">
        <v>2993</v>
      </c>
      <c r="H12" s="527">
        <f>K65</f>
        <v>9661558</v>
      </c>
      <c r="I12" s="522"/>
      <c r="J12" s="522" t="s">
        <v>395</v>
      </c>
      <c r="K12" s="522"/>
      <c r="L12" s="522"/>
      <c r="M12" s="14"/>
    </row>
    <row r="13" spans="1:14">
      <c r="A13" s="244">
        <v>2</v>
      </c>
      <c r="B13" s="622" t="s">
        <v>2773</v>
      </c>
      <c r="C13" s="622"/>
      <c r="D13" s="622"/>
      <c r="E13" s="622"/>
      <c r="F13" s="522"/>
      <c r="G13" s="794" t="s">
        <v>3008</v>
      </c>
      <c r="H13" s="527">
        <f>G75</f>
        <v>-23409000</v>
      </c>
      <c r="I13" s="522"/>
      <c r="J13" s="522" t="s">
        <v>396</v>
      </c>
      <c r="K13" s="522"/>
      <c r="L13" s="522"/>
      <c r="M13" s="14"/>
    </row>
    <row r="14" spans="1:14">
      <c r="A14" s="244">
        <v>3</v>
      </c>
      <c r="B14" s="608" t="s">
        <v>2382</v>
      </c>
      <c r="C14" s="522"/>
      <c r="D14" s="522"/>
      <c r="E14" s="522"/>
      <c r="F14" s="522"/>
      <c r="G14" s="522"/>
      <c r="H14" s="527">
        <f>ABS(H12+H13)</f>
        <v>13747442</v>
      </c>
      <c r="I14" s="522"/>
      <c r="J14" s="522" t="s">
        <v>2460</v>
      </c>
      <c r="K14" s="522"/>
      <c r="L14" s="522"/>
      <c r="M14" s="14"/>
    </row>
    <row r="15" spans="1:14">
      <c r="A15" s="244">
        <v>4</v>
      </c>
      <c r="B15" s="608" t="s">
        <v>2383</v>
      </c>
      <c r="C15" s="522"/>
      <c r="D15" s="522"/>
      <c r="E15" s="522"/>
      <c r="F15" s="522"/>
      <c r="G15" s="522"/>
      <c r="H15" s="527">
        <f>G87</f>
        <v>13621800</v>
      </c>
      <c r="I15" s="522"/>
      <c r="J15" s="522" t="s">
        <v>2413</v>
      </c>
      <c r="K15" s="522"/>
      <c r="L15" s="522"/>
      <c r="M15" s="14"/>
    </row>
    <row r="16" spans="1:14">
      <c r="A16" s="244"/>
      <c r="B16" s="526"/>
      <c r="C16" s="522"/>
      <c r="D16" s="522"/>
      <c r="E16" s="522" t="s">
        <v>359</v>
      </c>
      <c r="F16" s="522"/>
      <c r="G16" s="522"/>
      <c r="H16" s="527"/>
      <c r="I16" s="522"/>
      <c r="J16" s="522"/>
      <c r="K16" s="522"/>
      <c r="L16" s="522"/>
      <c r="M16" s="14"/>
      <c r="N16" s="14"/>
    </row>
    <row r="17" spans="1:14">
      <c r="A17" s="244"/>
      <c r="B17" s="608" t="s">
        <v>2410</v>
      </c>
      <c r="C17" s="522"/>
      <c r="D17" s="522"/>
      <c r="E17" s="522"/>
      <c r="F17" s="522"/>
      <c r="G17" s="522"/>
      <c r="H17" s="527"/>
      <c r="I17" s="522"/>
      <c r="J17" s="434" t="s">
        <v>171</v>
      </c>
      <c r="K17" s="522"/>
      <c r="L17" s="522"/>
      <c r="M17" s="14"/>
      <c r="N17" s="14"/>
    </row>
    <row r="18" spans="1:14">
      <c r="A18" s="244"/>
      <c r="B18" s="608" t="s">
        <v>2384</v>
      </c>
      <c r="C18" s="522"/>
      <c r="D18" s="523" t="str">
        <f>IF(H14&gt;H15, "Yes", "No")</f>
        <v>Yes</v>
      </c>
      <c r="E18" s="522"/>
      <c r="F18" s="522"/>
      <c r="G18" s="522"/>
      <c r="H18" s="527"/>
      <c r="I18" s="522"/>
      <c r="J18" s="522" t="s">
        <v>2411</v>
      </c>
      <c r="K18" s="522"/>
      <c r="L18" s="522"/>
      <c r="M18" s="14"/>
      <c r="N18" s="14"/>
    </row>
    <row r="19" spans="1:14">
      <c r="A19" s="244"/>
      <c r="B19" s="608"/>
      <c r="C19" s="522"/>
      <c r="D19" s="522"/>
      <c r="E19" s="522"/>
      <c r="F19" s="522"/>
      <c r="G19" s="522"/>
      <c r="H19" s="527"/>
      <c r="I19" s="522"/>
      <c r="J19" s="522"/>
      <c r="K19" s="522"/>
      <c r="L19" s="522"/>
      <c r="M19" s="14"/>
      <c r="N19" s="14"/>
    </row>
    <row r="20" spans="1:14">
      <c r="A20" s="244"/>
      <c r="B20" s="608" t="s">
        <v>2385</v>
      </c>
      <c r="C20" s="522"/>
      <c r="D20" s="522"/>
      <c r="E20" s="522"/>
      <c r="F20" s="522"/>
      <c r="G20" s="496" t="s">
        <v>2386</v>
      </c>
      <c r="H20" s="496" t="s">
        <v>2387</v>
      </c>
      <c r="I20" s="496" t="s">
        <v>2388</v>
      </c>
      <c r="J20" s="522"/>
      <c r="K20" s="522"/>
      <c r="L20" s="522"/>
      <c r="M20" s="14"/>
      <c r="N20" s="14"/>
    </row>
    <row r="21" spans="1:14">
      <c r="A21" s="244"/>
      <c r="B21" s="608" t="s">
        <v>2389</v>
      </c>
      <c r="C21" s="522"/>
      <c r="D21" s="522"/>
      <c r="E21" s="522"/>
      <c r="F21" s="522"/>
      <c r="G21" s="523" t="s">
        <v>2456</v>
      </c>
      <c r="H21" s="253" t="s">
        <v>2390</v>
      </c>
      <c r="I21" s="522"/>
      <c r="J21" s="522"/>
      <c r="K21" s="522"/>
      <c r="L21" s="522"/>
      <c r="M21" s="14"/>
      <c r="N21" s="14"/>
    </row>
    <row r="22" spans="1:14">
      <c r="A22" s="244"/>
      <c r="B22" s="522"/>
      <c r="C22" s="522"/>
      <c r="D22" s="522"/>
      <c r="E22" s="522"/>
      <c r="F22" s="522"/>
      <c r="G22" s="522"/>
      <c r="H22" s="645" t="s">
        <v>223</v>
      </c>
      <c r="I22" s="522"/>
      <c r="J22" s="522"/>
      <c r="K22" s="522"/>
      <c r="L22" s="522"/>
      <c r="M22" s="14"/>
      <c r="N22" s="14"/>
    </row>
    <row r="23" spans="1:14">
      <c r="A23" s="244"/>
      <c r="B23" s="522"/>
      <c r="C23" s="522"/>
      <c r="D23" s="522"/>
      <c r="E23" s="522"/>
      <c r="F23" s="522"/>
      <c r="G23" s="244" t="s">
        <v>217</v>
      </c>
      <c r="H23" s="1219" t="s">
        <v>534</v>
      </c>
      <c r="I23" s="244" t="s">
        <v>2391</v>
      </c>
      <c r="J23" s="522"/>
      <c r="K23" s="522"/>
      <c r="L23" s="522"/>
      <c r="M23" s="14"/>
      <c r="N23" s="14"/>
    </row>
    <row r="24" spans="1:14">
      <c r="A24" s="244"/>
      <c r="B24" s="522"/>
      <c r="C24" s="522"/>
      <c r="D24" s="522"/>
      <c r="E24" s="522"/>
      <c r="F24" s="522"/>
      <c r="G24" s="244" t="s">
        <v>2392</v>
      </c>
      <c r="H24" s="253" t="s">
        <v>2393</v>
      </c>
      <c r="I24" s="244" t="s">
        <v>2392</v>
      </c>
      <c r="J24" s="522"/>
      <c r="K24" s="522"/>
      <c r="L24" s="522"/>
      <c r="M24" s="14"/>
      <c r="N24" s="14"/>
    </row>
    <row r="25" spans="1:14">
      <c r="A25" s="54" t="s">
        <v>350</v>
      </c>
      <c r="B25" s="522"/>
      <c r="C25" s="522"/>
      <c r="D25" s="522"/>
      <c r="E25" s="379" t="s">
        <v>212</v>
      </c>
      <c r="F25" s="522"/>
      <c r="G25" s="379" t="s">
        <v>2394</v>
      </c>
      <c r="H25" s="255" t="s">
        <v>317</v>
      </c>
      <c r="I25" s="379" t="s">
        <v>354</v>
      </c>
      <c r="J25" s="577" t="s">
        <v>2457</v>
      </c>
      <c r="K25" s="524"/>
      <c r="L25" s="524"/>
      <c r="M25" s="14"/>
      <c r="N25" s="14"/>
    </row>
    <row r="26" spans="1:14">
      <c r="A26" s="244">
        <v>5</v>
      </c>
      <c r="B26" s="522"/>
      <c r="C26" s="522"/>
      <c r="D26" s="522"/>
      <c r="E26" s="794">
        <v>2016</v>
      </c>
      <c r="F26" s="522"/>
      <c r="G26" s="527">
        <f>G80</f>
        <v>32884000</v>
      </c>
      <c r="H26" s="527">
        <f>H12/2</f>
        <v>4830779</v>
      </c>
      <c r="I26" s="527">
        <f>SUM(G26:H26)</f>
        <v>37714779</v>
      </c>
      <c r="J26" s="1028" t="s">
        <v>2458</v>
      </c>
      <c r="K26" s="524"/>
      <c r="L26" s="524"/>
      <c r="M26" s="14"/>
      <c r="N26" s="14"/>
    </row>
    <row r="27" spans="1:14">
      <c r="A27" s="244">
        <v>6</v>
      </c>
      <c r="B27" s="522"/>
      <c r="C27" s="522"/>
      <c r="D27" s="522"/>
      <c r="E27" s="794">
        <v>2017</v>
      </c>
      <c r="F27" s="522"/>
      <c r="G27" s="527">
        <f>G81</f>
        <v>35225000</v>
      </c>
      <c r="H27" s="527">
        <f>H12/2</f>
        <v>4830779</v>
      </c>
      <c r="I27" s="527">
        <f>SUM(G27:H27)</f>
        <v>40055779</v>
      </c>
      <c r="J27" s="1028" t="s">
        <v>2458</v>
      </c>
      <c r="K27" s="524"/>
      <c r="L27" s="524"/>
      <c r="M27" s="14"/>
      <c r="N27" s="14"/>
    </row>
    <row r="28" spans="1:14">
      <c r="A28" s="244">
        <v>7</v>
      </c>
      <c r="B28" s="526"/>
      <c r="C28" s="522"/>
      <c r="D28" s="522"/>
      <c r="E28" s="794">
        <v>2018</v>
      </c>
      <c r="F28" s="522"/>
      <c r="G28" s="527">
        <f t="shared" ref="G28:G30" si="0">G82</f>
        <v>38261000</v>
      </c>
      <c r="H28" s="528" t="s">
        <v>86</v>
      </c>
      <c r="I28" s="527">
        <f xml:space="preserve"> SUM($G$28:$G$30)/3</f>
        <v>40171333.333333336</v>
      </c>
      <c r="J28" s="521" t="s">
        <v>2459</v>
      </c>
      <c r="K28" s="524"/>
      <c r="L28" s="524"/>
    </row>
    <row r="29" spans="1:14">
      <c r="A29" s="244">
        <v>8</v>
      </c>
      <c r="B29" s="241"/>
      <c r="C29" s="522"/>
      <c r="D29" s="522"/>
      <c r="E29" s="794">
        <v>2019</v>
      </c>
      <c r="F29" s="522"/>
      <c r="G29" s="527">
        <f t="shared" si="0"/>
        <v>40134000</v>
      </c>
      <c r="H29" s="528" t="s">
        <v>86</v>
      </c>
      <c r="I29" s="527">
        <f t="shared" ref="I29:I30" si="1" xml:space="preserve"> SUM($G$28:$G$30)/3</f>
        <v>40171333.333333336</v>
      </c>
      <c r="J29" s="521" t="s">
        <v>2459</v>
      </c>
      <c r="K29" s="524"/>
      <c r="L29" s="524"/>
    </row>
    <row r="30" spans="1:14">
      <c r="A30" s="244">
        <v>9</v>
      </c>
      <c r="B30" s="522"/>
      <c r="C30" s="522"/>
      <c r="D30" s="522"/>
      <c r="E30" s="794">
        <v>2020</v>
      </c>
      <c r="F30" s="522"/>
      <c r="G30" s="527">
        <f t="shared" si="0"/>
        <v>42119000</v>
      </c>
      <c r="H30" s="528" t="s">
        <v>86</v>
      </c>
      <c r="I30" s="527">
        <f t="shared" si="1"/>
        <v>40171333.333333336</v>
      </c>
      <c r="J30" s="521" t="s">
        <v>2459</v>
      </c>
      <c r="K30" s="524"/>
      <c r="L30" s="524"/>
    </row>
    <row r="31" spans="1:14">
      <c r="A31" s="244"/>
      <c r="B31" s="522"/>
      <c r="C31" s="522"/>
      <c r="D31" s="522"/>
      <c r="E31" s="522"/>
      <c r="F31" s="522"/>
      <c r="G31" s="527"/>
      <c r="H31" s="528"/>
      <c r="I31" s="527"/>
      <c r="J31" s="521"/>
      <c r="K31" s="524"/>
      <c r="L31" s="524"/>
    </row>
    <row r="32" spans="1:14">
      <c r="A32" s="1270"/>
      <c r="B32" s="606" t="s">
        <v>2774</v>
      </c>
      <c r="C32" s="606"/>
      <c r="D32" s="606"/>
      <c r="E32" s="606"/>
      <c r="F32" s="606"/>
      <c r="G32" s="525"/>
      <c r="H32" s="1225"/>
      <c r="I32" s="525"/>
      <c r="J32" s="1048"/>
      <c r="K32" s="524"/>
      <c r="L32" s="524"/>
    </row>
    <row r="33" spans="1:13">
      <c r="A33" s="1271" t="s">
        <v>350</v>
      </c>
      <c r="B33" s="606"/>
      <c r="C33" s="606"/>
      <c r="D33" s="606"/>
      <c r="E33" s="606"/>
      <c r="F33" s="606"/>
      <c r="G33" s="1226" t="s">
        <v>194</v>
      </c>
      <c r="H33" s="1225"/>
      <c r="I33" s="1227" t="s">
        <v>198</v>
      </c>
      <c r="J33" s="590"/>
      <c r="K33" s="524"/>
      <c r="L33" s="524"/>
    </row>
    <row r="34" spans="1:13">
      <c r="A34" s="1270">
        <v>10</v>
      </c>
      <c r="B34" s="606"/>
      <c r="C34" s="606"/>
      <c r="D34" s="606"/>
      <c r="E34" s="590"/>
      <c r="F34" s="1223" t="s">
        <v>2775</v>
      </c>
      <c r="G34" s="1224">
        <v>18990910</v>
      </c>
      <c r="H34" s="1225"/>
      <c r="I34" s="1048" t="s">
        <v>2776</v>
      </c>
      <c r="J34" s="590"/>
      <c r="K34" s="524"/>
      <c r="L34" s="524"/>
    </row>
    <row r="35" spans="1:13">
      <c r="A35" s="1270">
        <v>11</v>
      </c>
      <c r="B35" s="606"/>
      <c r="C35" s="606"/>
      <c r="D35" s="606"/>
      <c r="E35" s="606"/>
      <c r="F35" s="1223" t="s">
        <v>2395</v>
      </c>
      <c r="G35" s="525">
        <f>'20-AandG'!E68</f>
        <v>45759000</v>
      </c>
      <c r="H35" s="1225"/>
      <c r="I35" s="1048" t="s">
        <v>2777</v>
      </c>
      <c r="J35" s="590"/>
      <c r="K35" s="524"/>
      <c r="L35" s="524"/>
    </row>
    <row r="36" spans="1:13">
      <c r="A36" s="1270">
        <v>12</v>
      </c>
      <c r="B36" s="606"/>
      <c r="C36" s="606"/>
      <c r="D36" s="606"/>
      <c r="E36" s="606"/>
      <c r="F36" s="1223" t="s">
        <v>2778</v>
      </c>
      <c r="G36" s="525">
        <f>G34-G35</f>
        <v>-26768090</v>
      </c>
      <c r="H36" s="1225"/>
      <c r="I36" s="1048" t="str">
        <f>"Line "&amp;A34&amp;" - Line "&amp;A35&amp;""</f>
        <v>Line 10 - Line 11</v>
      </c>
      <c r="J36" s="590"/>
      <c r="K36" s="524"/>
      <c r="L36" s="524"/>
    </row>
    <row r="37" spans="1:13">
      <c r="A37" s="1270">
        <v>13</v>
      </c>
      <c r="B37" s="606"/>
      <c r="C37" s="606"/>
      <c r="D37" s="606"/>
      <c r="E37" s="606"/>
      <c r="F37" s="1223" t="s">
        <v>2779</v>
      </c>
      <c r="G37" s="1321">
        <f>'27-Allocators'!G15</f>
        <v>6.0220089469584258E-2</v>
      </c>
      <c r="H37" s="590"/>
      <c r="I37" s="1048" t="str">
        <f>"27-Allocators, Line 9"</f>
        <v>27-Allocators, Line 9</v>
      </c>
      <c r="J37" s="590"/>
      <c r="K37" s="524"/>
      <c r="L37" s="524"/>
    </row>
    <row r="38" spans="1:13">
      <c r="A38" s="1270">
        <v>14</v>
      </c>
      <c r="B38" s="606"/>
      <c r="C38" s="606"/>
      <c r="D38" s="606"/>
      <c r="E38" s="606"/>
      <c r="F38" s="1223" t="s">
        <v>2780</v>
      </c>
      <c r="G38" s="525">
        <f>G36*G37</f>
        <v>-1611976.7747298838</v>
      </c>
      <c r="H38" s="1225"/>
      <c r="I38" s="1048" t="str">
        <f>"Line "&amp;A36&amp;" * Line "&amp;A37&amp;""</f>
        <v>Line 12 * Line 13</v>
      </c>
      <c r="J38" s="1048"/>
      <c r="K38" s="524"/>
      <c r="L38" s="524"/>
    </row>
    <row r="39" spans="1:13">
      <c r="A39" s="522"/>
      <c r="B39" s="522"/>
      <c r="C39" s="522"/>
      <c r="D39" s="522"/>
      <c r="E39" s="522"/>
      <c r="G39" s="522"/>
      <c r="H39" s="522"/>
      <c r="I39" s="522"/>
      <c r="K39" s="522"/>
      <c r="L39" s="522"/>
    </row>
    <row r="40" spans="1:13">
      <c r="A40" s="1272" t="s">
        <v>256</v>
      </c>
      <c r="B40" s="622"/>
      <c r="C40" s="622"/>
      <c r="D40" s="622"/>
      <c r="E40" s="622"/>
      <c r="F40" s="622"/>
      <c r="G40" s="622"/>
      <c r="H40" s="622"/>
      <c r="I40" s="622"/>
      <c r="J40" s="622"/>
      <c r="K40" s="622"/>
      <c r="L40" s="622"/>
      <c r="M40" s="61"/>
    </row>
    <row r="41" spans="1:13">
      <c r="A41" s="622" t="s">
        <v>2781</v>
      </c>
      <c r="B41" s="622"/>
      <c r="C41" s="622"/>
      <c r="D41" s="622"/>
      <c r="E41" s="622"/>
      <c r="F41" s="622"/>
      <c r="G41" s="622"/>
      <c r="H41" s="622"/>
      <c r="I41" s="622"/>
      <c r="J41" s="622"/>
      <c r="K41" s="622"/>
      <c r="L41" s="622"/>
      <c r="M41" s="61"/>
    </row>
    <row r="42" spans="1:13">
      <c r="A42" s="1237" t="s">
        <v>2782</v>
      </c>
      <c r="B42" s="622"/>
      <c r="C42" s="622"/>
      <c r="D42" s="622"/>
      <c r="E42" s="622"/>
      <c r="F42" s="622"/>
      <c r="G42" s="622"/>
      <c r="H42" s="622"/>
      <c r="I42" s="622"/>
      <c r="J42" s="622"/>
      <c r="K42" s="622"/>
      <c r="L42" s="622"/>
      <c r="M42" s="61"/>
    </row>
    <row r="43" spans="1:13">
      <c r="A43" s="1237" t="s">
        <v>2783</v>
      </c>
      <c r="B43" s="622"/>
      <c r="C43" s="622"/>
      <c r="D43" s="622"/>
      <c r="E43" s="622"/>
      <c r="F43" s="622"/>
      <c r="G43" s="622"/>
      <c r="H43" s="622"/>
      <c r="I43" s="622"/>
      <c r="J43" s="622"/>
      <c r="K43" s="622"/>
      <c r="L43" s="622"/>
      <c r="M43" s="61"/>
    </row>
    <row r="44" spans="1:13">
      <c r="A44" s="1237"/>
      <c r="B44" s="622"/>
      <c r="C44" s="622"/>
      <c r="D44" s="622"/>
      <c r="E44" s="622"/>
      <c r="F44" s="622"/>
      <c r="G44" s="622"/>
      <c r="H44" s="622"/>
      <c r="I44" s="622"/>
      <c r="J44" s="622"/>
      <c r="K44" s="622"/>
      <c r="L44" s="622"/>
      <c r="M44" s="61"/>
    </row>
    <row r="45" spans="1:13">
      <c r="A45" s="1237"/>
      <c r="B45" s="622"/>
      <c r="C45" s="622"/>
      <c r="D45" s="622"/>
      <c r="E45" s="622"/>
      <c r="F45" s="622"/>
      <c r="G45" s="622"/>
      <c r="H45" s="622"/>
      <c r="I45" s="204" t="s">
        <v>2784</v>
      </c>
      <c r="J45" s="622"/>
      <c r="K45" s="622"/>
      <c r="L45" s="622"/>
      <c r="M45" s="61"/>
    </row>
    <row r="46" spans="1:13">
      <c r="A46" s="1250"/>
      <c r="B46" s="622"/>
      <c r="C46" s="622"/>
      <c r="D46" s="622"/>
      <c r="E46" s="622"/>
      <c r="F46" s="622"/>
      <c r="G46" s="63" t="s">
        <v>212</v>
      </c>
      <c r="H46" s="1238" t="s">
        <v>194</v>
      </c>
      <c r="I46" s="1238" t="s">
        <v>224</v>
      </c>
      <c r="J46" s="622"/>
      <c r="K46" s="622"/>
      <c r="L46" s="622"/>
      <c r="M46" s="61"/>
    </row>
    <row r="47" spans="1:13">
      <c r="A47" s="1250"/>
      <c r="B47" s="622" t="s">
        <v>2785</v>
      </c>
      <c r="C47" s="622"/>
      <c r="D47" s="622"/>
      <c r="E47" s="622"/>
      <c r="F47" s="622"/>
      <c r="G47" s="1239">
        <v>2014</v>
      </c>
      <c r="H47" s="1224">
        <v>-7105094</v>
      </c>
      <c r="I47" s="1240" t="s">
        <v>2990</v>
      </c>
      <c r="J47" s="1241"/>
      <c r="K47" s="1241"/>
      <c r="L47" s="1241"/>
      <c r="M47" s="61"/>
    </row>
    <row r="48" spans="1:13">
      <c r="A48" s="1250"/>
      <c r="B48" s="1242" t="s">
        <v>2786</v>
      </c>
      <c r="C48" s="622"/>
      <c r="D48" s="622"/>
      <c r="E48" s="622"/>
      <c r="F48" s="622"/>
      <c r="G48" s="1239">
        <v>2015</v>
      </c>
      <c r="H48" s="1224">
        <v>18990910</v>
      </c>
      <c r="I48" s="1240" t="s">
        <v>2990</v>
      </c>
      <c r="J48" s="1241"/>
      <c r="K48" s="1241"/>
      <c r="L48" s="1241"/>
      <c r="M48" s="61"/>
    </row>
    <row r="49" spans="1:14">
      <c r="A49" s="1250"/>
      <c r="B49" s="622"/>
      <c r="C49" s="622"/>
      <c r="D49" s="622"/>
      <c r="E49" s="622"/>
      <c r="F49" s="622"/>
      <c r="G49" s="1239" t="s">
        <v>2994</v>
      </c>
      <c r="H49" s="1224">
        <v>45759000</v>
      </c>
      <c r="I49" s="1240" t="s">
        <v>2990</v>
      </c>
      <c r="J49" s="1241"/>
      <c r="K49" s="1241"/>
      <c r="L49" s="1241"/>
      <c r="M49" s="61"/>
    </row>
    <row r="50" spans="1:14">
      <c r="A50" s="1250"/>
      <c r="B50" s="622"/>
      <c r="C50" s="622"/>
      <c r="D50" s="622"/>
      <c r="E50" s="622"/>
      <c r="F50" s="622"/>
      <c r="G50" s="1239">
        <v>2017</v>
      </c>
      <c r="H50" s="1224">
        <v>45759000</v>
      </c>
      <c r="I50" s="1240" t="s">
        <v>2990</v>
      </c>
      <c r="J50" s="1241"/>
      <c r="K50" s="1241"/>
      <c r="L50" s="1241"/>
      <c r="M50" s="61"/>
    </row>
    <row r="51" spans="1:14">
      <c r="A51" s="1250"/>
      <c r="B51" s="622"/>
      <c r="C51" s="622"/>
      <c r="D51" s="622"/>
      <c r="E51" s="622"/>
      <c r="F51" s="622"/>
      <c r="G51" s="1239">
        <v>2018</v>
      </c>
      <c r="H51" s="1224">
        <v>45759000</v>
      </c>
      <c r="I51" s="1240" t="s">
        <v>2990</v>
      </c>
      <c r="J51" s="1241"/>
      <c r="K51" s="1241"/>
      <c r="L51" s="1241"/>
      <c r="M51" s="61"/>
    </row>
    <row r="52" spans="1:14">
      <c r="A52" s="1250"/>
      <c r="B52" s="622"/>
      <c r="C52" s="622"/>
      <c r="D52" s="622"/>
      <c r="E52" s="622"/>
      <c r="F52" s="622"/>
      <c r="G52" s="1239" t="s">
        <v>564</v>
      </c>
      <c r="H52" s="1243"/>
      <c r="I52" s="1244"/>
      <c r="J52" s="1241"/>
      <c r="K52" s="1241"/>
      <c r="L52" s="1241"/>
      <c r="M52" s="61"/>
    </row>
    <row r="53" spans="1:14">
      <c r="A53" s="1250"/>
      <c r="B53" s="622"/>
      <c r="C53" s="622"/>
      <c r="D53" s="622"/>
      <c r="E53" s="622"/>
      <c r="F53" s="622"/>
      <c r="G53" s="1245"/>
      <c r="H53" s="1246"/>
      <c r="I53" s="1237"/>
      <c r="J53" s="622"/>
      <c r="K53" s="622"/>
      <c r="L53" s="622"/>
      <c r="M53" s="61"/>
    </row>
    <row r="54" spans="1:14">
      <c r="A54" s="1237" t="s">
        <v>2787</v>
      </c>
      <c r="B54" s="622"/>
      <c r="C54" s="622"/>
      <c r="D54" s="622"/>
      <c r="E54" s="622"/>
      <c r="F54" s="622"/>
      <c r="G54" s="1245"/>
      <c r="H54" s="1246"/>
      <c r="I54" s="1237"/>
      <c r="J54" s="622"/>
      <c r="K54" s="622"/>
      <c r="L54" s="622"/>
      <c r="M54" s="61"/>
    </row>
    <row r="55" spans="1:14">
      <c r="A55" s="1250"/>
      <c r="B55" s="622"/>
      <c r="C55" s="622"/>
      <c r="D55" s="622"/>
      <c r="E55" s="622"/>
      <c r="F55" s="622"/>
      <c r="G55" s="1245"/>
      <c r="H55" s="1246"/>
      <c r="I55" s="1237"/>
      <c r="J55" s="622"/>
      <c r="K55" s="622"/>
      <c r="L55" s="622"/>
      <c r="M55" s="61"/>
    </row>
    <row r="56" spans="1:14">
      <c r="A56" s="1250"/>
      <c r="B56" s="622"/>
      <c r="C56" s="622"/>
      <c r="D56" s="622"/>
      <c r="E56" s="622"/>
      <c r="F56" s="622"/>
      <c r="G56" s="1247" t="s">
        <v>2386</v>
      </c>
      <c r="H56" s="1247" t="s">
        <v>2387</v>
      </c>
      <c r="I56" s="1247" t="s">
        <v>2388</v>
      </c>
      <c r="J56" s="1247" t="s">
        <v>2788</v>
      </c>
      <c r="K56" s="1247" t="s">
        <v>2789</v>
      </c>
      <c r="L56" s="622"/>
      <c r="M56" s="61"/>
    </row>
    <row r="57" spans="1:14">
      <c r="A57" s="1250"/>
      <c r="B57" s="622"/>
      <c r="C57" s="622"/>
      <c r="D57" s="622"/>
      <c r="E57" s="622"/>
      <c r="F57" s="622"/>
      <c r="G57" s="1248"/>
      <c r="H57" s="1248"/>
      <c r="I57" s="61"/>
      <c r="J57" s="1248"/>
      <c r="K57" s="1248"/>
      <c r="L57" s="622"/>
      <c r="M57" s="61"/>
    </row>
    <row r="58" spans="1:14">
      <c r="A58" s="1237"/>
      <c r="B58" s="622"/>
      <c r="C58" s="622"/>
      <c r="D58" s="622"/>
      <c r="E58" s="622"/>
      <c r="F58" s="622"/>
      <c r="G58" s="622"/>
      <c r="H58" s="622"/>
      <c r="I58" s="1247" t="s">
        <v>1050</v>
      </c>
      <c r="J58" s="1245" t="s">
        <v>2790</v>
      </c>
      <c r="K58" s="1245" t="s">
        <v>2791</v>
      </c>
      <c r="L58" s="622"/>
      <c r="M58" s="61"/>
    </row>
    <row r="59" spans="1:14" ht="15">
      <c r="A59" s="61"/>
      <c r="B59" s="622"/>
      <c r="C59" s="622"/>
      <c r="D59" s="622"/>
      <c r="E59" s="622"/>
      <c r="F59" s="606"/>
      <c r="G59" s="606"/>
      <c r="H59" s="622"/>
      <c r="I59" s="204" t="s">
        <v>2396</v>
      </c>
      <c r="J59" s="1249" t="s">
        <v>2792</v>
      </c>
      <c r="K59" s="1250" t="s">
        <v>2396</v>
      </c>
      <c r="L59" s="622"/>
      <c r="M59" s="61"/>
      <c r="N59" s="1220"/>
    </row>
    <row r="60" spans="1:14" ht="15">
      <c r="A60" s="1237"/>
      <c r="B60" s="622" t="s">
        <v>359</v>
      </c>
      <c r="C60" s="622"/>
      <c r="D60" s="622"/>
      <c r="E60" s="622"/>
      <c r="F60" s="1250"/>
      <c r="G60" s="1250" t="s">
        <v>2392</v>
      </c>
      <c r="H60" s="1250" t="s">
        <v>2392</v>
      </c>
      <c r="I60" s="204" t="s">
        <v>2397</v>
      </c>
      <c r="J60" s="1249" t="s">
        <v>534</v>
      </c>
      <c r="K60" s="1250" t="s">
        <v>2397</v>
      </c>
      <c r="L60" s="622"/>
      <c r="M60" s="61"/>
    </row>
    <row r="61" spans="1:14">
      <c r="A61" s="1237"/>
      <c r="B61" s="622" t="s">
        <v>2398</v>
      </c>
      <c r="C61" s="622"/>
      <c r="D61" s="622"/>
      <c r="E61" s="622"/>
      <c r="F61" s="1238" t="s">
        <v>212</v>
      </c>
      <c r="G61" s="1238" t="s">
        <v>2394</v>
      </c>
      <c r="H61" s="1238" t="s">
        <v>2393</v>
      </c>
      <c r="I61" s="63" t="s">
        <v>2393</v>
      </c>
      <c r="J61" s="63" t="s">
        <v>2393</v>
      </c>
      <c r="K61" s="1238" t="s">
        <v>2393</v>
      </c>
      <c r="L61" s="622"/>
      <c r="M61" s="61"/>
    </row>
    <row r="62" spans="1:14">
      <c r="A62" s="1237"/>
      <c r="B62" s="622" t="s">
        <v>2793</v>
      </c>
      <c r="C62" s="622"/>
      <c r="D62" s="622"/>
      <c r="E62" s="622"/>
      <c r="F62" s="1251">
        <v>2014</v>
      </c>
      <c r="G62" s="1224">
        <v>18703861</v>
      </c>
      <c r="H62" s="1224">
        <v>-7105094</v>
      </c>
      <c r="I62" s="1224">
        <v>-10467090.5</v>
      </c>
      <c r="J62" s="820">
        <f>H62-I62</f>
        <v>3361996.5</v>
      </c>
      <c r="K62" s="1246">
        <f>G62-J62</f>
        <v>15341864.5</v>
      </c>
      <c r="L62" s="622"/>
      <c r="M62" s="61"/>
    </row>
    <row r="63" spans="1:14">
      <c r="A63" s="1237"/>
      <c r="B63" s="622"/>
      <c r="C63" s="622"/>
      <c r="D63" s="622"/>
      <c r="E63" s="622"/>
      <c r="F63" s="1251">
        <v>2015</v>
      </c>
      <c r="G63" s="1224">
        <v>23777694</v>
      </c>
      <c r="H63" s="1224">
        <v>18990910</v>
      </c>
      <c r="I63" s="1224">
        <v>-10467090.5</v>
      </c>
      <c r="J63" s="820">
        <f>H63-I63</f>
        <v>29458000.5</v>
      </c>
      <c r="K63" s="1246">
        <f>G63-J63</f>
        <v>-5680306.5</v>
      </c>
      <c r="L63" s="622"/>
      <c r="M63" s="61"/>
    </row>
    <row r="64" spans="1:14">
      <c r="A64" s="1237"/>
      <c r="B64" s="622"/>
      <c r="C64" s="622"/>
      <c r="D64" s="622"/>
      <c r="E64" s="622"/>
      <c r="F64" s="1239" t="s">
        <v>564</v>
      </c>
      <c r="G64" s="1224"/>
      <c r="H64" s="1224"/>
      <c r="I64" s="1224"/>
      <c r="J64" s="590"/>
      <c r="K64" s="622"/>
      <c r="L64" s="622"/>
      <c r="M64" s="61"/>
    </row>
    <row r="65" spans="1:13" ht="15">
      <c r="A65" s="1237"/>
      <c r="B65" s="622"/>
      <c r="C65" s="622"/>
      <c r="D65" s="622"/>
      <c r="E65" s="622"/>
      <c r="F65" s="1252"/>
      <c r="G65" s="525"/>
      <c r="H65" s="1253"/>
      <c r="I65" s="1253"/>
      <c r="J65" s="1254" t="s">
        <v>2794</v>
      </c>
      <c r="K65" s="1246">
        <f>SUM(K62:K64)</f>
        <v>9661558</v>
      </c>
      <c r="L65" s="1237" t="s">
        <v>2399</v>
      </c>
      <c r="M65" s="61"/>
    </row>
    <row r="66" spans="1:13">
      <c r="A66" s="1237"/>
      <c r="B66" s="622"/>
      <c r="C66" s="622"/>
      <c r="D66" s="622"/>
      <c r="E66" s="622"/>
      <c r="F66" s="1252"/>
      <c r="G66" s="606"/>
      <c r="H66" s="622"/>
      <c r="I66" s="622"/>
      <c r="J66" s="622"/>
      <c r="K66" s="622"/>
      <c r="L66" s="622"/>
      <c r="M66" s="61"/>
    </row>
    <row r="67" spans="1:13">
      <c r="A67" s="622" t="s">
        <v>2795</v>
      </c>
      <c r="B67" s="622"/>
      <c r="C67" s="622"/>
      <c r="D67" s="622"/>
      <c r="E67" s="622"/>
      <c r="F67" s="622"/>
      <c r="G67" s="622"/>
      <c r="H67" s="622"/>
      <c r="I67" s="622"/>
      <c r="J67" s="622"/>
      <c r="K67" s="622"/>
      <c r="L67" s="622"/>
      <c r="M67" s="61"/>
    </row>
    <row r="68" spans="1:13">
      <c r="A68" s="1237" t="s">
        <v>2796</v>
      </c>
      <c r="B68" s="622"/>
      <c r="C68" s="622"/>
      <c r="D68" s="622"/>
      <c r="E68" s="622"/>
      <c r="F68" s="622"/>
      <c r="G68" s="622"/>
      <c r="H68" s="622"/>
      <c r="I68" s="622"/>
      <c r="J68" s="622"/>
      <c r="K68" s="622"/>
      <c r="L68" s="622"/>
      <c r="M68" s="61"/>
    </row>
    <row r="69" spans="1:13">
      <c r="A69" s="1237" t="s">
        <v>2400</v>
      </c>
      <c r="B69" s="622"/>
      <c r="C69" s="622"/>
      <c r="D69" s="622"/>
      <c r="E69" s="622"/>
      <c r="F69" s="622"/>
      <c r="G69" s="622"/>
      <c r="H69" s="622"/>
      <c r="I69" s="622"/>
      <c r="J69" s="622"/>
      <c r="K69" s="622"/>
      <c r="L69" s="622"/>
      <c r="M69" s="61"/>
    </row>
    <row r="70" spans="1:13">
      <c r="A70" s="1237" t="s">
        <v>2401</v>
      </c>
      <c r="B70" s="622"/>
      <c r="C70" s="622"/>
      <c r="D70" s="622"/>
      <c r="E70" s="622"/>
      <c r="F70" s="622"/>
      <c r="G70" s="622"/>
      <c r="H70" s="622"/>
      <c r="I70" s="622"/>
      <c r="J70" s="622"/>
      <c r="K70" s="622"/>
      <c r="L70" s="622"/>
      <c r="M70" s="61"/>
    </row>
    <row r="71" spans="1:13">
      <c r="A71" s="1237" t="s">
        <v>2797</v>
      </c>
      <c r="B71" s="622"/>
      <c r="C71" s="622"/>
      <c r="D71" s="622"/>
      <c r="E71" s="622"/>
      <c r="F71" s="622"/>
      <c r="G71" s="622"/>
      <c r="H71" s="622"/>
      <c r="I71" s="622"/>
      <c r="J71" s="622"/>
      <c r="K71" s="622"/>
      <c r="L71" s="622"/>
      <c r="M71" s="61"/>
    </row>
    <row r="72" spans="1:13">
      <c r="A72" s="622"/>
      <c r="B72" s="622"/>
      <c r="C72" s="622"/>
      <c r="D72" s="622"/>
      <c r="E72" s="622"/>
      <c r="F72" s="622"/>
      <c r="G72" s="1238" t="s">
        <v>194</v>
      </c>
      <c r="H72" s="1238" t="s">
        <v>171</v>
      </c>
      <c r="I72" s="622"/>
      <c r="J72" s="622"/>
      <c r="K72" s="622"/>
      <c r="L72" s="622"/>
      <c r="M72" s="61"/>
    </row>
    <row r="73" spans="1:13">
      <c r="A73" s="1250" t="s">
        <v>1928</v>
      </c>
      <c r="B73" s="622"/>
      <c r="C73" s="622"/>
      <c r="D73" s="622"/>
      <c r="E73" s="622"/>
      <c r="F73" s="1255" t="s">
        <v>2402</v>
      </c>
      <c r="G73" s="1246">
        <f>G80+G81</f>
        <v>68109000</v>
      </c>
      <c r="H73" s="1237" t="s">
        <v>2403</v>
      </c>
      <c r="I73" s="622"/>
      <c r="J73" s="622"/>
      <c r="K73" s="622"/>
      <c r="L73" s="622"/>
      <c r="M73" s="61"/>
    </row>
    <row r="74" spans="1:13">
      <c r="A74" s="1250" t="s">
        <v>1929</v>
      </c>
      <c r="B74" s="622"/>
      <c r="C74" s="622"/>
      <c r="D74" s="622"/>
      <c r="E74" s="622"/>
      <c r="F74" s="1255" t="s">
        <v>2404</v>
      </c>
      <c r="G74" s="1256">
        <f>H49+H50</f>
        <v>91518000</v>
      </c>
      <c r="H74" s="1237" t="s">
        <v>2798</v>
      </c>
      <c r="I74" s="622"/>
      <c r="J74" s="622"/>
      <c r="K74" s="622"/>
      <c r="L74" s="622"/>
      <c r="M74" s="61"/>
    </row>
    <row r="75" spans="1:13">
      <c r="A75" s="1250" t="s">
        <v>1930</v>
      </c>
      <c r="B75" s="622"/>
      <c r="C75" s="622"/>
      <c r="D75" s="622"/>
      <c r="E75" s="622"/>
      <c r="F75" s="1255" t="s">
        <v>2799</v>
      </c>
      <c r="G75" s="1246">
        <f xml:space="preserve"> G73-G74</f>
        <v>-23409000</v>
      </c>
      <c r="H75" s="1237" t="s">
        <v>2405</v>
      </c>
      <c r="I75" s="622"/>
      <c r="J75" s="622"/>
      <c r="K75" s="622"/>
      <c r="L75" s="622"/>
      <c r="M75" s="61"/>
    </row>
    <row r="76" spans="1:13">
      <c r="A76" s="1250"/>
      <c r="B76" s="622"/>
      <c r="C76" s="622"/>
      <c r="D76" s="622"/>
      <c r="E76" s="622"/>
      <c r="F76" s="622"/>
      <c r="G76" s="622"/>
      <c r="H76" s="622"/>
      <c r="I76" s="622"/>
      <c r="J76" s="622"/>
      <c r="K76" s="622"/>
      <c r="L76" s="622"/>
      <c r="M76" s="61"/>
    </row>
    <row r="77" spans="1:13">
      <c r="A77" s="1250"/>
      <c r="B77" s="622"/>
      <c r="C77" s="622"/>
      <c r="D77" s="622" t="s">
        <v>2406</v>
      </c>
      <c r="E77" s="622"/>
      <c r="F77" s="622"/>
      <c r="G77" s="622"/>
      <c r="H77" s="622"/>
      <c r="I77" s="622"/>
      <c r="J77" s="622"/>
      <c r="K77" s="622"/>
      <c r="L77" s="622"/>
      <c r="M77" s="61"/>
    </row>
    <row r="78" spans="1:13">
      <c r="A78" s="1250"/>
      <c r="B78" s="622"/>
      <c r="C78" s="622"/>
      <c r="D78" s="622"/>
      <c r="E78" s="622"/>
      <c r="F78" s="1250"/>
      <c r="G78" s="204" t="s">
        <v>2800</v>
      </c>
      <c r="H78" s="622"/>
      <c r="I78" s="622"/>
      <c r="J78" s="622"/>
      <c r="K78" s="622"/>
      <c r="L78" s="622"/>
      <c r="M78" s="61"/>
    </row>
    <row r="79" spans="1:13">
      <c r="A79" s="1250"/>
      <c r="B79" s="622"/>
      <c r="C79" s="622"/>
      <c r="D79" s="622"/>
      <c r="E79" s="622"/>
      <c r="F79" s="1238" t="s">
        <v>212</v>
      </c>
      <c r="G79" s="1238" t="s">
        <v>2394</v>
      </c>
      <c r="H79" s="622"/>
      <c r="I79" s="622"/>
      <c r="J79" s="622"/>
      <c r="K79" s="622"/>
      <c r="L79" s="622"/>
      <c r="M79" s="61"/>
    </row>
    <row r="80" spans="1:13">
      <c r="A80" s="1250" t="s">
        <v>1931</v>
      </c>
      <c r="B80" s="622"/>
      <c r="C80" s="622"/>
      <c r="D80" s="622"/>
      <c r="E80" s="622"/>
      <c r="F80" s="1251">
        <v>2016</v>
      </c>
      <c r="G80" s="1224">
        <v>32884000</v>
      </c>
      <c r="H80" s="622"/>
      <c r="I80" s="622"/>
      <c r="J80" s="622"/>
      <c r="K80" s="622"/>
      <c r="L80" s="622"/>
      <c r="M80" s="61"/>
    </row>
    <row r="81" spans="1:15">
      <c r="A81" s="1250" t="s">
        <v>1932</v>
      </c>
      <c r="B81" s="622"/>
      <c r="C81" s="622"/>
      <c r="D81" s="622"/>
      <c r="E81" s="622"/>
      <c r="F81" s="1251">
        <v>2017</v>
      </c>
      <c r="G81" s="1224">
        <v>35225000</v>
      </c>
      <c r="H81" s="622"/>
      <c r="I81" s="622"/>
      <c r="J81" s="622"/>
      <c r="K81" s="622"/>
      <c r="L81" s="622"/>
      <c r="M81" s="61"/>
    </row>
    <row r="82" spans="1:15">
      <c r="A82" s="1250" t="s">
        <v>1933</v>
      </c>
      <c r="B82" s="622"/>
      <c r="C82" s="622"/>
      <c r="D82" s="622"/>
      <c r="E82" s="622"/>
      <c r="F82" s="1251">
        <v>2018</v>
      </c>
      <c r="G82" s="1224">
        <v>38261000</v>
      </c>
      <c r="H82" s="622"/>
      <c r="I82" s="622"/>
      <c r="J82" s="622"/>
      <c r="K82" s="622"/>
      <c r="L82" s="622"/>
      <c r="M82" s="61"/>
    </row>
    <row r="83" spans="1:15">
      <c r="A83" s="1250" t="s">
        <v>1935</v>
      </c>
      <c r="B83" s="622"/>
      <c r="C83" s="622"/>
      <c r="D83" s="622"/>
      <c r="E83" s="622"/>
      <c r="F83" s="1251">
        <v>2019</v>
      </c>
      <c r="G83" s="1224">
        <v>40134000</v>
      </c>
      <c r="H83" s="622"/>
      <c r="I83" s="622"/>
      <c r="J83" s="622"/>
      <c r="K83" s="622"/>
      <c r="L83" s="622"/>
      <c r="M83" s="61"/>
    </row>
    <row r="84" spans="1:15">
      <c r="A84" s="1250" t="s">
        <v>2215</v>
      </c>
      <c r="B84" s="622"/>
      <c r="C84" s="622"/>
      <c r="D84" s="622"/>
      <c r="E84" s="622"/>
      <c r="F84" s="1251">
        <v>2020</v>
      </c>
      <c r="G84" s="1224">
        <v>42119000</v>
      </c>
      <c r="H84" s="622"/>
      <c r="I84" s="622"/>
      <c r="J84" s="622"/>
      <c r="K84" s="622"/>
      <c r="L84" s="622"/>
      <c r="M84" s="61"/>
    </row>
    <row r="85" spans="1:15">
      <c r="A85" s="1250"/>
      <c r="B85" s="622"/>
      <c r="C85" s="622"/>
      <c r="D85" s="622"/>
      <c r="E85" s="622"/>
      <c r="F85" s="622"/>
      <c r="G85" s="622"/>
      <c r="H85" s="622"/>
      <c r="I85" s="622"/>
      <c r="J85" s="622"/>
      <c r="K85" s="622"/>
      <c r="L85" s="622"/>
      <c r="M85" s="61"/>
    </row>
    <row r="86" spans="1:15">
      <c r="A86" s="606"/>
      <c r="B86" s="606" t="s">
        <v>2801</v>
      </c>
      <c r="C86" s="606"/>
      <c r="D86" s="606"/>
      <c r="E86" s="606"/>
      <c r="F86" s="606"/>
      <c r="G86" s="606"/>
      <c r="H86" s="1257" t="s">
        <v>171</v>
      </c>
      <c r="I86" s="606"/>
      <c r="J86" s="606"/>
      <c r="K86" s="606"/>
      <c r="L86" s="606"/>
      <c r="M86" s="61"/>
    </row>
    <row r="87" spans="1:15">
      <c r="A87" s="1270" t="s">
        <v>2216</v>
      </c>
      <c r="B87" s="606" t="s">
        <v>2407</v>
      </c>
      <c r="C87" s="606"/>
      <c r="D87" s="606"/>
      <c r="E87" s="606"/>
      <c r="F87" s="606"/>
      <c r="G87" s="525">
        <f xml:space="preserve"> (G80+G81)*0.2</f>
        <v>13621800</v>
      </c>
      <c r="H87" s="1048" t="s">
        <v>2414</v>
      </c>
      <c r="I87" s="606"/>
      <c r="J87" s="606"/>
      <c r="K87" s="606"/>
      <c r="L87" s="606"/>
      <c r="M87" s="61"/>
    </row>
    <row r="88" spans="1:15">
      <c r="A88" s="1270"/>
      <c r="B88" s="606"/>
      <c r="C88" s="606"/>
      <c r="D88" s="606"/>
      <c r="E88" s="606"/>
      <c r="F88" s="606"/>
      <c r="G88" s="525"/>
      <c r="H88" s="1048"/>
      <c r="I88" s="606"/>
      <c r="J88" s="606"/>
      <c r="K88" s="606"/>
      <c r="L88" s="606"/>
      <c r="M88" s="61"/>
    </row>
    <row r="89" spans="1:15">
      <c r="A89" s="1273" t="s">
        <v>2802</v>
      </c>
      <c r="B89" s="606"/>
      <c r="C89" s="606"/>
      <c r="D89" s="606"/>
      <c r="E89" s="606"/>
      <c r="F89" s="606"/>
      <c r="G89" s="525"/>
      <c r="H89" s="1048"/>
      <c r="I89" s="606"/>
      <c r="J89" s="606"/>
      <c r="K89" s="606"/>
      <c r="L89" s="606"/>
      <c r="M89" s="590"/>
      <c r="N89" s="61"/>
    </row>
    <row r="90" spans="1:15">
      <c r="A90" s="1274" t="s">
        <v>2803</v>
      </c>
      <c r="B90" s="606"/>
      <c r="C90" s="606"/>
      <c r="D90" s="606"/>
      <c r="E90" s="606"/>
      <c r="F90" s="606"/>
      <c r="G90" s="525"/>
      <c r="H90" s="1048"/>
      <c r="I90" s="606"/>
      <c r="J90" s="606"/>
      <c r="K90" s="606"/>
      <c r="L90" s="606"/>
      <c r="M90" s="590"/>
      <c r="N90" s="61"/>
    </row>
    <row r="91" spans="1:15">
      <c r="A91" s="1274" t="s">
        <v>2804</v>
      </c>
      <c r="B91" s="590"/>
      <c r="C91" s="590"/>
      <c r="D91" s="590"/>
      <c r="E91" s="606"/>
      <c r="F91" s="590"/>
      <c r="G91" s="590"/>
      <c r="H91" s="590"/>
      <c r="I91" s="590"/>
      <c r="J91" s="590"/>
      <c r="K91" s="590"/>
      <c r="L91" s="590"/>
      <c r="M91" s="590"/>
      <c r="N91" s="61"/>
    </row>
    <row r="92" spans="1:15">
      <c r="A92" s="1274"/>
      <c r="B92" s="590"/>
      <c r="C92" s="590"/>
      <c r="D92" s="590"/>
      <c r="E92" s="590"/>
      <c r="F92" s="590"/>
      <c r="G92" s="590"/>
      <c r="H92" s="590"/>
      <c r="I92" s="590"/>
      <c r="J92" s="590"/>
      <c r="K92" s="590"/>
      <c r="L92" s="590"/>
      <c r="M92" s="61"/>
    </row>
    <row r="93" spans="1:15" ht="15">
      <c r="A93" s="1275" t="s">
        <v>420</v>
      </c>
      <c r="B93" s="1234"/>
      <c r="C93" s="1234"/>
      <c r="D93" s="1234"/>
      <c r="E93" s="1234"/>
      <c r="F93" s="1234"/>
      <c r="G93" s="1234"/>
      <c r="H93" s="1234"/>
      <c r="I93" s="1234"/>
      <c r="J93" s="1234"/>
      <c r="K93" s="1234"/>
      <c r="L93" s="1234"/>
      <c r="M93" s="1276"/>
    </row>
    <row r="94" spans="1:15" ht="15">
      <c r="A94" s="1048" t="s">
        <v>2805</v>
      </c>
      <c r="B94" s="1234"/>
      <c r="C94" s="1234"/>
      <c r="D94" s="1234"/>
      <c r="E94" s="1234"/>
      <c r="F94" s="1234"/>
      <c r="G94" s="1234"/>
      <c r="H94" s="1234"/>
      <c r="I94" s="1234"/>
      <c r="J94" s="1234"/>
      <c r="K94" s="1234"/>
      <c r="L94" s="1234"/>
      <c r="M94" s="1277"/>
      <c r="O94" s="381"/>
    </row>
    <row r="95" spans="1:15" ht="14.25">
      <c r="A95" s="1278" t="s">
        <v>2806</v>
      </c>
      <c r="B95" s="1234"/>
      <c r="C95" s="1234"/>
      <c r="D95" s="1234"/>
      <c r="E95" s="1234"/>
      <c r="F95" s="1234"/>
      <c r="G95" s="1234"/>
      <c r="H95" s="1234"/>
      <c r="I95" s="1234"/>
      <c r="J95" s="1234"/>
      <c r="K95" s="1234"/>
      <c r="L95" s="1234"/>
      <c r="M95" s="1277"/>
    </row>
    <row r="96" spans="1:15" ht="14.25">
      <c r="A96" s="1278" t="s">
        <v>2807</v>
      </c>
      <c r="B96" s="1234"/>
      <c r="C96" s="1234"/>
      <c r="D96" s="1234"/>
      <c r="E96" s="1234"/>
      <c r="F96" s="1234"/>
      <c r="G96" s="1234"/>
      <c r="H96" s="1234"/>
      <c r="I96" s="1234"/>
      <c r="J96" s="1234"/>
      <c r="K96" s="1234"/>
      <c r="L96" s="1234"/>
      <c r="M96" s="1277"/>
    </row>
    <row r="97" spans="1:13" ht="14.25">
      <c r="A97" s="1278" t="s">
        <v>2808</v>
      </c>
      <c r="B97" s="1234"/>
      <c r="C97" s="1234"/>
      <c r="D97" s="1234"/>
      <c r="E97" s="1234"/>
      <c r="F97" s="1234"/>
      <c r="G97" s="1234"/>
      <c r="H97" s="1234"/>
      <c r="I97" s="1234"/>
      <c r="J97" s="1234"/>
      <c r="K97" s="1234"/>
      <c r="L97" s="1234"/>
      <c r="M97" s="1277"/>
    </row>
    <row r="98" spans="1:13" ht="14.25">
      <c r="A98" s="1278" t="s">
        <v>2809</v>
      </c>
      <c r="B98" s="1234"/>
      <c r="C98" s="1234"/>
      <c r="D98" s="1234"/>
      <c r="E98" s="1234"/>
      <c r="F98" s="1234"/>
      <c r="G98" s="1234"/>
      <c r="H98" s="1234"/>
      <c r="I98" s="1234"/>
      <c r="J98" s="1234"/>
      <c r="K98" s="1234"/>
      <c r="L98" s="1234"/>
      <c r="M98" s="1277"/>
    </row>
    <row r="99" spans="1:13" ht="14.25">
      <c r="A99" s="1279" t="s">
        <v>2810</v>
      </c>
      <c r="B99" s="1234"/>
      <c r="C99" s="1234"/>
      <c r="D99" s="1234"/>
      <c r="E99" s="1234"/>
      <c r="F99" s="1234"/>
      <c r="G99" s="1234"/>
      <c r="H99" s="1234"/>
      <c r="I99" s="1234"/>
      <c r="J99" s="1234"/>
      <c r="K99" s="1234"/>
      <c r="L99" s="1234"/>
      <c r="M99" s="1277"/>
    </row>
    <row r="100" spans="1:13" ht="14.25">
      <c r="A100" s="1278" t="s">
        <v>2811</v>
      </c>
      <c r="B100" s="1235"/>
      <c r="C100" s="1236"/>
      <c r="D100" s="1236"/>
      <c r="E100" s="1236"/>
      <c r="F100" s="1236"/>
      <c r="G100" s="1236"/>
      <c r="H100" s="1236"/>
      <c r="I100" s="1236"/>
      <c r="J100" s="1236"/>
      <c r="K100" s="1236"/>
      <c r="L100" s="1234"/>
      <c r="M100" s="1277"/>
    </row>
    <row r="101" spans="1:13" ht="14.25">
      <c r="A101" s="1278" t="s">
        <v>2812</v>
      </c>
      <c r="B101" s="1235"/>
      <c r="C101" s="1236"/>
      <c r="D101" s="1236"/>
      <c r="E101" s="1236"/>
      <c r="F101" s="1236"/>
      <c r="G101" s="1236"/>
      <c r="H101" s="1236"/>
      <c r="I101" s="1236"/>
      <c r="J101" s="1236"/>
      <c r="K101" s="1236"/>
      <c r="L101" s="1234"/>
      <c r="M101" s="1277"/>
    </row>
    <row r="102" spans="1:13" ht="14.25">
      <c r="A102" s="1048" t="s">
        <v>2813</v>
      </c>
      <c r="B102" s="1235"/>
      <c r="C102" s="1234"/>
      <c r="D102" s="1234"/>
      <c r="E102" s="1234"/>
      <c r="F102" s="1234"/>
      <c r="G102" s="1234"/>
      <c r="H102" s="1234"/>
      <c r="I102" s="1234"/>
      <c r="J102" s="1234"/>
      <c r="K102" s="1234"/>
      <c r="L102" s="1234"/>
      <c r="M102" s="1277"/>
    </row>
    <row r="103" spans="1:13" ht="14.25">
      <c r="A103" s="1278" t="s">
        <v>2814</v>
      </c>
      <c r="B103" s="1235"/>
      <c r="C103" s="1234"/>
      <c r="D103" s="1234"/>
      <c r="E103" s="1234"/>
      <c r="F103" s="1234"/>
      <c r="G103" s="1234"/>
      <c r="H103" s="1234"/>
      <c r="I103" s="1234"/>
      <c r="J103" s="1234"/>
      <c r="K103" s="1234"/>
      <c r="L103" s="1234"/>
      <c r="M103" s="1277"/>
    </row>
    <row r="104" spans="1:13" ht="14.25">
      <c r="A104" s="1278" t="s">
        <v>2815</v>
      </c>
      <c r="B104" s="1235"/>
      <c r="C104" s="1234"/>
      <c r="D104" s="1234"/>
      <c r="E104" s="1234"/>
      <c r="F104" s="1234"/>
      <c r="G104" s="1234"/>
      <c r="H104" s="1234"/>
      <c r="I104" s="1234"/>
      <c r="J104" s="1234"/>
      <c r="K104" s="1234"/>
      <c r="L104" s="1234"/>
      <c r="M104" s="1277"/>
    </row>
    <row r="105" spans="1:13" ht="14.25">
      <c r="A105" s="1278" t="s">
        <v>2816</v>
      </c>
      <c r="B105" s="1236"/>
      <c r="C105" s="1234"/>
      <c r="D105" s="1234"/>
      <c r="E105" s="1234"/>
      <c r="F105" s="1234"/>
      <c r="G105" s="1234"/>
      <c r="H105" s="1234"/>
      <c r="I105" s="1234"/>
      <c r="J105" s="1234"/>
      <c r="K105" s="1234"/>
      <c r="L105" s="1234"/>
      <c r="M105" s="1277"/>
    </row>
    <row r="106" spans="1:13" ht="14.25">
      <c r="A106" s="1278" t="s">
        <v>2817</v>
      </c>
      <c r="B106" s="1234"/>
      <c r="C106" s="1234"/>
      <c r="D106" s="1234"/>
      <c r="E106" s="1234"/>
      <c r="F106" s="1234"/>
      <c r="G106" s="1234"/>
      <c r="H106" s="1234"/>
      <c r="I106" s="1234"/>
      <c r="J106" s="1234"/>
      <c r="K106" s="1234"/>
      <c r="L106" s="1234"/>
      <c r="M106" s="1277"/>
    </row>
    <row r="107" spans="1:13" ht="14.25">
      <c r="A107" s="1278" t="s">
        <v>2818</v>
      </c>
      <c r="B107" s="1234"/>
      <c r="C107" s="1234"/>
      <c r="D107" s="1234"/>
      <c r="E107" s="1234"/>
      <c r="F107" s="1234"/>
      <c r="G107" s="1234"/>
      <c r="H107" s="1234"/>
      <c r="I107" s="1234"/>
      <c r="J107" s="1234"/>
      <c r="K107" s="1234"/>
      <c r="L107" s="1234"/>
      <c r="M107" s="1277"/>
    </row>
    <row r="108" spans="1:13" ht="14.25">
      <c r="A108" s="1222"/>
      <c r="B108" s="1221"/>
      <c r="C108" s="1221"/>
      <c r="D108" s="1221"/>
      <c r="E108" s="1221"/>
      <c r="F108" s="1221"/>
      <c r="G108" s="1221"/>
      <c r="H108" s="1221"/>
      <c r="I108" s="1221"/>
      <c r="J108" s="1221"/>
      <c r="K108" s="1221"/>
      <c r="L108" s="1221"/>
      <c r="M108" s="1221"/>
    </row>
    <row r="109" spans="1:13">
      <c r="B109" s="14"/>
      <c r="C109" s="14"/>
      <c r="D109" s="14"/>
      <c r="E109" s="14"/>
      <c r="F109" s="14"/>
      <c r="G109" s="14"/>
      <c r="H109" s="14"/>
      <c r="I109" s="14"/>
      <c r="J109" s="14"/>
      <c r="K109" s="14"/>
      <c r="L109" s="14"/>
      <c r="M109" s="14"/>
    </row>
    <row r="110" spans="1:13">
      <c r="B110" s="14"/>
      <c r="C110" s="14"/>
      <c r="D110" s="14"/>
      <c r="E110" s="14"/>
      <c r="F110" s="14"/>
      <c r="G110" s="14"/>
      <c r="H110" s="14"/>
      <c r="I110" s="14"/>
      <c r="J110" s="14"/>
      <c r="K110" s="14"/>
      <c r="L110" s="14"/>
      <c r="M110" s="14"/>
    </row>
    <row r="111" spans="1:13">
      <c r="B111" s="14"/>
      <c r="C111" s="14"/>
      <c r="D111" s="14"/>
      <c r="E111" s="14"/>
      <c r="F111" s="14"/>
      <c r="G111" s="14"/>
      <c r="H111" s="14"/>
      <c r="I111" s="14"/>
      <c r="J111" s="14"/>
      <c r="K111" s="14"/>
      <c r="L111" s="14"/>
      <c r="M111" s="14"/>
    </row>
    <row r="112" spans="1:13">
      <c r="B112" s="14"/>
    </row>
    <row r="113" spans="2:2">
      <c r="B113" s="14"/>
    </row>
    <row r="114" spans="2:2">
      <c r="B114" s="14"/>
    </row>
  </sheetData>
  <pageMargins left="0.7" right="0.7" top="0.75" bottom="0.75" header="0.3" footer="0.3"/>
  <pageSetup scale="60" orientation="portrait" cellComments="asDisplayed" r:id="rId1"/>
  <headerFooter>
    <oddHeader>&amp;CSchedule 35
PBOPs&amp;RTO11 Draft Annual Update
Attachment 1</oddHeader>
  </headerFooter>
  <rowBreaks count="1" manualBreakCount="1">
    <brk id="88"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7"/>
  <sheetViews>
    <sheetView zoomScaleNormal="100" zoomScalePageLayoutView="85" workbookViewId="0"/>
  </sheetViews>
  <sheetFormatPr defaultRowHeight="12.75"/>
  <cols>
    <col min="1" max="1" width="4.7109375" customWidth="1"/>
    <col min="8" max="9" width="25.7109375" customWidth="1"/>
    <col min="10" max="10" width="2.7109375" customWidth="1"/>
    <col min="11" max="11" width="16.7109375" customWidth="1"/>
    <col min="12" max="12" width="2.140625" customWidth="1"/>
  </cols>
  <sheetData>
    <row r="1" spans="1:11">
      <c r="A1" s="1" t="s">
        <v>185</v>
      </c>
    </row>
    <row r="2" spans="1:11">
      <c r="I2" s="102" t="s">
        <v>332</v>
      </c>
      <c r="J2" s="102"/>
    </row>
    <row r="3" spans="1:11">
      <c r="A3" s="1" t="s">
        <v>186</v>
      </c>
    </row>
    <row r="4" spans="1:11">
      <c r="H4" s="2"/>
      <c r="I4" s="2" t="s">
        <v>188</v>
      </c>
      <c r="K4" s="264">
        <v>2015</v>
      </c>
    </row>
    <row r="5" spans="1:11">
      <c r="A5" s="54" t="s">
        <v>350</v>
      </c>
      <c r="H5" s="3" t="s">
        <v>187</v>
      </c>
      <c r="I5" s="3" t="s">
        <v>189</v>
      </c>
      <c r="K5" s="3" t="s">
        <v>190</v>
      </c>
    </row>
    <row r="7" spans="1:11">
      <c r="A7" s="10" t="s">
        <v>195</v>
      </c>
      <c r="B7" s="11"/>
      <c r="C7" s="11"/>
      <c r="D7" s="11"/>
      <c r="E7" s="11"/>
      <c r="F7" s="11"/>
      <c r="G7" s="11"/>
      <c r="H7" s="9"/>
      <c r="I7" s="9"/>
      <c r="J7" s="9"/>
      <c r="K7" s="9"/>
    </row>
    <row r="9" spans="1:11">
      <c r="A9" s="2">
        <v>1</v>
      </c>
      <c r="B9" s="51" t="s">
        <v>1146</v>
      </c>
      <c r="I9" s="15" t="str">
        <f>"6-PlantInService, Line "&amp;'6-PlantInService'!A43&amp;""</f>
        <v>6-PlantInService, Line 19</v>
      </c>
      <c r="K9" s="7">
        <f>'6-PlantInService'!D43</f>
        <v>7656953152.2693701</v>
      </c>
    </row>
    <row r="10" spans="1:11">
      <c r="A10" s="2">
        <f>A9+1</f>
        <v>2</v>
      </c>
      <c r="B10" s="51" t="s">
        <v>348</v>
      </c>
      <c r="I10" s="15" t="str">
        <f>"6-PlantInService, Line "&amp;'6-PlantInService'!A63&amp;""</f>
        <v>6-PlantInService, Line 27</v>
      </c>
      <c r="K10" s="64">
        <f>'6-PlantInService'!F63</f>
        <v>265504948.09935498</v>
      </c>
    </row>
    <row r="11" spans="1:11">
      <c r="A11" s="2">
        <f>A10+1</f>
        <v>3</v>
      </c>
      <c r="B11" s="51" t="s">
        <v>174</v>
      </c>
      <c r="I11" s="15" t="str">
        <f>"11-PHFU, Line "&amp;'11-PHFU'!A38&amp;""</f>
        <v>11-PHFU, Line 8</v>
      </c>
      <c r="K11" s="64">
        <f>'11-PHFU'!E38</f>
        <v>9942155</v>
      </c>
    </row>
    <row r="12" spans="1:11">
      <c r="A12" s="2">
        <f>A11+1</f>
        <v>4</v>
      </c>
      <c r="B12" s="116" t="s">
        <v>343</v>
      </c>
      <c r="C12" s="14"/>
      <c r="D12" s="14"/>
      <c r="E12" s="14"/>
      <c r="F12" s="14"/>
      <c r="G12" s="14"/>
      <c r="H12" s="14"/>
      <c r="I12" s="15" t="str">
        <f>"12-AbandonedPlant, Line "&amp;'12-AbandonedPlant'!A20&amp;""</f>
        <v>12-AbandonedPlant, Line 3</v>
      </c>
      <c r="K12" s="64">
        <f>'12-AbandonedPlant'!G20</f>
        <v>0</v>
      </c>
    </row>
    <row r="13" spans="1:11">
      <c r="A13" s="2"/>
      <c r="B13" s="116"/>
      <c r="C13" s="14"/>
      <c r="D13" s="14"/>
      <c r="E13" s="14"/>
      <c r="F13" s="14"/>
      <c r="G13" s="14"/>
      <c r="H13" s="14"/>
      <c r="I13" s="14"/>
      <c r="K13" s="64"/>
    </row>
    <row r="14" spans="1:11">
      <c r="A14" s="2"/>
      <c r="B14" s="45" t="s">
        <v>269</v>
      </c>
      <c r="C14" s="14"/>
      <c r="D14" s="14"/>
      <c r="E14" s="14"/>
      <c r="F14" s="14"/>
      <c r="G14" s="14"/>
      <c r="H14" s="14"/>
      <c r="I14" s="14"/>
      <c r="K14" s="64"/>
    </row>
    <row r="15" spans="1:11">
      <c r="A15" s="2">
        <f>A12+1</f>
        <v>5</v>
      </c>
      <c r="B15" s="13" t="s">
        <v>102</v>
      </c>
      <c r="I15" s="15" t="str">
        <f>"13-WorkCap, Line "&amp;'13-WorkCap'!A26&amp;""</f>
        <v>13-WorkCap, Line 16</v>
      </c>
      <c r="K15" s="64">
        <f>'13-WorkCap'!F26</f>
        <v>15154307.349344747</v>
      </c>
    </row>
    <row r="16" spans="1:11">
      <c r="A16" s="2">
        <f>A15+1</f>
        <v>6</v>
      </c>
      <c r="B16" s="16" t="s">
        <v>103</v>
      </c>
      <c r="I16" s="15" t="str">
        <f>"13-WorkCap, Line "&amp;'13-WorkCap'!A55&amp;""</f>
        <v>13-WorkCap, Line 36</v>
      </c>
      <c r="K16" s="64">
        <f>'13-WorkCap'!F55</f>
        <v>5480479.0697621154</v>
      </c>
    </row>
    <row r="17" spans="1:11">
      <c r="A17" s="2">
        <f>A16+1</f>
        <v>7</v>
      </c>
      <c r="B17" s="13" t="s">
        <v>191</v>
      </c>
      <c r="I17" s="15" t="str">
        <f>"(Line "&amp;A124&amp;" + Line "&amp;A125&amp;") / 16"</f>
        <v>(Line 65 + Line 66) / 16</v>
      </c>
      <c r="K17" s="109">
        <f>(K124+K125)/16</f>
        <v>8253441.129459911</v>
      </c>
    </row>
    <row r="18" spans="1:11">
      <c r="A18" s="2">
        <f>A17+1</f>
        <v>8</v>
      </c>
      <c r="B18" s="13" t="s">
        <v>101</v>
      </c>
      <c r="I18" s="15" t="str">
        <f>"Line "&amp;A15&amp;" + Line "&amp;A16&amp;" + Line "&amp;A17&amp;""</f>
        <v>Line 5 + Line 6 + Line 7</v>
      </c>
      <c r="K18" s="64">
        <f>SUM(K15:K17)</f>
        <v>28888227.548566774</v>
      </c>
    </row>
    <row r="19" spans="1:11">
      <c r="A19" s="2"/>
      <c r="B19" s="13"/>
      <c r="I19" s="14"/>
      <c r="K19" s="64"/>
    </row>
    <row r="20" spans="1:11">
      <c r="A20" s="2"/>
      <c r="B20" s="82" t="s">
        <v>184</v>
      </c>
      <c r="I20" s="14"/>
      <c r="K20" s="64"/>
    </row>
    <row r="21" spans="1:11">
      <c r="A21" s="2">
        <f>A18+1</f>
        <v>9</v>
      </c>
      <c r="B21" s="13" t="s">
        <v>1149</v>
      </c>
      <c r="H21" t="s">
        <v>168</v>
      </c>
      <c r="I21" s="15" t="str">
        <f>"8-AccDep, Line "&amp;'8-AccDep'!A24&amp;", Col. 12"</f>
        <v>8-AccDep, Line 13, Col. 12</v>
      </c>
      <c r="K21" s="64">
        <f>-'8-AccDep'!N24</f>
        <v>-1305596553.6969178</v>
      </c>
    </row>
    <row r="22" spans="1:11">
      <c r="A22" s="2">
        <f>A21+1</f>
        <v>10</v>
      </c>
      <c r="B22" s="13" t="s">
        <v>1150</v>
      </c>
      <c r="H22" t="s">
        <v>168</v>
      </c>
      <c r="I22" s="15" t="str">
        <f>"8-AccDep, Line "&amp;'8-AccDep'!A34&amp;", Col. 5"</f>
        <v>8-AccDep, Line 16, Col. 5</v>
      </c>
      <c r="K22" s="64">
        <f>-'8-AccDep'!G34</f>
        <v>0</v>
      </c>
    </row>
    <row r="23" spans="1:11">
      <c r="A23" s="2">
        <f>A22+1</f>
        <v>11</v>
      </c>
      <c r="B23" s="13" t="s">
        <v>339</v>
      </c>
      <c r="C23" s="22"/>
      <c r="H23" t="s">
        <v>168</v>
      </c>
      <c r="I23" s="15" t="str">
        <f>"8-AccDep, Line "&amp;'8-AccDep'!A60&amp;""</f>
        <v>8-AccDep, Line 26</v>
      </c>
      <c r="K23" s="109">
        <f>-'8-AccDep'!F60</f>
        <v>-117926278.95914239</v>
      </c>
    </row>
    <row r="24" spans="1:11">
      <c r="A24" s="2">
        <f>A23+1</f>
        <v>12</v>
      </c>
      <c r="B24" s="83" t="s">
        <v>181</v>
      </c>
      <c r="C24" s="22"/>
      <c r="I24" s="15" t="str">
        <f>"Line "&amp;A21&amp;" + Line "&amp;A22&amp;" + Line "&amp;A23&amp;""</f>
        <v>Line 9 + Line 10 + Line 11</v>
      </c>
      <c r="K24" s="64">
        <f>SUM(K21:K23)</f>
        <v>-1423522832.6560602</v>
      </c>
    </row>
    <row r="25" spans="1:11">
      <c r="B25" s="12"/>
      <c r="I25" s="14"/>
      <c r="K25" s="64"/>
    </row>
    <row r="26" spans="1:11">
      <c r="A26" s="2">
        <f>A24+1</f>
        <v>13</v>
      </c>
      <c r="B26" s="66" t="s">
        <v>182</v>
      </c>
      <c r="H26" t="s">
        <v>168</v>
      </c>
      <c r="I26" s="15" t="str">
        <f>"9-ADIT, Line "&amp;'9-ADIT'!A14&amp;", Col. 2"</f>
        <v>9-ADIT, Line 5, Col. 2</v>
      </c>
      <c r="K26" s="64">
        <f>'9-ADIT'!D14</f>
        <v>-1310937723.6375351</v>
      </c>
    </row>
    <row r="27" spans="1:11">
      <c r="A27" s="2"/>
      <c r="B27" s="66"/>
      <c r="I27" s="14"/>
      <c r="K27" s="14"/>
    </row>
    <row r="28" spans="1:11">
      <c r="A28" s="2">
        <f>A26+1</f>
        <v>14</v>
      </c>
      <c r="B28" s="51" t="s">
        <v>266</v>
      </c>
      <c r="I28" s="15" t="str">
        <f>"14-IncentivePlant, L "&amp;'14-IncentivePlant'!A37&amp;", Col 1"</f>
        <v>14-IncentivePlant, L 12, Col 1</v>
      </c>
      <c r="K28" s="64">
        <f>'14-IncentivePlant'!E37</f>
        <v>296606972.97999996</v>
      </c>
    </row>
    <row r="29" spans="1:11">
      <c r="A29" s="2"/>
      <c r="B29" s="51"/>
      <c r="I29" s="14"/>
      <c r="K29" s="64"/>
    </row>
    <row r="30" spans="1:11">
      <c r="A30" s="2">
        <f>A28+1</f>
        <v>15</v>
      </c>
      <c r="B30" s="51" t="s">
        <v>398</v>
      </c>
      <c r="I30" s="15" t="str">
        <f>"23-RegAssets, Line "&amp;'23-RegAssets'!A17&amp;""</f>
        <v>23-RegAssets, Line 14</v>
      </c>
      <c r="K30" s="64">
        <f>'23-RegAssets'!E17</f>
        <v>0</v>
      </c>
    </row>
    <row r="31" spans="1:11">
      <c r="A31" s="117" t="s">
        <v>902</v>
      </c>
      <c r="B31" s="1017" t="s">
        <v>2415</v>
      </c>
      <c r="C31" s="14"/>
      <c r="D31" s="14"/>
      <c r="E31" s="14"/>
      <c r="F31" s="14"/>
      <c r="G31" s="14"/>
      <c r="H31" s="14"/>
      <c r="I31" s="15" t="str">
        <f>"34-UnfundedReserves, Line "&amp;'34-UnfundedReserves'!A9&amp;""</f>
        <v>34-UnfundedReserves, Line 6</v>
      </c>
      <c r="J31" s="14"/>
      <c r="K31" s="64">
        <f>'34-UnfundedReserves'!K9</f>
        <v>-13234692.067683082</v>
      </c>
    </row>
    <row r="32" spans="1:11">
      <c r="A32" s="117">
        <f>A30+1</f>
        <v>16</v>
      </c>
      <c r="B32" s="1017" t="s">
        <v>64</v>
      </c>
      <c r="C32" s="14"/>
      <c r="D32" s="14"/>
      <c r="E32" s="14"/>
      <c r="F32" s="14"/>
      <c r="G32" s="14"/>
      <c r="H32" s="14" t="s">
        <v>168</v>
      </c>
      <c r="I32" s="15" t="str">
        <f>"22-NUCs, Line "&amp;'22-NUCs'!A12&amp;""</f>
        <v>22-NUCs, Line 5</v>
      </c>
      <c r="J32" s="14"/>
      <c r="K32" s="64">
        <f>-'22-NUCs'!E12</f>
        <v>-27134526</v>
      </c>
    </row>
    <row r="33" spans="1:13">
      <c r="A33" s="117"/>
      <c r="B33" s="1017"/>
      <c r="C33" s="14"/>
      <c r="D33" s="14"/>
      <c r="E33" s="14"/>
      <c r="F33" s="14"/>
      <c r="G33" s="14"/>
      <c r="H33" s="14"/>
      <c r="I33" s="14"/>
      <c r="J33" s="14"/>
      <c r="K33" s="14"/>
    </row>
    <row r="34" spans="1:13">
      <c r="A34" s="117">
        <f>A32+1</f>
        <v>17</v>
      </c>
      <c r="B34" s="14" t="s">
        <v>192</v>
      </c>
      <c r="C34" s="14"/>
      <c r="D34" s="14"/>
      <c r="E34" s="14"/>
      <c r="F34" s="14"/>
      <c r="G34" s="14"/>
      <c r="H34" s="14"/>
      <c r="I34" s="15" t="str">
        <f>"L"&amp;A9&amp;" + L"&amp;A10&amp;" + L"&amp;A11&amp;" + L"&amp;A12&amp;" + L"&amp;A18&amp;" + L"&amp;A24&amp;" +"</f>
        <v>L1 + L2 + L3 + L4 + L8 + L12 +</v>
      </c>
      <c r="J34" s="14"/>
      <c r="K34" s="64">
        <f>K9+K10+K11+K12+K18+K24+K26+K28+K30+K31+K32</f>
        <v>5483065681.5360126</v>
      </c>
    </row>
    <row r="35" spans="1:13">
      <c r="A35" s="117"/>
      <c r="B35" s="14"/>
      <c r="C35" s="14"/>
      <c r="D35" s="14"/>
      <c r="E35" s="14"/>
      <c r="F35" s="14"/>
      <c r="G35" s="14"/>
      <c r="H35" s="14"/>
      <c r="I35" s="116" t="str">
        <f>"L"&amp;A26&amp;" + L"&amp;A28&amp;"+ L"&amp;A30&amp;"+ L"&amp;A31&amp;" + L"&amp;A32&amp;""</f>
        <v>L13 + L14+ L15+ L15a + L16</v>
      </c>
      <c r="J35" s="14"/>
      <c r="K35" s="64"/>
    </row>
    <row r="37" spans="1:13">
      <c r="A37" s="10" t="s">
        <v>277</v>
      </c>
      <c r="B37" s="11"/>
      <c r="C37" s="11"/>
      <c r="D37" s="11"/>
      <c r="E37" s="11"/>
      <c r="F37" s="11"/>
      <c r="G37" s="11"/>
      <c r="H37" s="9"/>
      <c r="I37" s="9"/>
      <c r="J37" s="9"/>
      <c r="K37" s="9"/>
    </row>
    <row r="39" spans="1:13">
      <c r="A39" s="2">
        <f>A34+1</f>
        <v>18</v>
      </c>
      <c r="B39" s="524" t="s">
        <v>2054</v>
      </c>
      <c r="C39" s="14"/>
      <c r="D39" s="14"/>
      <c r="H39" s="529" t="s">
        <v>2748</v>
      </c>
      <c r="I39" s="12" t="s">
        <v>555</v>
      </c>
      <c r="K39" s="6">
        <v>259814735</v>
      </c>
    </row>
    <row r="40" spans="1:13">
      <c r="A40" s="2">
        <f>A39+1</f>
        <v>19</v>
      </c>
      <c r="B40" s="120" t="s">
        <v>66</v>
      </c>
      <c r="C40" s="14"/>
      <c r="D40" s="14"/>
      <c r="I40" s="15" t="str">
        <f>"27-Allocators, Line "&amp;'27-Allocators'!A28&amp;""</f>
        <v>27-Allocators, Line 22</v>
      </c>
      <c r="K40" s="8">
        <f>'27-Allocators'!G28</f>
        <v>0.19064298583191411</v>
      </c>
    </row>
    <row r="41" spans="1:13">
      <c r="A41" s="2">
        <f>A40+1</f>
        <v>20</v>
      </c>
      <c r="B41" s="14" t="s">
        <v>70</v>
      </c>
      <c r="C41" s="14"/>
      <c r="D41" s="14"/>
      <c r="I41" s="15" t="str">
        <f>"Line "&amp;A39&amp;" * Line "&amp;A40&amp;""</f>
        <v>Line 18 * Line 19</v>
      </c>
      <c r="K41" s="64">
        <f>K39*K40</f>
        <v>49531856.843527518</v>
      </c>
    </row>
    <row r="42" spans="1:13">
      <c r="A42" s="2" t="s">
        <v>359</v>
      </c>
      <c r="B42" s="14"/>
      <c r="C42" s="14"/>
      <c r="D42" s="14"/>
      <c r="H42" s="12"/>
      <c r="I42" s="14"/>
      <c r="K42" s="8"/>
    </row>
    <row r="43" spans="1:13">
      <c r="A43" s="2">
        <f>A41+1</f>
        <v>21</v>
      </c>
      <c r="B43" s="15" t="s">
        <v>278</v>
      </c>
      <c r="C43" s="14"/>
      <c r="D43" s="14"/>
      <c r="I43" s="14"/>
      <c r="K43" s="8"/>
    </row>
    <row r="44" spans="1:13">
      <c r="A44" s="2">
        <f t="shared" ref="A44:A56" si="0">A43+1</f>
        <v>22</v>
      </c>
      <c r="B44" s="120" t="s">
        <v>16</v>
      </c>
      <c r="C44" s="14"/>
      <c r="D44" s="14"/>
      <c r="E44" s="1"/>
      <c r="F44" s="1"/>
      <c r="G44" s="1"/>
      <c r="I44" s="15" t="str">
        <f>"Line "&amp;A45&amp;" + Line "&amp;A46&amp;"+ Line "&amp;A47&amp;""</f>
        <v>Line 23 + Line 24+ Line 25</v>
      </c>
      <c r="K44" s="64">
        <f>SUM(K45:K47)</f>
        <v>101446454</v>
      </c>
    </row>
    <row r="45" spans="1:13" ht="25.5">
      <c r="A45" s="2">
        <f t="shared" si="0"/>
        <v>23</v>
      </c>
      <c r="B45" s="389" t="s">
        <v>46</v>
      </c>
      <c r="C45" s="14"/>
      <c r="D45" s="14"/>
      <c r="E45" s="1"/>
      <c r="F45" s="1"/>
      <c r="G45" s="1"/>
      <c r="H45" s="840" t="s">
        <v>2988</v>
      </c>
      <c r="I45" s="15" t="s">
        <v>556</v>
      </c>
      <c r="K45" s="6">
        <f>109421774-4129495</f>
        <v>105292279</v>
      </c>
      <c r="M45" s="14"/>
    </row>
    <row r="46" spans="1:13">
      <c r="A46" s="2">
        <f t="shared" si="0"/>
        <v>24</v>
      </c>
      <c r="B46" s="389" t="s">
        <v>47</v>
      </c>
      <c r="C46" s="14"/>
      <c r="D46" s="14"/>
      <c r="E46" s="1"/>
      <c r="F46" s="1"/>
      <c r="G46" s="1"/>
      <c r="H46" s="529" t="s">
        <v>2749</v>
      </c>
      <c r="I46" s="15" t="s">
        <v>556</v>
      </c>
      <c r="K46" s="6">
        <v>-3034903</v>
      </c>
      <c r="M46" s="14"/>
    </row>
    <row r="47" spans="1:13">
      <c r="A47" s="2">
        <f t="shared" si="0"/>
        <v>25</v>
      </c>
      <c r="B47" s="389" t="s">
        <v>48</v>
      </c>
      <c r="C47" s="14"/>
      <c r="D47" s="14"/>
      <c r="E47" s="1"/>
      <c r="F47" s="1"/>
      <c r="G47" s="1"/>
      <c r="H47" s="529" t="s">
        <v>2750</v>
      </c>
      <c r="I47" s="15" t="s">
        <v>556</v>
      </c>
      <c r="K47" s="6">
        <v>-810922</v>
      </c>
      <c r="M47" s="14"/>
    </row>
    <row r="48" spans="1:13">
      <c r="A48" s="2">
        <f t="shared" si="0"/>
        <v>26</v>
      </c>
      <c r="B48" s="521" t="s">
        <v>2055</v>
      </c>
      <c r="C48" s="14"/>
      <c r="D48" s="14"/>
      <c r="H48" s="529" t="s">
        <v>2751</v>
      </c>
      <c r="I48" s="15" t="s">
        <v>556</v>
      </c>
      <c r="K48" s="6">
        <v>6472070</v>
      </c>
      <c r="M48" s="14"/>
    </row>
    <row r="49" spans="1:13">
      <c r="A49" s="2">
        <f t="shared" si="0"/>
        <v>27</v>
      </c>
      <c r="B49" s="120" t="s">
        <v>2056</v>
      </c>
      <c r="C49" s="14"/>
      <c r="D49" s="14"/>
      <c r="H49" s="529" t="s">
        <v>2752</v>
      </c>
      <c r="I49" s="15" t="s">
        <v>556</v>
      </c>
      <c r="K49" s="6">
        <v>2174674</v>
      </c>
      <c r="M49" s="14"/>
    </row>
    <row r="50" spans="1:13">
      <c r="A50" s="615">
        <f t="shared" si="0"/>
        <v>28</v>
      </c>
      <c r="B50" s="120" t="s">
        <v>1857</v>
      </c>
      <c r="C50" s="14"/>
      <c r="D50" s="14"/>
      <c r="H50" s="529" t="s">
        <v>2753</v>
      </c>
      <c r="I50" s="524" t="s">
        <v>1858</v>
      </c>
      <c r="K50" s="6">
        <v>1642075</v>
      </c>
      <c r="M50" s="14"/>
    </row>
    <row r="51" spans="1:13">
      <c r="A51" s="615">
        <f t="shared" si="0"/>
        <v>29</v>
      </c>
      <c r="B51" s="120" t="s">
        <v>2057</v>
      </c>
      <c r="C51" s="14"/>
      <c r="D51" s="14"/>
      <c r="H51" s="529" t="s">
        <v>2754</v>
      </c>
      <c r="I51" s="524" t="s">
        <v>1858</v>
      </c>
      <c r="K51" s="6">
        <v>20584</v>
      </c>
      <c r="M51" s="14"/>
    </row>
    <row r="52" spans="1:13">
      <c r="A52" s="615">
        <f t="shared" si="0"/>
        <v>30</v>
      </c>
      <c r="B52" t="s">
        <v>71</v>
      </c>
      <c r="I52" s="15" t="str">
        <f>"Line "&amp;A44&amp;" + (Line "&amp;A48&amp;" to Line "&amp;A51&amp;")"</f>
        <v>Line 22 + (Line 26 to Line 29)</v>
      </c>
      <c r="K52" s="7">
        <f>K44+K48+K49+K50+K51</f>
        <v>111755857</v>
      </c>
    </row>
    <row r="53" spans="1:13">
      <c r="A53" s="615">
        <f t="shared" si="0"/>
        <v>31</v>
      </c>
      <c r="B53" s="524" t="s">
        <v>1859</v>
      </c>
      <c r="C53" s="14"/>
      <c r="D53" s="14"/>
      <c r="E53" s="14"/>
      <c r="F53" s="14"/>
      <c r="G53" s="14"/>
      <c r="H53" s="524"/>
      <c r="I53" s="524" t="str">
        <f>"26-TaxRates, Line "&amp;'26-TaxRates'!A57&amp;""</f>
        <v>26-TaxRates, Line 51</v>
      </c>
      <c r="K53" s="245">
        <f>'26-TaxRates'!F57</f>
        <v>44478831.086000003</v>
      </c>
    </row>
    <row r="54" spans="1:13">
      <c r="A54" s="615">
        <f t="shared" si="0"/>
        <v>32</v>
      </c>
      <c r="B54" s="14" t="s">
        <v>1499</v>
      </c>
      <c r="C54" s="14"/>
      <c r="D54" s="14"/>
      <c r="E54" s="14"/>
      <c r="F54" s="14"/>
      <c r="G54" s="14"/>
      <c r="I54" s="15" t="str">
        <f>"Line "&amp;A52&amp;" - Line "&amp;A53&amp;""</f>
        <v>Line 30 - Line 31</v>
      </c>
      <c r="K54" s="7">
        <f>K52-K53</f>
        <v>67277025.914000005</v>
      </c>
    </row>
    <row r="55" spans="1:13">
      <c r="A55" s="615">
        <f t="shared" si="0"/>
        <v>33</v>
      </c>
      <c r="B55" s="13" t="s">
        <v>104</v>
      </c>
      <c r="I55" s="15" t="str">
        <f>"27-Allocators, Line "&amp;'27-Allocators'!A15&amp;""</f>
        <v>27-Allocators, Line 9</v>
      </c>
      <c r="K55" s="71">
        <f>'27-Allocators'!G15</f>
        <v>6.0220089469584258E-2</v>
      </c>
    </row>
    <row r="56" spans="1:13">
      <c r="A56" s="615">
        <f t="shared" si="0"/>
        <v>34</v>
      </c>
      <c r="B56" s="51" t="s">
        <v>278</v>
      </c>
      <c r="I56" s="15" t="str">
        <f>"Line "&amp;A54&amp;" * Line "&amp;A55&amp;""</f>
        <v>Line 32 * Line 33</v>
      </c>
      <c r="K56" s="64">
        <f>K54*K55</f>
        <v>4051428.5197886191</v>
      </c>
    </row>
    <row r="57" spans="1:13">
      <c r="A57" s="2"/>
      <c r="K57" s="64"/>
    </row>
    <row r="58" spans="1:13">
      <c r="A58" s="2">
        <f>A56+1</f>
        <v>35</v>
      </c>
      <c r="B58" s="12" t="s">
        <v>89</v>
      </c>
      <c r="I58" s="12" t="str">
        <f>"Line "&amp;A41&amp;" + Line "&amp;A56&amp;""</f>
        <v>Line 20 + Line 34</v>
      </c>
      <c r="K58" s="64">
        <f>K41+K56</f>
        <v>53583285.363316134</v>
      </c>
    </row>
    <row r="60" spans="1:13">
      <c r="A60" s="10" t="s">
        <v>196</v>
      </c>
      <c r="B60" s="11"/>
      <c r="C60" s="11"/>
      <c r="D60" s="11"/>
      <c r="E60" s="11"/>
      <c r="F60" s="11"/>
      <c r="G60" s="11"/>
      <c r="H60" s="9"/>
      <c r="I60" s="9"/>
      <c r="J60" s="9"/>
      <c r="K60" s="9"/>
    </row>
    <row r="61" spans="1:13">
      <c r="A61" s="44"/>
      <c r="B61" s="15"/>
      <c r="C61" s="15"/>
      <c r="D61" s="15"/>
      <c r="E61" s="15"/>
      <c r="F61" s="15"/>
      <c r="G61" s="15"/>
      <c r="H61" s="15"/>
      <c r="I61" s="15"/>
      <c r="J61" s="15"/>
      <c r="K61" s="15"/>
    </row>
    <row r="62" spans="1:13">
      <c r="A62" s="113"/>
      <c r="B62" s="45" t="s">
        <v>26</v>
      </c>
      <c r="C62" s="15"/>
      <c r="D62" s="15"/>
      <c r="E62" s="15"/>
      <c r="F62" s="15"/>
      <c r="G62" s="15"/>
      <c r="H62" s="15"/>
      <c r="I62" s="15"/>
      <c r="J62" s="15"/>
      <c r="K62" s="15"/>
    </row>
    <row r="63" spans="1:13">
      <c r="A63" s="117">
        <f>A58+1</f>
        <v>36</v>
      </c>
      <c r="B63" s="15" t="s">
        <v>228</v>
      </c>
      <c r="C63" s="15"/>
      <c r="D63" s="15"/>
      <c r="E63" s="15"/>
      <c r="F63" s="15"/>
      <c r="G63" s="15"/>
      <c r="H63" s="15"/>
      <c r="I63" s="15" t="str">
        <f>"5-ROR-1, Line "&amp;'5-ROR-1'!A16&amp;""</f>
        <v>5-ROR-1, Line 8</v>
      </c>
      <c r="J63" s="15"/>
      <c r="K63" s="47">
        <f>'5-ROR-1'!L16</f>
        <v>10643527582.455381</v>
      </c>
    </row>
    <row r="64" spans="1:13">
      <c r="A64" s="2">
        <f>A63+1</f>
        <v>37</v>
      </c>
      <c r="B64" s="15" t="s">
        <v>279</v>
      </c>
      <c r="C64" s="15"/>
      <c r="D64" s="15"/>
      <c r="E64" s="15"/>
      <c r="F64" s="15"/>
      <c r="G64" s="15"/>
      <c r="H64" s="15"/>
      <c r="I64" s="15" t="str">
        <f>"5-ROR-1, Line "&amp;'5-ROR-1'!A27&amp;""</f>
        <v>5-ROR-1, Line 16</v>
      </c>
      <c r="J64" s="15"/>
      <c r="K64" s="47">
        <f>'5-ROR-1'!L27</f>
        <v>500177494</v>
      </c>
    </row>
    <row r="65" spans="1:11">
      <c r="A65" s="2">
        <f>A64+1</f>
        <v>38</v>
      </c>
      <c r="B65" s="15" t="s">
        <v>280</v>
      </c>
      <c r="C65" s="15"/>
      <c r="D65" s="15"/>
      <c r="E65" s="15"/>
      <c r="F65" s="15"/>
      <c r="G65" s="15"/>
      <c r="I65" s="15" t="str">
        <f>"5-ROR-1, Line "&amp;'5-ROR-1'!A29&amp;""</f>
        <v>5-ROR-1, Line 17</v>
      </c>
      <c r="J65" s="15"/>
      <c r="K65" s="48">
        <f>'5-ROR-1'!L29</f>
        <v>4.6993582731394853E-2</v>
      </c>
    </row>
    <row r="66" spans="1:11">
      <c r="A66" s="117"/>
      <c r="B66" s="15"/>
      <c r="C66" s="15"/>
      <c r="D66" s="15"/>
      <c r="E66" s="15"/>
      <c r="F66" s="15"/>
      <c r="G66" s="15"/>
      <c r="I66" s="15"/>
      <c r="J66" s="15"/>
      <c r="K66" s="48"/>
    </row>
    <row r="67" spans="1:11">
      <c r="A67" s="117"/>
      <c r="B67" s="45" t="s">
        <v>27</v>
      </c>
      <c r="C67" s="15"/>
      <c r="D67" s="15"/>
      <c r="E67" s="15"/>
      <c r="F67" s="15"/>
      <c r="G67" s="15"/>
      <c r="H67" s="15"/>
      <c r="I67" s="15"/>
      <c r="J67" s="15"/>
      <c r="K67" s="15"/>
    </row>
    <row r="68" spans="1:11">
      <c r="A68" s="117">
        <f>A65+1</f>
        <v>39</v>
      </c>
      <c r="B68" s="524" t="s">
        <v>56</v>
      </c>
      <c r="C68" s="15"/>
      <c r="D68" s="15"/>
      <c r="E68" s="15"/>
      <c r="F68" s="15"/>
      <c r="G68" s="15"/>
      <c r="H68" s="15"/>
      <c r="I68" s="15" t="str">
        <f>"5-ROR-1, Line "&amp;'5-ROR-1'!A35&amp;""</f>
        <v>5-ROR-1, Line 21</v>
      </c>
      <c r="J68" s="15"/>
      <c r="K68" s="47">
        <f>'5-ROR-1'!L35</f>
        <v>2049269047.5774775</v>
      </c>
    </row>
    <row r="69" spans="1:11">
      <c r="A69" s="2">
        <f>A68+1</f>
        <v>40</v>
      </c>
      <c r="B69" s="524" t="s">
        <v>25</v>
      </c>
      <c r="C69" s="15"/>
      <c r="D69" s="15"/>
      <c r="E69" s="15"/>
      <c r="F69" s="15"/>
      <c r="G69" s="15"/>
      <c r="H69" s="15"/>
      <c r="I69" s="15" t="str">
        <f>"5-ROR-1, Line "&amp;'5-ROR-1'!A41&amp;""</f>
        <v>5-ROR-1, Line 25</v>
      </c>
      <c r="J69" s="15"/>
      <c r="K69" s="47">
        <f>'5-ROR-1'!L41</f>
        <v>115309020.84705883</v>
      </c>
    </row>
    <row r="70" spans="1:11">
      <c r="A70" s="2">
        <f>A69+1</f>
        <v>41</v>
      </c>
      <c r="B70" s="524" t="s">
        <v>52</v>
      </c>
      <c r="C70" s="15"/>
      <c r="D70" s="15"/>
      <c r="E70" s="15"/>
      <c r="F70" s="15"/>
      <c r="G70" s="15"/>
      <c r="I70" s="15" t="str">
        <f>"5-ROR-1, Line "&amp;'5-ROR-1'!A43&amp;""</f>
        <v>5-ROR-1, Line 26</v>
      </c>
      <c r="J70" s="15"/>
      <c r="K70" s="48">
        <f>'5-ROR-1'!L43</f>
        <v>5.6268366022202025E-2</v>
      </c>
    </row>
    <row r="71" spans="1:11">
      <c r="A71" s="117"/>
      <c r="B71" s="15"/>
      <c r="C71" s="15"/>
      <c r="D71" s="15"/>
      <c r="E71" s="15"/>
      <c r="F71" s="15"/>
      <c r="G71" s="15"/>
      <c r="I71" s="15"/>
      <c r="J71" s="15"/>
      <c r="K71" s="48"/>
    </row>
    <row r="72" spans="1:11">
      <c r="A72" s="117"/>
      <c r="B72" s="45" t="s">
        <v>28</v>
      </c>
      <c r="C72" s="15"/>
      <c r="D72" s="15"/>
      <c r="E72" s="15"/>
      <c r="F72" s="15"/>
      <c r="G72" s="15"/>
      <c r="H72" s="15"/>
      <c r="I72" s="15"/>
      <c r="J72" s="15"/>
      <c r="K72" s="15"/>
    </row>
    <row r="73" spans="1:11">
      <c r="A73" s="117">
        <f>A70+1</f>
        <v>42</v>
      </c>
      <c r="B73" s="15" t="s">
        <v>53</v>
      </c>
      <c r="C73" s="15"/>
      <c r="D73" s="15"/>
      <c r="E73" s="15"/>
      <c r="F73" s="15"/>
      <c r="G73" s="15"/>
      <c r="H73" s="15"/>
      <c r="I73" s="15" t="str">
        <f>"5-ROR-1, Line "&amp;'5-ROR-1'!A51&amp;""</f>
        <v>5-ROR-1, Line 32</v>
      </c>
      <c r="J73" s="15"/>
      <c r="K73" s="47">
        <f>'5-ROR-1'!L51</f>
        <v>11624170089.512474</v>
      </c>
    </row>
    <row r="74" spans="1:11">
      <c r="A74" s="117"/>
      <c r="B74" s="15"/>
      <c r="C74" s="15"/>
      <c r="D74" s="15"/>
      <c r="E74" s="15"/>
      <c r="F74" s="15"/>
      <c r="G74" s="15"/>
      <c r="H74" s="15"/>
      <c r="I74" s="65"/>
      <c r="J74" s="15"/>
      <c r="K74" s="15"/>
    </row>
    <row r="75" spans="1:11">
      <c r="A75" s="2">
        <f>A73+1</f>
        <v>43</v>
      </c>
      <c r="B75" s="15" t="s">
        <v>55</v>
      </c>
      <c r="C75" s="15"/>
      <c r="D75" s="15"/>
      <c r="E75" s="15"/>
      <c r="F75" s="15"/>
      <c r="G75" s="15"/>
      <c r="H75" s="15"/>
      <c r="I75" s="12" t="str">
        <f>"Line "&amp;A63&amp;" + Line "&amp;A68&amp;" + Line "&amp;A73&amp;""</f>
        <v>Line 36 + Line 39 + Line 42</v>
      </c>
      <c r="J75" s="15"/>
      <c r="K75" s="47">
        <f>K63+K68+K73</f>
        <v>24316966719.545334</v>
      </c>
    </row>
    <row r="76" spans="1:11">
      <c r="A76" s="117"/>
      <c r="B76" s="46"/>
      <c r="C76" s="15"/>
      <c r="D76" s="15"/>
      <c r="E76" s="15"/>
      <c r="F76" s="15"/>
      <c r="G76" s="15"/>
      <c r="I76" s="15"/>
      <c r="J76" s="15"/>
      <c r="K76" s="47"/>
    </row>
    <row r="77" spans="1:11">
      <c r="A77" s="117"/>
      <c r="B77" s="45" t="s">
        <v>57</v>
      </c>
      <c r="C77" s="15"/>
      <c r="D77" s="15"/>
      <c r="E77" s="15"/>
      <c r="F77" s="15"/>
      <c r="G77" s="15"/>
      <c r="H77" s="15"/>
      <c r="I77" s="15"/>
      <c r="J77" s="15"/>
      <c r="K77" s="15"/>
    </row>
    <row r="78" spans="1:11">
      <c r="A78" s="117">
        <f>A75+1</f>
        <v>44</v>
      </c>
      <c r="B78" s="15" t="s">
        <v>281</v>
      </c>
      <c r="C78" s="15"/>
      <c r="D78" s="15"/>
      <c r="E78" s="15"/>
      <c r="F78" s="15"/>
      <c r="G78" s="15"/>
      <c r="H78" s="15"/>
      <c r="I78" s="12" t="str">
        <f>"Line "&amp;A63&amp;" / Line "&amp;A75&amp;""</f>
        <v>Line 36 / Line 43</v>
      </c>
      <c r="J78" s="15"/>
      <c r="K78" s="48">
        <f>K63/K75</f>
        <v>0.43769964014057705</v>
      </c>
    </row>
    <row r="79" spans="1:11">
      <c r="A79" s="2">
        <f>A78+1</f>
        <v>45</v>
      </c>
      <c r="B79" s="524" t="s">
        <v>282</v>
      </c>
      <c r="C79" s="15"/>
      <c r="D79" s="15"/>
      <c r="E79" s="15"/>
      <c r="F79" s="15"/>
      <c r="G79" s="15"/>
      <c r="H79" s="15"/>
      <c r="I79" s="12" t="str">
        <f>"Line "&amp;A68&amp;" / Line "&amp;A75&amp;""</f>
        <v>Line 39 / Line 43</v>
      </c>
      <c r="J79" s="15"/>
      <c r="K79" s="48">
        <f>K68/K75</f>
        <v>8.4273218416272666E-2</v>
      </c>
    </row>
    <row r="80" spans="1:11">
      <c r="A80" s="2">
        <f>A79+1</f>
        <v>46</v>
      </c>
      <c r="B80" s="15" t="s">
        <v>58</v>
      </c>
      <c r="C80" s="15"/>
      <c r="D80" s="15"/>
      <c r="E80" s="15"/>
      <c r="F80" s="15"/>
      <c r="G80" s="15"/>
      <c r="H80" s="15"/>
      <c r="I80" s="12" t="str">
        <f>"Line "&amp;A73&amp;" / Line "&amp;A75&amp;""</f>
        <v>Line 42 / Line 43</v>
      </c>
      <c r="J80" s="15"/>
      <c r="K80" s="49">
        <f>K73/K75</f>
        <v>0.47802714144315023</v>
      </c>
    </row>
    <row r="81" spans="1:11">
      <c r="A81" s="117"/>
      <c r="B81" s="15"/>
      <c r="C81" s="15"/>
      <c r="D81" s="15"/>
      <c r="E81" s="15"/>
      <c r="F81" s="15"/>
      <c r="G81" s="15"/>
      <c r="H81" s="15"/>
      <c r="I81" s="12" t="str">
        <f>"Line "&amp;A78&amp;" + Line "&amp;A79&amp;"+ Line "&amp;A80&amp;""</f>
        <v>Line 44 + Line 45+ Line 46</v>
      </c>
      <c r="J81" s="15"/>
      <c r="K81" s="48">
        <f>SUM(K78:K80)</f>
        <v>1</v>
      </c>
    </row>
    <row r="82" spans="1:11">
      <c r="A82" s="117"/>
      <c r="B82" s="45" t="s">
        <v>244</v>
      </c>
      <c r="C82" s="15"/>
      <c r="D82" s="15"/>
      <c r="E82" s="15"/>
      <c r="F82" s="15"/>
      <c r="G82" s="15"/>
      <c r="H82" s="15"/>
      <c r="I82" s="15"/>
      <c r="J82" s="15"/>
      <c r="K82" s="48"/>
    </row>
    <row r="83" spans="1:11">
      <c r="A83" s="117">
        <f>A80+1</f>
        <v>47</v>
      </c>
      <c r="B83" s="15" t="s">
        <v>280</v>
      </c>
      <c r="C83" s="15"/>
      <c r="D83" s="15"/>
      <c r="E83" s="15"/>
      <c r="F83" s="15"/>
      <c r="G83" s="15"/>
      <c r="I83" s="12" t="str">
        <f>"Line "&amp;A65&amp;""</f>
        <v>Line 38</v>
      </c>
      <c r="J83" s="15"/>
      <c r="K83" s="48">
        <f>K65</f>
        <v>4.6993582731394853E-2</v>
      </c>
    </row>
    <row r="84" spans="1:11">
      <c r="A84" s="2">
        <f>A83+1</f>
        <v>48</v>
      </c>
      <c r="B84" s="524" t="s">
        <v>52</v>
      </c>
      <c r="C84" s="15"/>
      <c r="D84" s="15"/>
      <c r="E84" s="15"/>
      <c r="F84" s="15"/>
      <c r="G84" s="15"/>
      <c r="I84" s="12" t="str">
        <f>"Line "&amp;A70&amp;""</f>
        <v>Line 41</v>
      </c>
      <c r="J84" s="15"/>
      <c r="K84" s="48">
        <f>K70</f>
        <v>5.6268366022202025E-2</v>
      </c>
    </row>
    <row r="85" spans="1:11">
      <c r="A85" s="2">
        <f>A84+1</f>
        <v>49</v>
      </c>
      <c r="B85" s="524" t="s">
        <v>1979</v>
      </c>
      <c r="C85" s="15"/>
      <c r="D85" s="15"/>
      <c r="E85" s="15"/>
      <c r="F85" s="15"/>
      <c r="G85" s="15"/>
      <c r="H85" s="12" t="s">
        <v>395</v>
      </c>
      <c r="I85" s="15" t="s">
        <v>237</v>
      </c>
      <c r="J85" s="15"/>
      <c r="K85" s="1135">
        <v>9.8000000000000004E-2</v>
      </c>
    </row>
    <row r="86" spans="1:11">
      <c r="A86" s="117"/>
      <c r="B86" s="15"/>
      <c r="C86" s="15"/>
      <c r="D86" s="15"/>
      <c r="E86" s="15"/>
      <c r="F86" s="15"/>
      <c r="G86" s="15"/>
      <c r="I86" s="74"/>
      <c r="J86" s="15"/>
      <c r="K86" s="48"/>
    </row>
    <row r="87" spans="1:11">
      <c r="A87" s="117"/>
      <c r="B87" s="45" t="s">
        <v>285</v>
      </c>
      <c r="C87" s="15"/>
      <c r="D87" s="15"/>
      <c r="E87" s="15"/>
      <c r="F87" s="15"/>
      <c r="G87" s="15"/>
      <c r="H87" s="15"/>
      <c r="I87" s="15"/>
      <c r="J87" s="15"/>
      <c r="K87" s="15"/>
    </row>
    <row r="88" spans="1:11">
      <c r="A88" s="117">
        <f>A85+1</f>
        <v>50</v>
      </c>
      <c r="B88" s="15" t="s">
        <v>59</v>
      </c>
      <c r="C88" s="15"/>
      <c r="D88" s="15"/>
      <c r="E88" s="15"/>
      <c r="F88" s="15"/>
      <c r="G88" s="15"/>
      <c r="I88" s="12" t="str">
        <f>"Line "&amp;A65&amp;" * Line "&amp;A78&amp;""</f>
        <v>Line 38 * Line 44</v>
      </c>
      <c r="J88" s="15"/>
      <c r="K88" s="48">
        <f>K65*K78</f>
        <v>2.0569074250447964E-2</v>
      </c>
    </row>
    <row r="89" spans="1:11">
      <c r="A89" s="2">
        <f>A88+1</f>
        <v>51</v>
      </c>
      <c r="B89" s="524" t="s">
        <v>60</v>
      </c>
      <c r="C89" s="15"/>
      <c r="D89" s="15"/>
      <c r="E89" s="15"/>
      <c r="F89" s="15"/>
      <c r="G89" s="15"/>
      <c r="I89" s="12" t="str">
        <f>"Line "&amp;A70&amp;" * Line "&amp;A79&amp;""</f>
        <v>Line 41 * Line 45</v>
      </c>
      <c r="J89" s="15"/>
      <c r="K89" s="48">
        <f>K70*K79</f>
        <v>4.7419162997158065E-3</v>
      </c>
    </row>
    <row r="90" spans="1:11">
      <c r="A90" s="2">
        <f>A89+1</f>
        <v>52</v>
      </c>
      <c r="B90" s="15" t="s">
        <v>61</v>
      </c>
      <c r="C90" s="15"/>
      <c r="D90" s="15"/>
      <c r="E90" s="15"/>
      <c r="F90" s="15"/>
      <c r="G90" s="15"/>
      <c r="I90" s="12" t="str">
        <f>"Line "&amp;A80&amp;" * Line "&amp;A85&amp;""</f>
        <v>Line 46 * Line 49</v>
      </c>
      <c r="J90" s="15"/>
      <c r="K90" s="49">
        <f>K80*K85</f>
        <v>4.6846659861428726E-2</v>
      </c>
    </row>
    <row r="91" spans="1:11">
      <c r="A91" s="2">
        <f>A90+1</f>
        <v>53</v>
      </c>
      <c r="B91" s="46" t="s">
        <v>62</v>
      </c>
      <c r="C91" s="15"/>
      <c r="D91" s="15"/>
      <c r="E91" s="15"/>
      <c r="F91" s="15"/>
      <c r="G91" s="15"/>
      <c r="I91" s="12" t="str">
        <f>"Line "&amp;A88&amp;" + Line "&amp;A89&amp;" + Line "&amp;A90&amp;""</f>
        <v>Line 50 + Line 51 + Line 52</v>
      </c>
      <c r="J91" s="15"/>
      <c r="K91" s="48">
        <f>SUM(K88:K90)</f>
        <v>7.21576504115925E-2</v>
      </c>
    </row>
    <row r="92" spans="1:11">
      <c r="A92" s="117"/>
      <c r="B92" s="46"/>
      <c r="C92" s="15"/>
      <c r="D92" s="15"/>
      <c r="E92" s="15"/>
      <c r="F92" s="15"/>
      <c r="G92" s="15"/>
      <c r="I92" s="15"/>
      <c r="J92" s="15"/>
      <c r="K92" s="48"/>
    </row>
    <row r="93" spans="1:11">
      <c r="A93" s="2">
        <f>A91+1</f>
        <v>54</v>
      </c>
      <c r="B93" s="1018" t="s">
        <v>1980</v>
      </c>
      <c r="C93" s="15"/>
      <c r="D93" s="15"/>
      <c r="E93" s="15"/>
      <c r="F93" s="15"/>
      <c r="G93" s="15"/>
      <c r="H93" s="15" t="s">
        <v>239</v>
      </c>
      <c r="I93" s="12" t="str">
        <f>"Line "&amp;A89&amp;" + Line "&amp;A90&amp;""</f>
        <v>Line 51 + Line 52</v>
      </c>
      <c r="J93" s="15"/>
      <c r="K93" s="48">
        <f>K89+K90</f>
        <v>5.1588576161144532E-2</v>
      </c>
    </row>
    <row r="94" spans="1:11">
      <c r="A94" s="117"/>
      <c r="B94" s="15"/>
      <c r="C94" s="15"/>
      <c r="D94" s="15"/>
      <c r="E94" s="15"/>
      <c r="F94" s="15"/>
      <c r="G94" s="15"/>
      <c r="I94" s="15"/>
      <c r="J94" s="15"/>
      <c r="K94" s="48"/>
    </row>
    <row r="95" spans="1:11">
      <c r="A95" s="2">
        <f>A93+1</f>
        <v>55</v>
      </c>
      <c r="B95" s="15" t="s">
        <v>63</v>
      </c>
      <c r="C95" s="15"/>
      <c r="D95" s="15"/>
      <c r="E95" s="15"/>
      <c r="F95" s="15"/>
      <c r="G95" s="15"/>
      <c r="I95" s="12" t="str">
        <f>"Line "&amp;A34&amp;" * Line "&amp;A91&amp;""</f>
        <v>Line 17 * Line 53</v>
      </c>
      <c r="J95" s="15"/>
      <c r="K95" s="47">
        <f>K34*K91</f>
        <v>395645136.63207579</v>
      </c>
    </row>
    <row r="96" spans="1:11">
      <c r="A96" s="94"/>
      <c r="B96" s="12"/>
      <c r="C96" s="12"/>
      <c r="D96" s="12"/>
      <c r="E96" s="12"/>
      <c r="F96" s="12"/>
      <c r="G96" s="12"/>
      <c r="H96" s="12"/>
      <c r="I96" s="12"/>
      <c r="J96" s="12"/>
      <c r="K96" s="12"/>
    </row>
    <row r="97" spans="1:11">
      <c r="A97" s="12"/>
      <c r="B97" s="12"/>
      <c r="C97" s="12"/>
      <c r="D97" s="12"/>
      <c r="E97" s="12"/>
      <c r="F97" s="12"/>
      <c r="G97" s="12"/>
      <c r="H97" s="12"/>
      <c r="I97" s="12"/>
      <c r="J97" s="12"/>
      <c r="K97" s="12"/>
    </row>
    <row r="98" spans="1:11">
      <c r="A98" s="10" t="s">
        <v>197</v>
      </c>
      <c r="B98" s="11"/>
      <c r="C98" s="11"/>
      <c r="D98" s="11"/>
      <c r="E98" s="11"/>
      <c r="F98" s="11"/>
      <c r="G98" s="11"/>
      <c r="H98" s="9"/>
      <c r="I98" s="9"/>
      <c r="J98" s="9"/>
      <c r="K98" s="9"/>
    </row>
    <row r="100" spans="1:11">
      <c r="A100" s="117">
        <f>A95+1</f>
        <v>56</v>
      </c>
      <c r="B100" t="s">
        <v>238</v>
      </c>
      <c r="I100" s="14" t="str">
        <f>"26-Tax Rates, Line "&amp;'26-TaxRates'!A7&amp;""</f>
        <v>26-Tax Rates, Line 1</v>
      </c>
      <c r="K100" s="71">
        <f>'26-TaxRates'!D7</f>
        <v>0.35</v>
      </c>
    </row>
    <row r="101" spans="1:11">
      <c r="A101" s="2">
        <f>A100+1</f>
        <v>57</v>
      </c>
      <c r="B101" s="12" t="s">
        <v>284</v>
      </c>
      <c r="I101" s="14" t="str">
        <f>"26-Tax Rates, Line "&amp;'26-TaxRates'!A14&amp;""</f>
        <v>26-Tax Rates, Line 8</v>
      </c>
      <c r="K101" s="71">
        <f>'26-TaxRates'!D14</f>
        <v>8.8534232596638118E-2</v>
      </c>
    </row>
    <row r="102" spans="1:11">
      <c r="A102" s="2">
        <f>A101+1</f>
        <v>58</v>
      </c>
      <c r="B102" s="12" t="s">
        <v>283</v>
      </c>
      <c r="H102" s="53" t="s">
        <v>1879</v>
      </c>
      <c r="I102" s="12" t="str">
        <f>"(L"&amp;A100&amp;" + L"&amp;A101&amp;") - (L"&amp;A100&amp;" * L"&amp;A101&amp;")"</f>
        <v>(L56 + L57) - (L56 * L57)</v>
      </c>
      <c r="K102" s="8">
        <f>(K100+K101)-(K100*K101)</f>
        <v>0.40754725118781476</v>
      </c>
    </row>
    <row r="103" spans="1:11">
      <c r="A103" s="2"/>
      <c r="K103" s="8"/>
    </row>
    <row r="104" spans="1:11">
      <c r="A104" s="2"/>
      <c r="B104" s="81" t="s">
        <v>286</v>
      </c>
      <c r="K104" s="8"/>
    </row>
    <row r="105" spans="1:11">
      <c r="A105" s="117">
        <f>A102+1</f>
        <v>59</v>
      </c>
      <c r="B105" s="608" t="s">
        <v>2185</v>
      </c>
      <c r="C105" s="14"/>
      <c r="D105" s="14"/>
      <c r="E105" s="14"/>
      <c r="F105" s="14"/>
      <c r="G105" s="14"/>
      <c r="H105" s="12" t="s">
        <v>396</v>
      </c>
      <c r="I105" s="14"/>
      <c r="K105" s="64">
        <v>200</v>
      </c>
    </row>
    <row r="106" spans="1:11">
      <c r="A106" s="2">
        <f>A105+1</f>
        <v>60</v>
      </c>
      <c r="B106" s="608" t="s">
        <v>2186</v>
      </c>
      <c r="C106" s="14"/>
      <c r="D106" s="14"/>
      <c r="E106" s="14"/>
      <c r="F106" s="14"/>
      <c r="G106" s="14"/>
      <c r="H106" s="12" t="s">
        <v>396</v>
      </c>
      <c r="I106" s="14"/>
      <c r="K106" s="64">
        <v>-520000</v>
      </c>
    </row>
    <row r="107" spans="1:11">
      <c r="A107" s="2">
        <f>A106+1</f>
        <v>61</v>
      </c>
      <c r="B107" s="608" t="s">
        <v>2187</v>
      </c>
      <c r="C107" s="14"/>
      <c r="D107" s="14"/>
      <c r="E107" s="14"/>
      <c r="F107" s="14"/>
      <c r="G107" s="14"/>
      <c r="H107" s="12" t="s">
        <v>396</v>
      </c>
      <c r="I107" s="14"/>
      <c r="K107" s="118">
        <v>2606000</v>
      </c>
    </row>
    <row r="108" spans="1:11">
      <c r="A108" s="645">
        <f>A107+1</f>
        <v>62</v>
      </c>
      <c r="B108" s="13" t="s">
        <v>287</v>
      </c>
      <c r="I108" s="522" t="str">
        <f>"Line "&amp;A105&amp;" + Line "&amp;A106&amp;"+ Line "&amp;A107&amp;""</f>
        <v>Line 59 + Line 60+ Line 61</v>
      </c>
      <c r="K108" s="64">
        <f>SUM(K105:K107)</f>
        <v>2086200</v>
      </c>
    </row>
    <row r="109" spans="1:11">
      <c r="A109" s="117"/>
    </row>
    <row r="110" spans="1:11">
      <c r="A110" s="117">
        <f>A108+1</f>
        <v>63</v>
      </c>
      <c r="B110" s="12" t="s">
        <v>288</v>
      </c>
      <c r="I110" t="str">
        <f>"Formula on Line "&amp;A112&amp;""</f>
        <v>Formula on Line 64</v>
      </c>
      <c r="K110" s="64">
        <f>(((K34*K93) + K119)*(K102/(1-K102)))+(K108/(1-K102))</f>
        <v>200092619.59323439</v>
      </c>
    </row>
    <row r="111" spans="1:11">
      <c r="A111" s="117"/>
    </row>
    <row r="112" spans="1:11">
      <c r="A112" s="117">
        <f>A110+1</f>
        <v>64</v>
      </c>
      <c r="B112" s="524" t="s">
        <v>2700</v>
      </c>
      <c r="C112" s="524"/>
      <c r="D112" s="524"/>
      <c r="E112" s="524"/>
      <c r="F112" s="524"/>
      <c r="G112" s="524"/>
    </row>
    <row r="113" spans="1:11">
      <c r="A113" s="62"/>
      <c r="I113" s="12"/>
    </row>
    <row r="114" spans="1:11">
      <c r="A114" s="62"/>
      <c r="C114" t="s">
        <v>240</v>
      </c>
    </row>
    <row r="115" spans="1:11">
      <c r="A115" s="62"/>
      <c r="C115" s="120" t="s">
        <v>241</v>
      </c>
      <c r="D115" s="14"/>
      <c r="E115" s="14"/>
      <c r="F115" s="14"/>
      <c r="G115" s="14"/>
      <c r="H115" s="14"/>
      <c r="I115" s="15" t="str">
        <f>"Line "&amp;A34&amp;""</f>
        <v>Line 17</v>
      </c>
    </row>
    <row r="116" spans="1:11">
      <c r="A116" s="62"/>
      <c r="C116" s="521" t="s">
        <v>1981</v>
      </c>
      <c r="D116" s="14"/>
      <c r="E116" s="14"/>
      <c r="F116" s="14"/>
      <c r="G116" s="14"/>
      <c r="H116" s="14"/>
      <c r="I116" s="15" t="str">
        <f>"Line "&amp;A93&amp;""</f>
        <v>Line 54</v>
      </c>
    </row>
    <row r="117" spans="1:11">
      <c r="A117" s="62"/>
      <c r="C117" s="120" t="s">
        <v>242</v>
      </c>
      <c r="D117" s="14"/>
      <c r="E117" s="14"/>
      <c r="F117" s="14"/>
      <c r="G117" s="14"/>
      <c r="H117" s="14"/>
      <c r="I117" s="15" t="str">
        <f>"Line "&amp;A102&amp;""</f>
        <v>Line 58</v>
      </c>
    </row>
    <row r="118" spans="1:11">
      <c r="A118" s="62"/>
      <c r="C118" s="120" t="s">
        <v>243</v>
      </c>
      <c r="D118" s="14"/>
      <c r="E118" s="14"/>
      <c r="F118" s="14"/>
      <c r="G118" s="14"/>
      <c r="H118" s="14"/>
      <c r="I118" s="15" t="str">
        <f>"Line "&amp;A108&amp;""</f>
        <v>Line 62</v>
      </c>
    </row>
    <row r="119" spans="1:11">
      <c r="A119" s="542"/>
      <c r="C119" s="120" t="s">
        <v>1978</v>
      </c>
      <c r="D119" s="14"/>
      <c r="E119" s="14"/>
      <c r="F119" s="14"/>
      <c r="G119" s="14"/>
      <c r="H119" s="14"/>
      <c r="I119" s="14" t="s">
        <v>33</v>
      </c>
      <c r="K119" s="557">
        <v>2892817</v>
      </c>
    </row>
    <row r="121" spans="1:11">
      <c r="A121" s="10" t="s">
        <v>72</v>
      </c>
      <c r="B121" s="11"/>
      <c r="C121" s="11"/>
      <c r="D121" s="11"/>
      <c r="E121" s="11"/>
      <c r="F121" s="11"/>
      <c r="G121" s="11"/>
      <c r="H121" s="9"/>
      <c r="I121" s="9"/>
      <c r="J121" s="9"/>
      <c r="K121" s="9"/>
    </row>
    <row r="123" spans="1:11">
      <c r="B123" s="81" t="s">
        <v>289</v>
      </c>
    </row>
    <row r="124" spans="1:11">
      <c r="A124" s="117">
        <f>A112+1</f>
        <v>65</v>
      </c>
      <c r="B124" t="s">
        <v>112</v>
      </c>
      <c r="H124" s="16"/>
      <c r="I124" s="14" t="str">
        <f>"19-OandM, Line "&amp;'19-OandM'!A170&amp;", Col. 6"</f>
        <v>19-OandM, Line 137, Col. 6</v>
      </c>
      <c r="K124" s="64">
        <f>'19-OandM'!G170</f>
        <v>80137735.454664662</v>
      </c>
    </row>
    <row r="125" spans="1:11">
      <c r="A125" s="117">
        <f t="shared" ref="A125:A139" si="1">A124+1</f>
        <v>66</v>
      </c>
      <c r="B125" s="12" t="s">
        <v>290</v>
      </c>
      <c r="H125" s="16"/>
      <c r="I125" s="14" t="str">
        <f>"20-AandG, Line "&amp;'20-AandG'!A30&amp;""</f>
        <v>20-AandG, Line 23</v>
      </c>
      <c r="K125" s="64">
        <f>'20-AandG'!F30</f>
        <v>51917322.616693914</v>
      </c>
    </row>
    <row r="126" spans="1:11">
      <c r="A126" s="117">
        <f t="shared" si="1"/>
        <v>67</v>
      </c>
      <c r="B126" t="s">
        <v>65</v>
      </c>
      <c r="H126" s="16"/>
      <c r="I126" s="15" t="str">
        <f>"22-NUCs, Line "&amp;'22-NUCs'!A19&amp;""</f>
        <v>22-NUCs, Line 10</v>
      </c>
      <c r="K126" s="64">
        <f>'22-NUCs'!E19</f>
        <v>1403660</v>
      </c>
    </row>
    <row r="127" spans="1:11">
      <c r="A127" s="117">
        <f t="shared" si="1"/>
        <v>68</v>
      </c>
      <c r="B127" s="12" t="s">
        <v>276</v>
      </c>
      <c r="H127" s="16"/>
      <c r="I127" s="14" t="str">
        <f>"17-Depreciation, Line "&amp;'17-Depreciation'!A95&amp;""</f>
        <v>17-Depreciation, Line 70</v>
      </c>
      <c r="K127" s="64">
        <f>'17-Depreciation'!F95</f>
        <v>216844556.70368421</v>
      </c>
    </row>
    <row r="128" spans="1:11">
      <c r="A128" s="117">
        <f t="shared" si="1"/>
        <v>69</v>
      </c>
      <c r="B128" s="12" t="s">
        <v>322</v>
      </c>
      <c r="H128" s="16"/>
      <c r="I128" s="14" t="str">
        <f>"12-AbandonedPlant, Line "&amp;'12-AbandonedPlant'!A18&amp;""</f>
        <v>12-AbandonedPlant, Line 1</v>
      </c>
      <c r="K128" s="64">
        <f>'12-AbandonedPlant'!G18</f>
        <v>0</v>
      </c>
    </row>
    <row r="129" spans="1:11">
      <c r="A129" s="117">
        <f t="shared" si="1"/>
        <v>70</v>
      </c>
      <c r="B129" s="12" t="s">
        <v>89</v>
      </c>
      <c r="H129" s="16"/>
      <c r="I129" s="14" t="str">
        <f>"Line "&amp;A58&amp;""</f>
        <v>Line 35</v>
      </c>
      <c r="K129" s="64">
        <f>K58</f>
        <v>53583285.363316134</v>
      </c>
    </row>
    <row r="130" spans="1:11">
      <c r="A130" s="117">
        <f t="shared" si="1"/>
        <v>71</v>
      </c>
      <c r="B130" t="s">
        <v>11</v>
      </c>
      <c r="H130" s="46" t="s">
        <v>168</v>
      </c>
      <c r="I130" s="14" t="str">
        <f>"21-Revenue Credits, Line "&amp;'21-RevenueCredits'!A228&amp;""</f>
        <v>21-Revenue Credits, Line 44</v>
      </c>
      <c r="K130" s="64">
        <f>-'21-RevenueCredits'!E228</f>
        <v>-55077034.877153262</v>
      </c>
    </row>
    <row r="131" spans="1:11">
      <c r="A131" s="117">
        <f t="shared" si="1"/>
        <v>72</v>
      </c>
      <c r="B131" t="s">
        <v>97</v>
      </c>
      <c r="H131" s="16"/>
      <c r="I131" s="14" t="str">
        <f>"Line "&amp;A95&amp;""</f>
        <v>Line 55</v>
      </c>
      <c r="K131" s="64">
        <f>K95</f>
        <v>395645136.63207579</v>
      </c>
    </row>
    <row r="132" spans="1:11">
      <c r="A132" s="117">
        <f t="shared" si="1"/>
        <v>73</v>
      </c>
      <c r="B132" t="s">
        <v>5</v>
      </c>
      <c r="H132" s="16"/>
      <c r="I132" s="14" t="str">
        <f>"Line "&amp;A110&amp;""</f>
        <v>Line 63</v>
      </c>
      <c r="K132" s="47">
        <f>K110</f>
        <v>200092619.59323439</v>
      </c>
    </row>
    <row r="133" spans="1:11">
      <c r="A133" s="117">
        <f t="shared" si="1"/>
        <v>74</v>
      </c>
      <c r="B133" t="s">
        <v>1042</v>
      </c>
      <c r="H133" s="13" t="s">
        <v>1286</v>
      </c>
      <c r="I133" s="15" t="str">
        <f>"11-PHFU, Line "&amp;'11-PHFU'!A46&amp;""</f>
        <v>11-PHFU, Line 10</v>
      </c>
      <c r="K133" s="47">
        <f>-'11-PHFU'!E46</f>
        <v>0</v>
      </c>
    </row>
    <row r="134" spans="1:11">
      <c r="A134" s="117">
        <f t="shared" si="1"/>
        <v>75</v>
      </c>
      <c r="B134" s="661" t="s">
        <v>1964</v>
      </c>
      <c r="C134" s="796"/>
      <c r="D134" s="14"/>
      <c r="E134" s="14"/>
      <c r="H134" s="16"/>
      <c r="I134" s="15" t="str">
        <f>"23-RegAssets, Line "&amp;'23-RegAssets'!A19&amp;""</f>
        <v>23-RegAssets, Line 16</v>
      </c>
      <c r="K134" s="47">
        <f>'23-RegAssets'!E19</f>
        <v>0</v>
      </c>
    </row>
    <row r="135" spans="1:11">
      <c r="A135" s="117">
        <f t="shared" si="1"/>
        <v>76</v>
      </c>
      <c r="B135" s="12" t="s">
        <v>291</v>
      </c>
      <c r="H135" s="16"/>
      <c r="I135" s="14" t="str">
        <f>"15-IncentiveAdder, Line "&amp;'15-IncentiveAdder'!A44&amp;""</f>
        <v>15-IncentiveAdder, Line 14</v>
      </c>
      <c r="K135" s="118">
        <f>'15-IncentiveAdder'!G44</f>
        <v>34294288.827981949</v>
      </c>
    </row>
    <row r="136" spans="1:11">
      <c r="A136" s="117">
        <f t="shared" si="1"/>
        <v>77</v>
      </c>
      <c r="B136" s="12" t="s">
        <v>1629</v>
      </c>
      <c r="H136" s="16"/>
      <c r="I136" s="14" t="str">
        <f>"Sum of Lines "&amp;A124&amp;" to "&amp;A135&amp;""</f>
        <v>Sum of Lines 65 to 76</v>
      </c>
      <c r="K136" s="64">
        <f>SUM(K124:K135)</f>
        <v>978841570.31449783</v>
      </c>
    </row>
    <row r="137" spans="1:11">
      <c r="A137" s="117"/>
      <c r="B137" s="12"/>
      <c r="H137" s="16"/>
      <c r="I137" s="14"/>
      <c r="K137" s="64"/>
    </row>
    <row r="138" spans="1:11">
      <c r="A138" s="117">
        <f>A136+1</f>
        <v>78</v>
      </c>
      <c r="B138" s="12" t="s">
        <v>316</v>
      </c>
      <c r="I138" s="14" t="str">
        <f>"L "&amp;A136&amp;" * FF Factor (28-FFU, L "&amp;'28-FFU'!A22&amp;")"</f>
        <v>L 77 * FF Factor (28-FFU, L 5)</v>
      </c>
      <c r="J138" s="14"/>
      <c r="K138" s="64">
        <f>'28-FFU'!D22*K136</f>
        <v>8907458.2898619305</v>
      </c>
    </row>
    <row r="139" spans="1:11">
      <c r="A139" s="117">
        <f t="shared" si="1"/>
        <v>79</v>
      </c>
      <c r="B139" s="12" t="s">
        <v>315</v>
      </c>
      <c r="I139" s="14" t="str">
        <f>"L "&amp;A136&amp;" * U Factor (28-FFU, L "&amp;'28-FFU'!A22&amp;")"</f>
        <v>L 77 * U Factor (28-FFU, L 5)</v>
      </c>
      <c r="J139" s="14"/>
      <c r="K139" s="64">
        <f>'28-FFU'!E22*K136</f>
        <v>2329642.937348505</v>
      </c>
    </row>
    <row r="140" spans="1:11">
      <c r="A140" s="117"/>
      <c r="B140" s="12"/>
      <c r="K140" s="64"/>
    </row>
    <row r="141" spans="1:11">
      <c r="A141" s="117">
        <f>A139+1</f>
        <v>80</v>
      </c>
      <c r="B141" s="12" t="s">
        <v>106</v>
      </c>
      <c r="I141" t="str">
        <f>"Line "&amp;A136&amp;" + Line "&amp;A138&amp;"+ Line "&amp;A139&amp;""</f>
        <v>Line 77 + Line 78+ Line 79</v>
      </c>
      <c r="K141" s="64">
        <f>K136+K138+K139</f>
        <v>990078671.54170823</v>
      </c>
    </row>
    <row r="143" spans="1:11">
      <c r="A143" s="10" t="s">
        <v>292</v>
      </c>
      <c r="B143" s="11"/>
      <c r="C143" s="11"/>
      <c r="D143" s="11"/>
      <c r="E143" s="11"/>
      <c r="F143" s="11"/>
      <c r="G143" s="11"/>
      <c r="H143" s="9"/>
      <c r="I143" s="9"/>
      <c r="J143" s="9"/>
      <c r="K143" s="9"/>
    </row>
    <row r="145" spans="1:11">
      <c r="B145" s="81" t="s">
        <v>1862</v>
      </c>
    </row>
    <row r="146" spans="1:11">
      <c r="A146" s="117">
        <f>A141+1</f>
        <v>81</v>
      </c>
      <c r="B146" t="s">
        <v>106</v>
      </c>
      <c r="I146" t="str">
        <f>"Line "&amp;A141&amp;""</f>
        <v>Line 80</v>
      </c>
      <c r="K146" s="64">
        <f>K141</f>
        <v>990078671.54170823</v>
      </c>
    </row>
    <row r="147" spans="1:11">
      <c r="A147" s="117">
        <f>A146+1</f>
        <v>82</v>
      </c>
      <c r="B147" t="s">
        <v>349</v>
      </c>
      <c r="I147" s="15" t="str">
        <f>"2-IFPTRR, Line "&amp;'2-IFPTRR'!A91&amp;""</f>
        <v>2-IFPTRR, Line 82</v>
      </c>
      <c r="K147" s="64">
        <f>'2-IFPTRR'!D91</f>
        <v>104981469.60339843</v>
      </c>
    </row>
    <row r="148" spans="1:11">
      <c r="A148" s="117">
        <f>A147+1</f>
        <v>83</v>
      </c>
      <c r="B148" s="12" t="s">
        <v>29</v>
      </c>
      <c r="H148" s="12" t="s">
        <v>1293</v>
      </c>
      <c r="I148" s="15" t="str">
        <f>"3-TrueUpAdjust, Line "&amp;'3-TrueUpAdjust'!A75&amp;""</f>
        <v>3-TrueUpAdjust, Line 62</v>
      </c>
      <c r="K148" s="47">
        <f>IF(E149="Yes",0,'3-TrueUpAdjust'!E75)</f>
        <v>95118367.567442194</v>
      </c>
    </row>
    <row r="149" spans="1:11">
      <c r="A149" s="117">
        <f t="shared" ref="A149:A150" si="2">A148+1</f>
        <v>84</v>
      </c>
      <c r="B149" s="12"/>
      <c r="D149" s="99" t="s">
        <v>1342</v>
      </c>
      <c r="E149" s="529" t="s">
        <v>248</v>
      </c>
      <c r="F149" s="12" t="s">
        <v>1343</v>
      </c>
      <c r="I149" s="15"/>
      <c r="K149" s="108"/>
    </row>
    <row r="150" spans="1:11">
      <c r="A150" s="117">
        <f t="shared" si="2"/>
        <v>85</v>
      </c>
      <c r="B150" s="524" t="s">
        <v>2288</v>
      </c>
      <c r="C150" s="14"/>
      <c r="H150" s="12" t="s">
        <v>1308</v>
      </c>
      <c r="I150" s="14"/>
      <c r="K150" s="126"/>
    </row>
    <row r="151" spans="1:11">
      <c r="A151" s="117"/>
      <c r="I151" s="14"/>
      <c r="K151" s="7"/>
    </row>
    <row r="152" spans="1:11">
      <c r="A152" s="117">
        <f>A150+1</f>
        <v>86</v>
      </c>
      <c r="B152" s="522" t="s">
        <v>1860</v>
      </c>
      <c r="H152" s="12" t="s">
        <v>293</v>
      </c>
      <c r="I152" s="14" t="str">
        <f>"L "&amp;A146&amp;" + L "&amp;A147&amp;" + L "&amp;A148&amp;" + L "&amp;A150&amp;""</f>
        <v>L 81 + L 82 + L 83 + L 85</v>
      </c>
      <c r="K152" s="64">
        <f>K146+K147+K148+K150</f>
        <v>1190178508.7125487</v>
      </c>
    </row>
    <row r="153" spans="1:11">
      <c r="A153" s="117"/>
      <c r="I153" s="14"/>
      <c r="K153" s="64"/>
    </row>
    <row r="154" spans="1:11">
      <c r="A154" s="117"/>
      <c r="B154" s="81" t="s">
        <v>1861</v>
      </c>
      <c r="I154" s="14"/>
      <c r="K154" s="64"/>
    </row>
    <row r="155" spans="1:11">
      <c r="A155" s="117">
        <f>A152+1</f>
        <v>87</v>
      </c>
      <c r="B155" t="s">
        <v>1553</v>
      </c>
      <c r="I155" s="14" t="str">
        <f>"Line "&amp;A152&amp;""</f>
        <v>Line 86</v>
      </c>
      <c r="K155" s="64">
        <f>K152</f>
        <v>1190178508.7125487</v>
      </c>
    </row>
    <row r="156" spans="1:11">
      <c r="A156" s="117">
        <f>A155+1</f>
        <v>88</v>
      </c>
      <c r="B156" t="s">
        <v>1552</v>
      </c>
      <c r="I156" s="15" t="str">
        <f>"25-WholesaleDifference, Line "&amp;'25-WholesaleDifference'!A92&amp;""</f>
        <v>25-WholesaleDifference, Line 44</v>
      </c>
      <c r="K156" s="118">
        <f>'25-WholesaleDifference'!H92</f>
        <v>-6147229.3651186749</v>
      </c>
    </row>
    <row r="157" spans="1:11">
      <c r="A157" s="117">
        <f>A156+1</f>
        <v>89</v>
      </c>
      <c r="B157" t="s">
        <v>1861</v>
      </c>
      <c r="I157" t="str">
        <f>"Line "&amp;A155&amp;" + Line "&amp;A156&amp;""</f>
        <v>Line 87 + Line 88</v>
      </c>
      <c r="K157" s="64">
        <f>K155+K156</f>
        <v>1184031279.34743</v>
      </c>
    </row>
    <row r="158" spans="1:11">
      <c r="A158" s="14"/>
      <c r="H158" s="12"/>
    </row>
    <row r="160" spans="1:11">
      <c r="B160" s="52" t="s">
        <v>256</v>
      </c>
    </row>
    <row r="161" spans="2:11">
      <c r="B161" s="524" t="s">
        <v>2724</v>
      </c>
      <c r="C161" s="14"/>
      <c r="D161" s="14"/>
      <c r="E161" s="14"/>
      <c r="F161" s="14"/>
      <c r="G161" s="14"/>
      <c r="H161" s="14"/>
      <c r="I161" s="14"/>
      <c r="J161" s="14"/>
      <c r="K161" s="14"/>
    </row>
    <row r="162" spans="2:11">
      <c r="B162" s="522" t="s">
        <v>1885</v>
      </c>
    </row>
    <row r="163" spans="2:11">
      <c r="B163" s="524" t="s">
        <v>2177</v>
      </c>
      <c r="C163" s="14"/>
      <c r="D163" s="14"/>
      <c r="E163" s="14"/>
      <c r="F163" s="14"/>
      <c r="G163" s="14"/>
      <c r="H163" s="14"/>
      <c r="I163" s="14"/>
      <c r="J163" s="14"/>
      <c r="K163" s="14"/>
    </row>
    <row r="164" spans="2:11">
      <c r="B164" s="524"/>
      <c r="C164" s="14" t="s">
        <v>2176</v>
      </c>
      <c r="D164" s="14"/>
      <c r="E164" s="14"/>
      <c r="F164" s="102"/>
      <c r="G164" s="102"/>
      <c r="H164" s="102"/>
      <c r="I164" s="14"/>
      <c r="J164" s="14"/>
      <c r="K164" s="14"/>
    </row>
    <row r="165" spans="2:11">
      <c r="B165" s="522" t="s">
        <v>2188</v>
      </c>
      <c r="C165" s="14"/>
      <c r="D165" s="14"/>
      <c r="E165" s="14"/>
      <c r="F165" s="14"/>
      <c r="G165" s="14"/>
      <c r="H165" s="14"/>
      <c r="I165" s="14"/>
    </row>
    <row r="166" spans="2:11">
      <c r="B166" s="12" t="s">
        <v>1613</v>
      </c>
    </row>
    <row r="167" spans="2:11">
      <c r="B167" s="524" t="s">
        <v>2696</v>
      </c>
    </row>
  </sheetData>
  <phoneticPr fontId="25" type="noConversion"/>
  <pageMargins left="0.75" right="0.75" top="1" bottom="1" header="0.5" footer="0.5"/>
  <pageSetup scale="68" orientation="portrait" cellComments="asDisplayed" r:id="rId1"/>
  <headerFooter alignWithMargins="0">
    <oddHeader>&amp;CSchedule 1
Base TRR
&amp;RTO11 Draft Annual Update
Attachment 1</oddHeader>
    <oddFooter>&amp;R&amp;A</oddFooter>
  </headerFooter>
  <rowBreaks count="2" manualBreakCount="2">
    <brk id="59" max="16383" man="1"/>
    <brk id="1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
  <sheetViews>
    <sheetView zoomScaleNormal="100" workbookViewId="0"/>
  </sheetViews>
  <sheetFormatPr defaultRowHeight="12.75"/>
  <cols>
    <col min="1" max="1" width="4.7109375" customWidth="1"/>
    <col min="2" max="2" width="20.7109375" customWidth="1"/>
    <col min="3" max="4" width="16.7109375" customWidth="1"/>
    <col min="5" max="5" width="24.7109375" customWidth="1"/>
    <col min="6" max="6" width="9.140625" customWidth="1"/>
    <col min="10" max="10" width="18.5703125" customWidth="1"/>
    <col min="11" max="11" width="20.85546875" customWidth="1"/>
  </cols>
  <sheetData>
    <row r="1" spans="1:6">
      <c r="A1" s="1" t="s">
        <v>1185</v>
      </c>
    </row>
    <row r="2" spans="1:6">
      <c r="A2" s="1"/>
    </row>
    <row r="3" spans="1:6">
      <c r="B3" s="12" t="s">
        <v>454</v>
      </c>
    </row>
    <row r="4" spans="1:6">
      <c r="A4" s="1"/>
      <c r="B4" s="13" t="s">
        <v>372</v>
      </c>
    </row>
    <row r="5" spans="1:6">
      <c r="A5" s="1"/>
      <c r="B5" s="13" t="s">
        <v>373</v>
      </c>
    </row>
    <row r="7" spans="1:6">
      <c r="B7" s="1" t="s">
        <v>1095</v>
      </c>
    </row>
    <row r="8" spans="1:6">
      <c r="E8" s="16"/>
    </row>
    <row r="9" spans="1:6">
      <c r="A9" s="52" t="s">
        <v>360</v>
      </c>
      <c r="B9" s="75" t="s">
        <v>1184</v>
      </c>
    </row>
    <row r="10" spans="1:6">
      <c r="A10" s="2">
        <v>1</v>
      </c>
    </row>
    <row r="11" spans="1:6">
      <c r="A11" s="2">
        <f>A10+1</f>
        <v>2</v>
      </c>
      <c r="B11" s="388" t="s">
        <v>1619</v>
      </c>
      <c r="C11" s="14"/>
      <c r="D11" s="14"/>
      <c r="E11" s="14"/>
      <c r="F11" s="14"/>
    </row>
    <row r="12" spans="1:6">
      <c r="A12" s="2">
        <f t="shared" ref="A12:A87" si="0">A11+1</f>
        <v>3</v>
      </c>
      <c r="B12" s="388" t="s">
        <v>1144</v>
      </c>
      <c r="C12" s="14"/>
      <c r="D12" s="14"/>
      <c r="E12" s="14"/>
      <c r="F12" s="14"/>
    </row>
    <row r="13" spans="1:6">
      <c r="A13" s="2">
        <f t="shared" si="0"/>
        <v>4</v>
      </c>
      <c r="B13" s="388"/>
      <c r="C13" s="14"/>
      <c r="D13" s="14"/>
      <c r="E13" s="14"/>
      <c r="F13" s="14"/>
    </row>
    <row r="14" spans="1:6">
      <c r="A14" s="2">
        <f t="shared" si="0"/>
        <v>5</v>
      </c>
      <c r="B14" s="1022" t="s">
        <v>2725</v>
      </c>
      <c r="C14" s="14"/>
      <c r="D14" s="14"/>
      <c r="E14" s="14"/>
      <c r="F14" s="14"/>
    </row>
    <row r="15" spans="1:6">
      <c r="A15" s="2">
        <f t="shared" si="0"/>
        <v>6</v>
      </c>
      <c r="B15" s="389"/>
      <c r="C15" s="14"/>
      <c r="D15" s="14"/>
      <c r="E15" s="14"/>
      <c r="F15" s="14"/>
    </row>
    <row r="16" spans="1:6">
      <c r="A16" s="2">
        <f t="shared" si="0"/>
        <v>7</v>
      </c>
      <c r="B16" s="388" t="s">
        <v>399</v>
      </c>
      <c r="C16" s="14"/>
      <c r="D16" s="14"/>
      <c r="E16" s="14"/>
      <c r="F16" s="386"/>
    </row>
    <row r="17" spans="1:6">
      <c r="A17" s="2">
        <f t="shared" si="0"/>
        <v>8</v>
      </c>
      <c r="B17" s="390" t="s">
        <v>1140</v>
      </c>
      <c r="C17" s="14"/>
      <c r="D17" s="14"/>
      <c r="E17" s="14"/>
      <c r="F17" s="71"/>
    </row>
    <row r="18" spans="1:6">
      <c r="A18" s="2">
        <f t="shared" si="0"/>
        <v>9</v>
      </c>
      <c r="B18" s="390" t="s">
        <v>1141</v>
      </c>
      <c r="C18" s="14"/>
      <c r="D18" s="14"/>
      <c r="E18" s="14"/>
      <c r="F18" s="71"/>
    </row>
    <row r="19" spans="1:6">
      <c r="A19" s="2">
        <f t="shared" si="0"/>
        <v>10</v>
      </c>
      <c r="B19" s="390" t="s">
        <v>242</v>
      </c>
      <c r="C19" s="14"/>
      <c r="D19" s="14"/>
      <c r="E19" s="374"/>
      <c r="F19" s="64"/>
    </row>
    <row r="20" spans="1:6">
      <c r="A20" s="2">
        <f t="shared" si="0"/>
        <v>11</v>
      </c>
      <c r="B20" s="44"/>
      <c r="C20" s="14"/>
      <c r="D20" s="374"/>
      <c r="E20" s="131" t="s">
        <v>224</v>
      </c>
      <c r="F20" s="14"/>
    </row>
    <row r="21" spans="1:6">
      <c r="A21" s="2">
        <f t="shared" si="0"/>
        <v>12</v>
      </c>
      <c r="C21" s="374" t="s">
        <v>1199</v>
      </c>
      <c r="D21" s="387">
        <f>'1-BaseTRR'!K88</f>
        <v>2.0569074250447964E-2</v>
      </c>
      <c r="E21" s="46" t="str">
        <f>"1-BaseTRR, Line "&amp;'1-BaseTRR'!A88&amp;""</f>
        <v>1-BaseTRR, Line 50</v>
      </c>
      <c r="F21" s="14"/>
    </row>
    <row r="22" spans="1:6">
      <c r="A22" s="2">
        <f t="shared" si="0"/>
        <v>13</v>
      </c>
      <c r="C22" s="374" t="s">
        <v>1200</v>
      </c>
      <c r="D22" s="387">
        <f>'1-BaseTRR'!K93</f>
        <v>5.1588576161144532E-2</v>
      </c>
      <c r="E22" s="46" t="str">
        <f>"1-BaseTRR, Line "&amp;'1-BaseTRR'!A93&amp;""</f>
        <v>1-BaseTRR, Line 54</v>
      </c>
      <c r="F22" s="14"/>
    </row>
    <row r="23" spans="1:6">
      <c r="A23" s="2">
        <f t="shared" si="0"/>
        <v>14</v>
      </c>
      <c r="C23" s="374" t="s">
        <v>1143</v>
      </c>
      <c r="D23" s="387">
        <f>'1-BaseTRR'!K102</f>
        <v>0.40754725118781476</v>
      </c>
      <c r="E23" s="46" t="str">
        <f>"1-BaseTRR, Line "&amp;'1-BaseTRR'!A102&amp;""</f>
        <v>1-BaseTRR, Line 58</v>
      </c>
      <c r="F23" s="14"/>
    </row>
    <row r="24" spans="1:6">
      <c r="A24" s="2">
        <f t="shared" si="0"/>
        <v>15</v>
      </c>
      <c r="B24" s="15"/>
      <c r="C24" s="14"/>
      <c r="D24" s="387"/>
      <c r="E24" s="46"/>
      <c r="F24" s="14"/>
    </row>
    <row r="25" spans="1:6">
      <c r="A25" s="2">
        <f t="shared" si="0"/>
        <v>16</v>
      </c>
      <c r="C25" s="374" t="s">
        <v>1142</v>
      </c>
      <c r="D25" s="387">
        <f>D21 + (D22*(1/(1-D23)))</f>
        <v>0.10764534533632783</v>
      </c>
      <c r="E25" s="46" t="str">
        <f>"Line "&amp;A21&amp;" + (Line "&amp;A22&amp;" * (1/(1 - Line "&amp;A23&amp;")))"</f>
        <v>Line 12 + (Line 13 * (1/(1 - Line 14)))</v>
      </c>
      <c r="F25" s="14"/>
    </row>
    <row r="26" spans="1:6">
      <c r="A26" s="2">
        <f t="shared" si="0"/>
        <v>17</v>
      </c>
      <c r="B26" s="15"/>
      <c r="C26" s="14"/>
      <c r="D26" s="374"/>
      <c r="E26" s="46"/>
      <c r="F26" s="14"/>
    </row>
    <row r="27" spans="1:6">
      <c r="A27" s="2">
        <f t="shared" si="0"/>
        <v>18</v>
      </c>
      <c r="B27" s="75" t="s">
        <v>1093</v>
      </c>
      <c r="C27" s="14"/>
      <c r="D27" s="374"/>
      <c r="E27" s="46"/>
      <c r="F27" s="14"/>
    </row>
    <row r="28" spans="1:6">
      <c r="A28" s="2">
        <f t="shared" si="0"/>
        <v>19</v>
      </c>
      <c r="B28" s="15"/>
      <c r="C28" s="14"/>
      <c r="D28" s="374"/>
      <c r="E28" s="46"/>
      <c r="F28" s="14"/>
    </row>
    <row r="29" spans="1:6">
      <c r="A29" s="2">
        <f t="shared" si="0"/>
        <v>20</v>
      </c>
      <c r="B29" s="388" t="s">
        <v>1201</v>
      </c>
      <c r="C29" s="14"/>
      <c r="D29" s="374"/>
      <c r="E29" s="46"/>
      <c r="F29" s="14"/>
    </row>
    <row r="30" spans="1:6">
      <c r="A30" s="2">
        <f t="shared" si="0"/>
        <v>21</v>
      </c>
      <c r="B30" s="388" t="s">
        <v>1202</v>
      </c>
      <c r="C30" s="14"/>
      <c r="D30" s="374"/>
      <c r="E30" s="46"/>
      <c r="F30" s="14"/>
    </row>
    <row r="31" spans="1:6">
      <c r="A31" s="2">
        <f t="shared" si="0"/>
        <v>22</v>
      </c>
      <c r="C31" s="14"/>
      <c r="D31" s="374"/>
      <c r="E31" s="46"/>
      <c r="F31" s="14"/>
    </row>
    <row r="32" spans="1:6">
      <c r="A32" s="2">
        <f t="shared" si="0"/>
        <v>23</v>
      </c>
      <c r="B32" s="390" t="s">
        <v>1145</v>
      </c>
      <c r="C32" s="14"/>
      <c r="D32" s="374"/>
      <c r="E32" s="46"/>
      <c r="F32" s="14"/>
    </row>
    <row r="33" spans="1:11">
      <c r="A33" s="2">
        <f t="shared" si="0"/>
        <v>24</v>
      </c>
      <c r="F33" s="14"/>
    </row>
    <row r="34" spans="1:11">
      <c r="A34" s="2">
        <f t="shared" si="0"/>
        <v>25</v>
      </c>
      <c r="B34" s="75" t="s">
        <v>1183</v>
      </c>
      <c r="F34" s="14"/>
    </row>
    <row r="35" spans="1:11">
      <c r="A35" s="2">
        <f t="shared" si="0"/>
        <v>26</v>
      </c>
      <c r="B35" s="12"/>
      <c r="E35" s="3" t="s">
        <v>224</v>
      </c>
      <c r="F35" s="14"/>
    </row>
    <row r="36" spans="1:11">
      <c r="A36" s="2">
        <f t="shared" si="0"/>
        <v>27</v>
      </c>
      <c r="C36" s="99" t="s">
        <v>1151</v>
      </c>
      <c r="D36" s="108">
        <f>'6-PlantInService'!M23</f>
        <v>7656953152.2693701</v>
      </c>
      <c r="E36" s="46" t="str">
        <f>"6-PlantInService, Line "&amp;'6-PlantInService'!A23&amp;""</f>
        <v>6-PlantInService, Line 13</v>
      </c>
      <c r="F36" s="14"/>
      <c r="G36" s="14"/>
    </row>
    <row r="37" spans="1:11">
      <c r="A37" s="2">
        <f t="shared" si="0"/>
        <v>28</v>
      </c>
      <c r="C37" s="99" t="s">
        <v>1152</v>
      </c>
      <c r="D37" s="108">
        <f>'6-PlantInService'!F35</f>
        <v>0</v>
      </c>
      <c r="E37" s="46" t="str">
        <f>"6-PlantInService, Line "&amp;'6-PlantInService'!A35&amp;""</f>
        <v>6-PlantInService, Line 16</v>
      </c>
      <c r="F37" s="14"/>
      <c r="G37" s="14"/>
    </row>
    <row r="38" spans="1:11">
      <c r="A38" s="2">
        <f t="shared" si="0"/>
        <v>29</v>
      </c>
      <c r="C38" s="99" t="s">
        <v>1181</v>
      </c>
      <c r="D38" s="108">
        <f>'8-AccDep'!N24</f>
        <v>1305596553.6969178</v>
      </c>
      <c r="E38" s="46" t="str">
        <f>"8-AccDep, Line "&amp;'8-AccDep'!A24&amp;""</f>
        <v>8-AccDep, Line 13</v>
      </c>
      <c r="F38" s="14"/>
      <c r="G38" s="14"/>
    </row>
    <row r="39" spans="1:11">
      <c r="A39" s="2">
        <f t="shared" si="0"/>
        <v>30</v>
      </c>
      <c r="C39" s="99" t="s">
        <v>1182</v>
      </c>
      <c r="D39" s="98">
        <f>'8-AccDep'!G34</f>
        <v>0</v>
      </c>
      <c r="E39" s="46" t="str">
        <f>"8-AccDep, Line "&amp;'8-AccDep'!A34&amp;""</f>
        <v>8-AccDep, Line 16</v>
      </c>
      <c r="F39" s="14"/>
      <c r="G39" s="14"/>
    </row>
    <row r="40" spans="1:11">
      <c r="A40" s="2">
        <f t="shared" si="0"/>
        <v>31</v>
      </c>
      <c r="C40" s="99" t="s">
        <v>1094</v>
      </c>
      <c r="D40" s="7">
        <f>(D36+D37)-(D38+D39)</f>
        <v>6351356598.5724525</v>
      </c>
      <c r="E40" s="46" t="str">
        <f>"(L"&amp;A36&amp;" + L"&amp;A37&amp;") - (L"&amp;A38&amp;" + L"&amp;A39&amp;")"</f>
        <v>(L27 + L28) - (L29 + L30)</v>
      </c>
      <c r="F40" s="14"/>
      <c r="G40" s="14"/>
    </row>
    <row r="41" spans="1:11">
      <c r="A41" s="2">
        <f t="shared" si="0"/>
        <v>32</v>
      </c>
      <c r="C41" s="99"/>
      <c r="D41" s="7"/>
      <c r="E41" s="46"/>
      <c r="F41" s="14"/>
      <c r="G41" s="14"/>
    </row>
    <row r="42" spans="1:11">
      <c r="A42" s="2">
        <f t="shared" si="0"/>
        <v>33</v>
      </c>
      <c r="B42" s="75" t="s">
        <v>1599</v>
      </c>
      <c r="E42" s="14"/>
      <c r="F42" s="14"/>
      <c r="G42" s="14"/>
    </row>
    <row r="43" spans="1:11">
      <c r="A43" s="508">
        <f t="shared" si="0"/>
        <v>34</v>
      </c>
      <c r="B43" s="75"/>
      <c r="E43" s="14"/>
      <c r="F43" s="14"/>
      <c r="G43" s="14"/>
    </row>
    <row r="44" spans="1:11">
      <c r="A44" s="508">
        <f t="shared" si="0"/>
        <v>35</v>
      </c>
      <c r="B44" s="75" t="s">
        <v>1600</v>
      </c>
      <c r="E44" s="14"/>
      <c r="F44" s="14"/>
      <c r="G44" s="14"/>
    </row>
    <row r="45" spans="1:11">
      <c r="A45" s="508">
        <f t="shared" si="0"/>
        <v>36</v>
      </c>
      <c r="B45" s="56" t="s">
        <v>1601</v>
      </c>
      <c r="E45" s="14"/>
      <c r="F45" s="14"/>
      <c r="G45" s="14"/>
    </row>
    <row r="46" spans="1:11">
      <c r="A46" s="508">
        <f t="shared" si="0"/>
        <v>37</v>
      </c>
      <c r="B46" s="75"/>
      <c r="C46" s="99" t="s">
        <v>1620</v>
      </c>
      <c r="D46" s="108">
        <f>'10-CWIP'!D25</f>
        <v>296606972.98000002</v>
      </c>
      <c r="E46" s="46" t="str">
        <f>"10-CWIP, L "&amp;'10-CWIP'!A25&amp;" C1"</f>
        <v>10-CWIP, L 13 C1</v>
      </c>
      <c r="F46" s="14"/>
      <c r="G46" s="14"/>
      <c r="K46" s="7"/>
    </row>
    <row r="47" spans="1:11">
      <c r="A47" s="508">
        <f t="shared" si="0"/>
        <v>38</v>
      </c>
      <c r="B47" s="75"/>
      <c r="C47" s="99" t="s">
        <v>387</v>
      </c>
      <c r="D47" s="132">
        <f>D25</f>
        <v>0.10764534533632783</v>
      </c>
      <c r="E47" s="46" t="str">
        <f>"Line "&amp;A25&amp;""</f>
        <v>Line 16</v>
      </c>
      <c r="F47" s="14"/>
      <c r="G47" s="14"/>
      <c r="K47" s="7"/>
    </row>
    <row r="48" spans="1:11">
      <c r="A48" s="508">
        <f t="shared" si="0"/>
        <v>39</v>
      </c>
      <c r="B48" s="75"/>
      <c r="C48" s="99" t="s">
        <v>1594</v>
      </c>
      <c r="D48" s="108">
        <f>D46*D47</f>
        <v>31928360.035594959</v>
      </c>
      <c r="E48" s="46" t="str">
        <f>"Line "&amp;A46&amp;" * Line "&amp;A47&amp;""</f>
        <v>Line 37 * Line 38</v>
      </c>
      <c r="F48" s="14"/>
      <c r="G48" s="14"/>
      <c r="K48" s="7"/>
    </row>
    <row r="49" spans="1:11">
      <c r="A49" s="508">
        <f t="shared" si="0"/>
        <v>40</v>
      </c>
      <c r="B49" s="75"/>
      <c r="C49" s="99"/>
      <c r="D49" s="108"/>
      <c r="E49" s="46"/>
      <c r="F49" s="14"/>
      <c r="G49" s="14"/>
      <c r="K49" s="7"/>
    </row>
    <row r="50" spans="1:11">
      <c r="A50" s="508">
        <f t="shared" si="0"/>
        <v>41</v>
      </c>
      <c r="B50" s="56" t="s">
        <v>1602</v>
      </c>
      <c r="E50" s="14"/>
      <c r="F50" s="14"/>
      <c r="G50" s="14"/>
      <c r="K50" s="7"/>
    </row>
    <row r="51" spans="1:11">
      <c r="A51" s="508">
        <f t="shared" si="0"/>
        <v>42</v>
      </c>
      <c r="B51" s="75"/>
      <c r="C51" s="99" t="s">
        <v>1608</v>
      </c>
      <c r="D51" s="108">
        <f>'15-IncentiveAdder'!G17</f>
        <v>8068.6120944084041</v>
      </c>
      <c r="E51" s="120" t="str">
        <f>"15-IncentiveAdder, Line "&amp;'15-IncentiveAdder'!A17&amp;""</f>
        <v>15-IncentiveAdder, Line 3</v>
      </c>
      <c r="F51" s="14"/>
      <c r="G51" s="14"/>
      <c r="K51" s="7"/>
    </row>
    <row r="52" spans="1:11">
      <c r="A52" s="508">
        <f t="shared" si="0"/>
        <v>43</v>
      </c>
      <c r="B52" s="75"/>
      <c r="C52" s="99"/>
      <c r="E52" s="14"/>
      <c r="F52" s="14"/>
      <c r="G52" s="14"/>
      <c r="K52" s="7"/>
    </row>
    <row r="53" spans="1:11">
      <c r="A53" s="508">
        <f t="shared" si="0"/>
        <v>44</v>
      </c>
      <c r="B53" s="75"/>
      <c r="C53" s="99" t="s">
        <v>1581</v>
      </c>
      <c r="D53" s="7">
        <f>'10-CWIP'!E25</f>
        <v>225689500.47</v>
      </c>
      <c r="E53" s="46" t="str">
        <f>"10-CWIP, Line "&amp;'10-CWIP'!A25&amp;""</f>
        <v>10-CWIP, Line 13</v>
      </c>
      <c r="F53" s="15"/>
      <c r="G53" s="14"/>
      <c r="K53" s="7"/>
    </row>
    <row r="54" spans="1:11">
      <c r="A54" s="508">
        <f t="shared" si="0"/>
        <v>45</v>
      </c>
      <c r="B54" s="75"/>
      <c r="C54" s="99" t="s">
        <v>1605</v>
      </c>
      <c r="D54" s="42">
        <f>'15-IncentiveAdder'!E26</f>
        <v>1.2500000000000001E-2</v>
      </c>
      <c r="E54" s="120" t="str">
        <f>"15-IncentiveAdder, Line "&amp;'15-IncentiveAdder'!A26&amp;""</f>
        <v>15-IncentiveAdder, Line 5</v>
      </c>
      <c r="F54" s="15"/>
      <c r="G54" s="14"/>
      <c r="K54" s="7"/>
    </row>
    <row r="55" spans="1:11">
      <c r="A55" s="508">
        <f t="shared" si="0"/>
        <v>46</v>
      </c>
      <c r="B55" s="75"/>
      <c r="C55" s="99" t="s">
        <v>1604</v>
      </c>
      <c r="D55" s="7">
        <f>(D53/1000000)*($D$51*(D54/0.01))</f>
        <v>2276251.2913415418</v>
      </c>
      <c r="E55" s="521" t="str">
        <f>"Formula on Line "&amp;A61&amp;""</f>
        <v>Formula on Line 52</v>
      </c>
      <c r="F55" s="14"/>
      <c r="G55" s="14"/>
      <c r="K55" s="7"/>
    </row>
    <row r="56" spans="1:11">
      <c r="A56" s="508">
        <f t="shared" si="0"/>
        <v>47</v>
      </c>
      <c r="B56" s="75"/>
      <c r="C56" s="99"/>
      <c r="E56" s="64"/>
      <c r="F56" s="14"/>
      <c r="G56" s="14"/>
      <c r="K56" s="7"/>
    </row>
    <row r="57" spans="1:11">
      <c r="A57" s="508">
        <f t="shared" si="0"/>
        <v>48</v>
      </c>
      <c r="C57" s="99" t="s">
        <v>1603</v>
      </c>
      <c r="D57" s="7">
        <f>'10-CWIP'!F25</f>
        <v>0</v>
      </c>
      <c r="E57" s="46" t="str">
        <f>"10-CWIP, Line "&amp;'10-CWIP'!A25&amp;""</f>
        <v>10-CWIP, Line 13</v>
      </c>
      <c r="F57" s="14"/>
      <c r="G57" s="14"/>
      <c r="K57" s="7"/>
    </row>
    <row r="58" spans="1:11">
      <c r="A58" s="508">
        <f t="shared" si="0"/>
        <v>49</v>
      </c>
      <c r="C58" s="99" t="s">
        <v>1606</v>
      </c>
      <c r="D58" s="42">
        <f>'15-IncentiveAdder'!E27</f>
        <v>0.01</v>
      </c>
      <c r="E58" s="120" t="str">
        <f>"15-IncentiveAdder, Line "&amp;'15-IncentiveAdder'!A27&amp;""</f>
        <v>15-IncentiveAdder, Line 6</v>
      </c>
      <c r="F58" s="14"/>
      <c r="G58" s="14"/>
      <c r="K58" s="7"/>
    </row>
    <row r="59" spans="1:11">
      <c r="A59" s="508">
        <f t="shared" si="0"/>
        <v>50</v>
      </c>
      <c r="C59" s="99" t="s">
        <v>1607</v>
      </c>
      <c r="D59" s="7">
        <f>(D57/1000000)*($D$51*(D58/0.01))</f>
        <v>0</v>
      </c>
      <c r="E59" s="46" t="str">
        <f>"Formula on Line "&amp;A61&amp;""</f>
        <v>Formula on Line 52</v>
      </c>
      <c r="F59" s="14"/>
      <c r="G59" s="14"/>
      <c r="K59" s="7"/>
    </row>
    <row r="60" spans="1:11">
      <c r="A60" s="508">
        <f t="shared" si="0"/>
        <v>51</v>
      </c>
      <c r="C60" s="99"/>
      <c r="D60" s="7"/>
      <c r="E60" s="46"/>
      <c r="F60" s="14"/>
      <c r="G60" s="14"/>
      <c r="K60" s="7"/>
    </row>
    <row r="61" spans="1:11">
      <c r="A61" s="508">
        <f t="shared" si="0"/>
        <v>52</v>
      </c>
      <c r="C61" s="51" t="s">
        <v>1583</v>
      </c>
      <c r="D61" s="7"/>
      <c r="E61" s="46"/>
      <c r="F61" s="14"/>
      <c r="G61" s="14"/>
      <c r="K61" s="7"/>
    </row>
    <row r="62" spans="1:11">
      <c r="A62" s="508">
        <f t="shared" si="0"/>
        <v>53</v>
      </c>
      <c r="E62" s="14"/>
      <c r="F62" s="14"/>
      <c r="G62" s="14"/>
      <c r="K62" s="7"/>
    </row>
    <row r="63" spans="1:11">
      <c r="A63" s="508">
        <f t="shared" si="0"/>
        <v>54</v>
      </c>
      <c r="C63" s="520" t="s">
        <v>1646</v>
      </c>
      <c r="D63" s="108">
        <f>D48+D55+D59</f>
        <v>34204611.326936498</v>
      </c>
      <c r="E63" s="46" t="str">
        <f>"Line "&amp;A48&amp;" + Line "&amp;A55&amp;" + Line "&amp;A59&amp;""</f>
        <v>Line 39 + Line 46 + Line 50</v>
      </c>
      <c r="F63" s="14"/>
      <c r="G63" s="14"/>
      <c r="K63" s="7"/>
    </row>
    <row r="64" spans="1:11">
      <c r="A64" s="519">
        <f t="shared" si="0"/>
        <v>55</v>
      </c>
      <c r="C64" s="520" t="s">
        <v>1645</v>
      </c>
      <c r="D64" s="98">
        <f>('28-FFU'!D22+'28-FFU'!E22)*D63</f>
        <v>392668.93803323101</v>
      </c>
      <c r="E64" s="521" t="str">
        <f>"(28-FFU, L"&amp;'28-FFU'!A22&amp;" FF Factor + U Factor) * L"&amp;A63&amp;""</f>
        <v>(28-FFU, L5 FF Factor + U Factor) * L54</v>
      </c>
      <c r="F64" s="14"/>
      <c r="G64" s="14"/>
      <c r="K64" s="7"/>
    </row>
    <row r="65" spans="1:11">
      <c r="A65" s="519">
        <f t="shared" si="0"/>
        <v>56</v>
      </c>
      <c r="C65" s="520" t="s">
        <v>1647</v>
      </c>
      <c r="D65" s="108">
        <f>SUM(D63:D64)</f>
        <v>34597280.264969729</v>
      </c>
      <c r="E65" s="46" t="str">
        <f>"Line "&amp;A63&amp;" + Line "&amp;A64&amp;""</f>
        <v>Line 54 + Line 55</v>
      </c>
      <c r="F65" s="14"/>
      <c r="K65" s="7"/>
    </row>
    <row r="66" spans="1:11">
      <c r="A66" s="519">
        <f t="shared" si="0"/>
        <v>57</v>
      </c>
      <c r="C66" s="99"/>
      <c r="D66" s="108"/>
      <c r="E66" s="46"/>
      <c r="F66" s="14"/>
      <c r="K66" s="7"/>
    </row>
    <row r="67" spans="1:11">
      <c r="A67" s="519">
        <f t="shared" si="0"/>
        <v>58</v>
      </c>
      <c r="B67" s="75" t="s">
        <v>1609</v>
      </c>
      <c r="C67" s="99"/>
      <c r="D67" s="108"/>
      <c r="E67" s="46"/>
      <c r="F67" s="14"/>
      <c r="K67" s="7"/>
    </row>
    <row r="68" spans="1:11">
      <c r="A68" s="519">
        <f t="shared" si="0"/>
        <v>59</v>
      </c>
      <c r="F68" s="14"/>
      <c r="K68" s="7"/>
    </row>
    <row r="69" spans="1:11">
      <c r="A69" s="117">
        <f t="shared" si="0"/>
        <v>60</v>
      </c>
      <c r="B69" s="14"/>
      <c r="C69" s="1019" t="s">
        <v>1646</v>
      </c>
      <c r="D69" s="47">
        <f>D63</f>
        <v>34204611.326936498</v>
      </c>
      <c r="E69" s="46" t="str">
        <f>"Line "&amp;A63&amp;""</f>
        <v>Line 54</v>
      </c>
      <c r="F69" s="14"/>
      <c r="K69" s="7"/>
    </row>
    <row r="70" spans="1:11">
      <c r="A70" s="117">
        <f t="shared" si="0"/>
        <v>61</v>
      </c>
      <c r="B70" s="14"/>
      <c r="C70" s="1019" t="s">
        <v>1974</v>
      </c>
      <c r="D70" s="47">
        <f>'1-BaseTRR'!K136</f>
        <v>978841570.31449783</v>
      </c>
      <c r="E70" s="46" t="str">
        <f>"1-BaseTRR, Line "&amp;'1-BaseTRR'!A136&amp;""</f>
        <v>1-BaseTRR, Line 77</v>
      </c>
      <c r="F70" s="14"/>
      <c r="K70" s="7"/>
    </row>
    <row r="71" spans="1:11">
      <c r="A71" s="117">
        <f t="shared" si="0"/>
        <v>62</v>
      </c>
      <c r="B71" s="14"/>
      <c r="C71" s="374" t="s">
        <v>1621</v>
      </c>
      <c r="D71" s="47">
        <f>D70-D69</f>
        <v>944636958.98756135</v>
      </c>
      <c r="E71" s="46" t="str">
        <f>"Line "&amp;A70&amp;" - Line "&amp;A69&amp;""</f>
        <v>Line 61 - Line 60</v>
      </c>
      <c r="F71" s="14"/>
      <c r="K71" s="7"/>
    </row>
    <row r="72" spans="1:11">
      <c r="A72" s="117">
        <f t="shared" si="0"/>
        <v>63</v>
      </c>
      <c r="B72" s="14"/>
      <c r="C72" s="1020" t="s">
        <v>2207</v>
      </c>
      <c r="D72" s="64">
        <f>('1-BaseTRR'!K124+'1-BaseTRR'!K125)*0.75</f>
        <v>99041293.553518936</v>
      </c>
      <c r="E72" s="46" t="str">
        <f>"(1-BaseTRR, Line "&amp;'1-BaseTRR'!A124&amp;" + Line "&amp;'1-BaseTRR'!A125&amp;") * .75"</f>
        <v>(1-BaseTRR, Line 65 + Line 66) * .75</v>
      </c>
      <c r="F72" s="14"/>
      <c r="K72" s="7"/>
    </row>
    <row r="73" spans="1:11">
      <c r="A73" s="117">
        <f t="shared" si="0"/>
        <v>64</v>
      </c>
      <c r="B73" s="14"/>
      <c r="C73" s="374" t="s">
        <v>299</v>
      </c>
      <c r="D73" s="1296">
        <f xml:space="preserve"> (D71-D72)/D40</f>
        <v>0.13313622882143017</v>
      </c>
      <c r="E73" s="46" t="str">
        <f>"(Line "&amp;A71&amp;" - Line "&amp;A72&amp;") / Line "&amp;A40&amp;""</f>
        <v>(Line 62 - Line 63) / Line 31</v>
      </c>
      <c r="F73" s="14"/>
      <c r="K73" s="7"/>
    </row>
    <row r="74" spans="1:11">
      <c r="A74" s="117">
        <f t="shared" si="0"/>
        <v>65</v>
      </c>
      <c r="B74" s="14"/>
      <c r="C74" s="14"/>
      <c r="D74" s="64"/>
      <c r="E74" s="46"/>
      <c r="F74" s="14"/>
    </row>
    <row r="75" spans="1:11">
      <c r="A75" s="117">
        <f t="shared" si="0"/>
        <v>66</v>
      </c>
      <c r="B75" s="44" t="s">
        <v>385</v>
      </c>
      <c r="C75" s="14"/>
      <c r="D75" s="14"/>
      <c r="E75" s="14"/>
      <c r="F75" s="14"/>
    </row>
    <row r="76" spans="1:11">
      <c r="A76" s="117">
        <f t="shared" si="0"/>
        <v>67</v>
      </c>
      <c r="B76" s="14"/>
      <c r="C76" s="14"/>
      <c r="D76" s="14"/>
      <c r="E76" s="14"/>
      <c r="F76" s="14"/>
    </row>
    <row r="77" spans="1:11">
      <c r="A77" s="117">
        <f t="shared" si="0"/>
        <v>68</v>
      </c>
      <c r="B77" s="14"/>
      <c r="C77" s="14"/>
      <c r="D77" s="14"/>
      <c r="E77" s="131" t="s">
        <v>224</v>
      </c>
      <c r="F77" s="14"/>
      <c r="I77" s="1"/>
    </row>
    <row r="78" spans="1:11">
      <c r="A78" s="117">
        <f t="shared" si="0"/>
        <v>69</v>
      </c>
      <c r="B78" s="14"/>
      <c r="C78" s="374" t="s">
        <v>298</v>
      </c>
      <c r="D78" s="64">
        <f>'16-PlantAdditions'!N37</f>
        <v>863545245.12305999</v>
      </c>
      <c r="E78" s="46" t="str">
        <f>"16-PlantAdditions, L "&amp;'16-PlantAdditions'!A37&amp;", C10"</f>
        <v>16-PlantAdditions, L 25, C10</v>
      </c>
      <c r="F78" s="14"/>
      <c r="K78" s="7"/>
    </row>
    <row r="79" spans="1:11">
      <c r="A79" s="117">
        <f t="shared" si="0"/>
        <v>70</v>
      </c>
      <c r="B79" s="14"/>
      <c r="C79" s="374" t="s">
        <v>299</v>
      </c>
      <c r="D79" s="1021">
        <f>D73</f>
        <v>0.13313622882143017</v>
      </c>
      <c r="E79" s="46" t="str">
        <f>"Line "&amp;A73&amp;""</f>
        <v>Line 64</v>
      </c>
      <c r="F79" s="14"/>
      <c r="K79" s="792"/>
    </row>
    <row r="80" spans="1:11">
      <c r="A80" s="117">
        <f t="shared" si="0"/>
        <v>71</v>
      </c>
      <c r="B80" s="14"/>
      <c r="C80" s="374" t="s">
        <v>386</v>
      </c>
      <c r="D80" s="64">
        <f>D78*D79</f>
        <v>114969157.35236172</v>
      </c>
      <c r="E80" s="46" t="str">
        <f>"Line "&amp;A78&amp;" * Line "&amp;A79&amp;""</f>
        <v>Line 69 * Line 70</v>
      </c>
      <c r="F80" s="14"/>
      <c r="K80" s="7"/>
    </row>
    <row r="81" spans="1:11">
      <c r="A81" s="117">
        <f t="shared" si="0"/>
        <v>72</v>
      </c>
      <c r="B81" s="14"/>
      <c r="C81" s="14"/>
      <c r="D81" s="14"/>
      <c r="E81" s="14"/>
      <c r="F81" s="14"/>
      <c r="K81" s="7"/>
    </row>
    <row r="82" spans="1:11">
      <c r="A82" s="117">
        <f t="shared" si="0"/>
        <v>73</v>
      </c>
      <c r="B82" s="14"/>
      <c r="C82" s="374" t="s">
        <v>389</v>
      </c>
      <c r="D82" s="64">
        <f>'10-CWIP'!K79</f>
        <v>-103852112.36607756</v>
      </c>
      <c r="E82" s="46" t="str">
        <f>"10-CWIP, L "&amp;'10-CWIP'!A79&amp;", C8"</f>
        <v>10-CWIP, L 54, C8</v>
      </c>
      <c r="F82" s="14"/>
      <c r="K82" s="7"/>
    </row>
    <row r="83" spans="1:11">
      <c r="A83" s="117">
        <f t="shared" si="0"/>
        <v>74</v>
      </c>
      <c r="B83" s="14"/>
      <c r="C83" s="374" t="s">
        <v>387</v>
      </c>
      <c r="D83" s="1021">
        <f>D25</f>
        <v>0.10764534533632783</v>
      </c>
      <c r="E83" s="46" t="str">
        <f>"Line "&amp;A25&amp;""</f>
        <v>Line 16</v>
      </c>
      <c r="F83" s="14"/>
      <c r="K83" s="792"/>
    </row>
    <row r="84" spans="1:11">
      <c r="A84" s="117">
        <f t="shared" si="0"/>
        <v>75</v>
      </c>
      <c r="B84" s="14"/>
      <c r="C84" s="374" t="s">
        <v>388</v>
      </c>
      <c r="D84" s="64">
        <f>D82*D83</f>
        <v>-11179196.499553541</v>
      </c>
      <c r="E84" s="46" t="str">
        <f>"Line "&amp;A82&amp;" * Line "&amp;A83&amp;""</f>
        <v>Line 73 * Line 74</v>
      </c>
      <c r="F84" s="14"/>
      <c r="K84" s="7"/>
    </row>
    <row r="85" spans="1:11">
      <c r="A85" s="117">
        <f t="shared" si="0"/>
        <v>76</v>
      </c>
      <c r="B85" s="14"/>
      <c r="C85" s="14"/>
      <c r="D85" s="14"/>
      <c r="E85" s="14"/>
      <c r="F85" s="14"/>
      <c r="K85" s="7"/>
    </row>
    <row r="86" spans="1:11">
      <c r="A86" s="117">
        <f t="shared" si="0"/>
        <v>77</v>
      </c>
      <c r="B86" s="14"/>
      <c r="C86" s="374" t="s">
        <v>1630</v>
      </c>
      <c r="D86" s="64">
        <f>D80+D84</f>
        <v>103789960.85280818</v>
      </c>
      <c r="E86" s="46" t="str">
        <f>"Line "&amp;A80&amp;" + Line "&amp;A84&amp;""</f>
        <v>Line 71 + Line 75</v>
      </c>
      <c r="F86" s="14"/>
      <c r="K86" s="7"/>
    </row>
    <row r="87" spans="1:11">
      <c r="A87" s="117">
        <f t="shared" si="0"/>
        <v>78</v>
      </c>
      <c r="B87" s="14"/>
      <c r="C87" s="14"/>
      <c r="D87" s="14"/>
      <c r="E87" s="14"/>
      <c r="F87" s="14"/>
      <c r="K87" s="7"/>
    </row>
    <row r="88" spans="1:11">
      <c r="A88" s="117">
        <f t="shared" ref="A88:A91" si="1">A87+1</f>
        <v>79</v>
      </c>
      <c r="B88" s="14"/>
      <c r="C88" s="374" t="s">
        <v>1631</v>
      </c>
      <c r="D88" s="64">
        <f>'28-FFU'!D22*D86</f>
        <v>944488.64376055449</v>
      </c>
      <c r="E88" s="120" t="str">
        <f>"Line "&amp;A86&amp;" * FF (from 28-FFU, L "&amp;'28-FFU'!A22&amp;")"</f>
        <v>Line 77 * FF (from 28-FFU, L 5)</v>
      </c>
      <c r="F88" s="14"/>
      <c r="K88" s="7"/>
    </row>
    <row r="89" spans="1:11">
      <c r="A89" s="117">
        <f t="shared" si="1"/>
        <v>80</v>
      </c>
      <c r="B89" s="14"/>
      <c r="C89" s="85" t="s">
        <v>1632</v>
      </c>
      <c r="D89" s="64">
        <f>'28-FFU'!E22*D86</f>
        <v>247020.10682968347</v>
      </c>
      <c r="E89" s="120" t="str">
        <f>"Line "&amp;A86&amp;" * U (from 28-FFU, L "&amp;'28-FFU'!A22&amp;")"</f>
        <v>Line 77 * U (from 28-FFU, L 5)</v>
      </c>
      <c r="F89" s="14"/>
      <c r="K89" s="7"/>
    </row>
    <row r="90" spans="1:11">
      <c r="A90" s="117">
        <f t="shared" si="1"/>
        <v>81</v>
      </c>
      <c r="B90" s="14"/>
      <c r="C90" s="14"/>
      <c r="D90" s="64"/>
      <c r="E90" s="14"/>
      <c r="F90" s="14"/>
      <c r="K90" s="7"/>
    </row>
    <row r="91" spans="1:11">
      <c r="A91" s="117">
        <f t="shared" si="1"/>
        <v>82</v>
      </c>
      <c r="B91" s="14"/>
      <c r="C91" s="85" t="s">
        <v>390</v>
      </c>
      <c r="D91" s="64">
        <f>D86+D88+D89</f>
        <v>104981469.60339843</v>
      </c>
      <c r="E91" s="46" t="str">
        <f>"Line "&amp;A86&amp;" + Line "&amp;A88&amp;" + Line "&amp;A89&amp;""</f>
        <v>Line 77 + Line 79 + Line 80</v>
      </c>
      <c r="F91" s="14"/>
      <c r="K91" s="7"/>
    </row>
  </sheetData>
  <phoneticPr fontId="25" type="noConversion"/>
  <pageMargins left="0.75" right="0.75" top="1" bottom="1" header="0.5" footer="0.5"/>
  <pageSetup scale="75" orientation="portrait" cellComments="asDisplayed" r:id="rId1"/>
  <headerFooter alignWithMargins="0">
    <oddHeader>&amp;CSchedule 2
Incremental Forecast Period TRR
&amp;RTO11 Draft Annual Update
Attachment 1</oddHeader>
    <oddFooter>&amp;R&amp;A</oddFooter>
  </headerFooter>
  <rowBreaks count="1" manualBreakCount="1">
    <brk id="66"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zoomScaleNormal="100" zoomScaleSheetLayoutView="40" workbookViewId="0"/>
  </sheetViews>
  <sheetFormatPr defaultRowHeight="12.75"/>
  <cols>
    <col min="1" max="1" width="4.7109375" customWidth="1"/>
    <col min="2" max="2" width="6.7109375" customWidth="1"/>
    <col min="3" max="5" width="14.7109375" customWidth="1"/>
    <col min="6" max="6" width="15.5703125" customWidth="1"/>
    <col min="7" max="7" width="14.7109375" customWidth="1"/>
    <col min="8" max="8" width="15.85546875" customWidth="1"/>
    <col min="9" max="9" width="15.7109375" customWidth="1"/>
    <col min="10" max="10" width="15.140625" customWidth="1"/>
    <col min="11" max="11" width="14.7109375" customWidth="1"/>
    <col min="12" max="12" width="15.28515625" customWidth="1"/>
    <col min="13" max="13" width="12.7109375" customWidth="1"/>
    <col min="14" max="14" width="13.42578125" bestFit="1" customWidth="1"/>
    <col min="15" max="16" width="12.7109375" customWidth="1"/>
  </cols>
  <sheetData>
    <row r="1" spans="1:14">
      <c r="A1" s="1" t="s">
        <v>1923</v>
      </c>
      <c r="B1" s="241"/>
      <c r="C1" s="241"/>
      <c r="D1" s="241"/>
      <c r="E1" s="241"/>
      <c r="F1" s="241"/>
      <c r="G1" s="241"/>
      <c r="H1" s="241"/>
      <c r="I1" s="241"/>
      <c r="J1" s="241"/>
      <c r="K1" s="241"/>
      <c r="L1" s="241"/>
    </row>
    <row r="2" spans="1:14">
      <c r="A2" s="241"/>
      <c r="B2" s="241"/>
      <c r="C2" s="241"/>
      <c r="D2" s="241"/>
      <c r="E2" s="241"/>
      <c r="F2" s="241"/>
      <c r="G2" s="241"/>
      <c r="H2" s="241"/>
      <c r="I2" s="241"/>
      <c r="J2" s="241"/>
      <c r="K2" s="241"/>
      <c r="L2" s="241"/>
    </row>
    <row r="3" spans="1:14">
      <c r="A3" s="241"/>
      <c r="B3" s="1" t="s">
        <v>542</v>
      </c>
      <c r="C3" s="241"/>
      <c r="D3" s="241"/>
      <c r="E3" s="241"/>
      <c r="F3" s="241"/>
      <c r="G3" s="241"/>
      <c r="H3" s="241"/>
      <c r="I3" s="241"/>
      <c r="J3" s="241"/>
      <c r="K3" s="241"/>
      <c r="L3" s="241"/>
    </row>
    <row r="4" spans="1:14">
      <c r="A4" s="241"/>
      <c r="B4" s="526" t="s">
        <v>1682</v>
      </c>
      <c r="C4" s="241"/>
      <c r="D4" s="241"/>
      <c r="E4" s="241"/>
      <c r="F4" s="241"/>
      <c r="G4" s="241"/>
      <c r="H4" s="241"/>
      <c r="I4" s="241"/>
      <c r="J4" s="241"/>
      <c r="K4" s="241"/>
      <c r="L4" s="241"/>
    </row>
    <row r="5" spans="1:14">
      <c r="A5" s="241"/>
      <c r="B5" s="104" t="str">
        <f>"for each month (see Note #2).  If formula was not in effect in Prior Year, do not populate Column 2 or 3, Lines "&amp;A24&amp;" to "&amp;A35&amp;"."</f>
        <v>for each month (see Note #2).  If formula was not in effect in Prior Year, do not populate Column 2 or 3, Lines 11 to 22.</v>
      </c>
      <c r="C5" s="241"/>
      <c r="D5" s="241"/>
      <c r="E5" s="241"/>
      <c r="F5" s="241"/>
      <c r="G5" s="241"/>
      <c r="H5" s="241"/>
      <c r="I5" s="241"/>
      <c r="J5" s="241"/>
      <c r="K5" s="241"/>
      <c r="L5" s="241"/>
    </row>
    <row r="6" spans="1:14">
      <c r="A6" s="241"/>
      <c r="B6" s="526" t="s">
        <v>1683</v>
      </c>
      <c r="C6" s="241"/>
      <c r="D6" s="241"/>
      <c r="E6" s="241"/>
      <c r="F6" s="241"/>
      <c r="G6" s="241"/>
      <c r="H6" s="241"/>
      <c r="I6" s="241"/>
      <c r="J6" s="241"/>
      <c r="K6" s="241"/>
      <c r="L6" s="241"/>
    </row>
    <row r="7" spans="1:14">
      <c r="A7" s="241"/>
      <c r="B7" s="13" t="s">
        <v>1153</v>
      </c>
      <c r="C7" s="241"/>
      <c r="D7" s="241"/>
      <c r="E7" s="241"/>
      <c r="F7" s="241"/>
      <c r="G7" s="241"/>
      <c r="H7" s="241"/>
      <c r="I7" s="241"/>
      <c r="J7" s="241"/>
      <c r="K7" s="241"/>
      <c r="L7" s="241"/>
    </row>
    <row r="8" spans="1:14">
      <c r="A8" s="241"/>
      <c r="B8" s="13" t="str">
        <f>"d) Continue interest calculation through the end of the previous Rate Effective Period (Line "&amp;A44&amp;")."</f>
        <v>d) Continue interest calculation through the end of the previous Rate Effective Period (Line 31).</v>
      </c>
      <c r="C8" s="241"/>
      <c r="D8" s="241"/>
      <c r="E8" s="241"/>
      <c r="F8" s="241"/>
      <c r="G8" s="241"/>
      <c r="H8" s="241"/>
      <c r="I8" s="241"/>
      <c r="J8" s="241"/>
      <c r="K8" s="241"/>
      <c r="L8" s="241"/>
    </row>
    <row r="9" spans="1:14">
      <c r="A9" s="241"/>
      <c r="B9" s="13" t="str">
        <f>"e) Amortize this ending balance from (d) over the current Rate Effective Period so that the ending balance on Line "&amp;A67&amp;" is equal to $0."</f>
        <v>e) Amortize this ending balance from (d) over the current Rate Effective Period so that the ending balance on Line 54 is equal to $0.</v>
      </c>
      <c r="C9" s="241"/>
      <c r="D9" s="241"/>
      <c r="E9" s="241"/>
      <c r="F9" s="241"/>
      <c r="G9" s="241"/>
      <c r="H9" s="241"/>
      <c r="I9" s="241"/>
      <c r="J9" s="241"/>
      <c r="K9" s="241"/>
      <c r="L9" s="241"/>
    </row>
    <row r="10" spans="1:14">
      <c r="A10" s="241"/>
      <c r="B10" s="241"/>
      <c r="C10" s="241"/>
      <c r="D10" s="241"/>
      <c r="E10" s="241"/>
      <c r="F10" s="241"/>
      <c r="G10" s="241"/>
      <c r="H10" s="241"/>
      <c r="I10" s="241"/>
      <c r="J10" s="241"/>
      <c r="K10" s="241"/>
      <c r="L10" s="241"/>
      <c r="N10" s="76"/>
    </row>
    <row r="11" spans="1:14">
      <c r="A11" s="2"/>
      <c r="B11" s="90" t="s">
        <v>1684</v>
      </c>
      <c r="C11" s="241"/>
      <c r="D11" s="242"/>
      <c r="E11" s="243"/>
      <c r="F11" s="241"/>
      <c r="G11" s="241"/>
      <c r="H11" s="241"/>
      <c r="I11" s="241"/>
      <c r="J11" s="241"/>
      <c r="K11" s="108"/>
      <c r="L11" s="241"/>
    </row>
    <row r="12" spans="1:14">
      <c r="A12" s="2"/>
      <c r="B12" s="90" t="s">
        <v>561</v>
      </c>
      <c r="C12" s="241"/>
      <c r="D12" s="242"/>
      <c r="E12" s="243"/>
      <c r="F12" s="241"/>
      <c r="G12" s="241"/>
      <c r="H12" s="241"/>
      <c r="I12" s="241"/>
      <c r="J12" s="241"/>
      <c r="K12" s="241"/>
      <c r="L12" s="241"/>
    </row>
    <row r="13" spans="1:14">
      <c r="A13" s="54" t="s">
        <v>350</v>
      </c>
      <c r="B13" s="241"/>
      <c r="C13" s="90"/>
      <c r="D13" s="242"/>
      <c r="E13" s="243"/>
      <c r="F13" s="3"/>
      <c r="G13" s="241"/>
      <c r="H13" s="241"/>
      <c r="I13" s="241"/>
      <c r="J13" s="241"/>
      <c r="K13" s="241"/>
      <c r="L13" s="241"/>
    </row>
    <row r="14" spans="1:14">
      <c r="A14" s="2">
        <f>A7+1</f>
        <v>1</v>
      </c>
      <c r="B14" s="241"/>
      <c r="C14" s="241"/>
      <c r="D14" s="546" t="s">
        <v>1681</v>
      </c>
      <c r="E14" s="243">
        <f>'4-TUTRR'!E73</f>
        <v>970273711.32937598</v>
      </c>
      <c r="F14" s="547" t="s">
        <v>2067</v>
      </c>
      <c r="G14" s="251"/>
      <c r="H14" s="241" t="str">
        <f>"Line "&amp;'4-TUTRR'!A73&amp;""</f>
        <v>Line 45</v>
      </c>
      <c r="I14" s="241"/>
      <c r="J14" s="241"/>
      <c r="K14" s="241"/>
      <c r="L14" s="241"/>
    </row>
    <row r="15" spans="1:14">
      <c r="A15" s="2">
        <f>A14+1</f>
        <v>2</v>
      </c>
      <c r="B15" s="90"/>
      <c r="C15" s="241"/>
      <c r="D15" s="241"/>
      <c r="E15" s="241"/>
      <c r="F15" s="241"/>
      <c r="G15" s="241"/>
      <c r="H15" s="243"/>
      <c r="I15" s="241"/>
      <c r="J15" s="241"/>
      <c r="K15" s="241"/>
      <c r="L15" s="241"/>
    </row>
    <row r="16" spans="1:14">
      <c r="A16" s="2">
        <f t="shared" ref="A16:A81" si="0">A15+1</f>
        <v>3</v>
      </c>
      <c r="B16" s="241"/>
      <c r="C16" s="241"/>
      <c r="D16" s="91" t="s">
        <v>394</v>
      </c>
      <c r="E16" s="91" t="s">
        <v>378</v>
      </c>
      <c r="F16" s="91" t="s">
        <v>379</v>
      </c>
      <c r="G16" s="91" t="s">
        <v>380</v>
      </c>
      <c r="H16" s="91" t="s">
        <v>381</v>
      </c>
      <c r="I16" s="91" t="s">
        <v>382</v>
      </c>
      <c r="J16" s="91" t="s">
        <v>383</v>
      </c>
      <c r="K16" s="91" t="s">
        <v>596</v>
      </c>
      <c r="L16" s="91" t="s">
        <v>1045</v>
      </c>
    </row>
    <row r="17" spans="1:14">
      <c r="A17" s="2">
        <f t="shared" si="0"/>
        <v>4</v>
      </c>
      <c r="B17" s="241"/>
      <c r="C17" s="242" t="s">
        <v>1046</v>
      </c>
      <c r="D17" s="91"/>
      <c r="E17" s="94" t="s">
        <v>235</v>
      </c>
      <c r="F17" s="94" t="s">
        <v>311</v>
      </c>
      <c r="G17" s="94" t="s">
        <v>1047</v>
      </c>
      <c r="H17" s="101" t="s">
        <v>585</v>
      </c>
      <c r="I17" s="94" t="s">
        <v>1048</v>
      </c>
      <c r="J17" s="94" t="s">
        <v>583</v>
      </c>
      <c r="K17" s="94" t="s">
        <v>584</v>
      </c>
      <c r="L17" s="101" t="s">
        <v>1049</v>
      </c>
    </row>
    <row r="18" spans="1:14">
      <c r="A18" s="2">
        <f t="shared" si="0"/>
        <v>5</v>
      </c>
      <c r="B18" s="241"/>
      <c r="C18" s="241"/>
      <c r="D18" s="91"/>
      <c r="G18" s="91"/>
      <c r="I18" s="91"/>
      <c r="J18" s="2" t="s">
        <v>223</v>
      </c>
      <c r="K18" s="91"/>
      <c r="L18" s="91"/>
    </row>
    <row r="19" spans="1:14" ht="18" customHeight="1">
      <c r="A19" s="2">
        <f t="shared" si="0"/>
        <v>6</v>
      </c>
      <c r="B19" s="241"/>
      <c r="C19" s="241"/>
      <c r="D19" s="91"/>
      <c r="G19" s="254" t="s">
        <v>1154</v>
      </c>
      <c r="I19" s="241"/>
      <c r="J19" s="2" t="s">
        <v>30</v>
      </c>
      <c r="K19" s="241"/>
      <c r="L19" s="2" t="s">
        <v>223</v>
      </c>
      <c r="N19" s="1293"/>
    </row>
    <row r="20" spans="1:14">
      <c r="A20" s="2">
        <f t="shared" si="0"/>
        <v>7</v>
      </c>
      <c r="B20" s="241"/>
      <c r="C20" s="241"/>
      <c r="D20" s="91"/>
      <c r="F20" s="2" t="s">
        <v>560</v>
      </c>
      <c r="G20" s="2" t="s">
        <v>1050</v>
      </c>
      <c r="H20" s="2" t="s">
        <v>19</v>
      </c>
      <c r="I20" s="241"/>
      <c r="J20" s="2" t="s">
        <v>31</v>
      </c>
      <c r="K20" s="241"/>
      <c r="L20" s="2" t="s">
        <v>30</v>
      </c>
    </row>
    <row r="21" spans="1:14">
      <c r="A21" s="2">
        <f t="shared" si="0"/>
        <v>8</v>
      </c>
      <c r="B21" s="241"/>
      <c r="C21" s="241"/>
      <c r="D21" s="2"/>
      <c r="E21" s="2" t="s">
        <v>19</v>
      </c>
      <c r="F21" s="2" t="s">
        <v>581</v>
      </c>
      <c r="G21" s="2" t="s">
        <v>218</v>
      </c>
      <c r="H21" s="2" t="s">
        <v>30</v>
      </c>
      <c r="I21" s="2" t="s">
        <v>19</v>
      </c>
      <c r="J21" s="2" t="s">
        <v>22</v>
      </c>
      <c r="K21" s="244" t="s">
        <v>23</v>
      </c>
      <c r="L21" s="2" t="s">
        <v>31</v>
      </c>
    </row>
    <row r="22" spans="1:14">
      <c r="A22" s="2">
        <f t="shared" si="0"/>
        <v>9</v>
      </c>
      <c r="B22" s="241"/>
      <c r="C22" s="241"/>
      <c r="D22" s="2"/>
      <c r="E22" s="2" t="s">
        <v>307</v>
      </c>
      <c r="F22" s="2" t="s">
        <v>337</v>
      </c>
      <c r="G22" s="2" t="s">
        <v>307</v>
      </c>
      <c r="H22" s="2" t="s">
        <v>31</v>
      </c>
      <c r="I22" s="2" t="s">
        <v>23</v>
      </c>
      <c r="J22" s="2" t="s">
        <v>1155</v>
      </c>
      <c r="K22" s="2" t="s">
        <v>1156</v>
      </c>
      <c r="L22" s="2" t="s">
        <v>22</v>
      </c>
    </row>
    <row r="23" spans="1:14">
      <c r="A23" s="2">
        <f t="shared" si="0"/>
        <v>10</v>
      </c>
      <c r="B23" s="241"/>
      <c r="C23" s="25" t="s">
        <v>211</v>
      </c>
      <c r="D23" s="25" t="s">
        <v>212</v>
      </c>
      <c r="E23" s="3" t="s">
        <v>1052</v>
      </c>
      <c r="F23" s="3" t="s">
        <v>21</v>
      </c>
      <c r="G23" s="3" t="s">
        <v>176</v>
      </c>
      <c r="H23" s="3" t="s">
        <v>22</v>
      </c>
      <c r="I23" s="3" t="s">
        <v>13</v>
      </c>
      <c r="J23" s="131" t="s">
        <v>1157</v>
      </c>
      <c r="K23" s="131" t="s">
        <v>211</v>
      </c>
      <c r="L23" s="131" t="s">
        <v>1053</v>
      </c>
    </row>
    <row r="24" spans="1:14">
      <c r="A24" s="2">
        <f t="shared" si="0"/>
        <v>11</v>
      </c>
      <c r="B24" s="241"/>
      <c r="C24" s="20" t="s">
        <v>200</v>
      </c>
      <c r="D24" s="153">
        <v>2015</v>
      </c>
      <c r="E24" s="1063">
        <f>$E$14/12</f>
        <v>80856142.610781327</v>
      </c>
      <c r="F24" s="1297">
        <f>C108</f>
        <v>71368096.340000004</v>
      </c>
      <c r="G24" s="1298">
        <v>742560.56600637664</v>
      </c>
      <c r="H24" s="245">
        <f>E24-F24+G24</f>
        <v>10230606.836787701</v>
      </c>
      <c r="I24" s="247">
        <v>2.7000000000000001E-3</v>
      </c>
      <c r="J24" s="257">
        <f>H24</f>
        <v>10230606.836787701</v>
      </c>
      <c r="K24" s="257">
        <f>((J24)/2)*I24</f>
        <v>13811.319229663397</v>
      </c>
      <c r="L24" s="257">
        <f>J24+K24</f>
        <v>10244418.156017365</v>
      </c>
    </row>
    <row r="25" spans="1:14">
      <c r="A25" s="2">
        <f t="shared" si="0"/>
        <v>12</v>
      </c>
      <c r="B25" s="241"/>
      <c r="C25" s="21" t="s">
        <v>201</v>
      </c>
      <c r="D25" s="153">
        <v>2015</v>
      </c>
      <c r="E25" s="1063">
        <f t="shared" ref="E25:E35" si="1">$E$14/12</f>
        <v>80856142.610781327</v>
      </c>
      <c r="F25" s="245">
        <f t="shared" ref="F25:F35" si="2">C109</f>
        <v>58478445.270000003</v>
      </c>
      <c r="G25" s="376"/>
      <c r="H25" s="245">
        <f t="shared" ref="H25:H34" si="3">E25-F25+G25</f>
        <v>22377697.340781324</v>
      </c>
      <c r="I25" s="247">
        <v>2.7000000000000001E-3</v>
      </c>
      <c r="J25" s="257">
        <f>L24+H25</f>
        <v>32622115.496798687</v>
      </c>
      <c r="K25" s="257">
        <f>((L24+J25)/2)*I25</f>
        <v>57869.820431301669</v>
      </c>
      <c r="L25" s="257">
        <f t="shared" ref="L25:L44" si="4">J25+K25</f>
        <v>32679985.31722999</v>
      </c>
    </row>
    <row r="26" spans="1:14">
      <c r="A26" s="2">
        <f t="shared" si="0"/>
        <v>13</v>
      </c>
      <c r="B26" s="241"/>
      <c r="C26" s="21" t="s">
        <v>214</v>
      </c>
      <c r="D26" s="153">
        <v>2015</v>
      </c>
      <c r="E26" s="1063">
        <f t="shared" si="1"/>
        <v>80856142.610781327</v>
      </c>
      <c r="F26" s="245">
        <f t="shared" si="2"/>
        <v>70638297.459999993</v>
      </c>
      <c r="G26" s="376"/>
      <c r="H26" s="245">
        <f t="shared" si="3"/>
        <v>10217845.150781333</v>
      </c>
      <c r="I26" s="247">
        <v>2.7000000000000001E-3</v>
      </c>
      <c r="J26" s="257">
        <f t="shared" ref="J26:J44" si="5">L25+H26</f>
        <v>42897830.46801132</v>
      </c>
      <c r="K26" s="257">
        <f t="shared" ref="K26:K44" si="6">((L25+J26)/2)*I26</f>
        <v>102030.05131007577</v>
      </c>
      <c r="L26" s="257">
        <f t="shared" si="4"/>
        <v>42999860.519321397</v>
      </c>
    </row>
    <row r="27" spans="1:14">
      <c r="A27" s="2">
        <f t="shared" si="0"/>
        <v>14</v>
      </c>
      <c r="B27" s="241"/>
      <c r="C27" s="20" t="s">
        <v>202</v>
      </c>
      <c r="D27" s="153">
        <v>2015</v>
      </c>
      <c r="E27" s="1063">
        <f t="shared" si="1"/>
        <v>80856142.610781327</v>
      </c>
      <c r="F27" s="245">
        <f t="shared" si="2"/>
        <v>67346373.879999995</v>
      </c>
      <c r="G27" s="376"/>
      <c r="H27" s="245">
        <f t="shared" si="3"/>
        <v>13509768.730781332</v>
      </c>
      <c r="I27" s="247">
        <v>2.7000000000000001E-3</v>
      </c>
      <c r="J27" s="257">
        <f t="shared" si="5"/>
        <v>56509629.250102729</v>
      </c>
      <c r="K27" s="257">
        <f t="shared" si="6"/>
        <v>134337.81118872258</v>
      </c>
      <c r="L27" s="257">
        <f t="shared" si="4"/>
        <v>56643967.061291449</v>
      </c>
    </row>
    <row r="28" spans="1:14">
      <c r="A28" s="2">
        <f t="shared" si="0"/>
        <v>15</v>
      </c>
      <c r="B28" s="241"/>
      <c r="C28" s="21" t="s">
        <v>203</v>
      </c>
      <c r="D28" s="153">
        <v>2015</v>
      </c>
      <c r="E28" s="1063">
        <f t="shared" si="1"/>
        <v>80856142.610781327</v>
      </c>
      <c r="F28" s="245">
        <f t="shared" si="2"/>
        <v>67987566.159999996</v>
      </c>
      <c r="G28" s="376"/>
      <c r="H28" s="245">
        <f t="shared" si="3"/>
        <v>12868576.45078133</v>
      </c>
      <c r="I28" s="247">
        <v>2.7000000000000001E-3</v>
      </c>
      <c r="J28" s="257">
        <f t="shared" si="5"/>
        <v>69512543.512072772</v>
      </c>
      <c r="K28" s="257">
        <f t="shared" si="6"/>
        <v>170311.28927404172</v>
      </c>
      <c r="L28" s="257">
        <f t="shared" si="4"/>
        <v>69682854.801346809</v>
      </c>
    </row>
    <row r="29" spans="1:14">
      <c r="A29" s="2">
        <f t="shared" si="0"/>
        <v>16</v>
      </c>
      <c r="B29" s="241"/>
      <c r="C29" s="21" t="s">
        <v>204</v>
      </c>
      <c r="D29" s="153">
        <v>2015</v>
      </c>
      <c r="E29" s="1063">
        <f t="shared" si="1"/>
        <v>80856142.610781327</v>
      </c>
      <c r="F29" s="245">
        <f t="shared" si="2"/>
        <v>79316786.980000004</v>
      </c>
      <c r="G29" s="376"/>
      <c r="H29" s="245">
        <f t="shared" si="3"/>
        <v>1539355.6307813227</v>
      </c>
      <c r="I29" s="247">
        <v>2.7000000000000001E-3</v>
      </c>
      <c r="J29" s="257">
        <f t="shared" si="5"/>
        <v>71222210.432128131</v>
      </c>
      <c r="K29" s="257">
        <f t="shared" si="6"/>
        <v>190221.83806519117</v>
      </c>
      <c r="L29" s="257">
        <f t="shared" si="4"/>
        <v>71412432.270193323</v>
      </c>
    </row>
    <row r="30" spans="1:14">
      <c r="A30" s="2">
        <f t="shared" si="0"/>
        <v>17</v>
      </c>
      <c r="B30" s="241"/>
      <c r="C30" s="20" t="s">
        <v>205</v>
      </c>
      <c r="D30" s="153">
        <v>2015</v>
      </c>
      <c r="E30" s="1063">
        <f t="shared" si="1"/>
        <v>80856142.610781327</v>
      </c>
      <c r="F30" s="245">
        <f t="shared" si="2"/>
        <v>85676497.019999996</v>
      </c>
      <c r="G30" s="376"/>
      <c r="H30" s="245">
        <f t="shared" si="3"/>
        <v>-4820354.4092186689</v>
      </c>
      <c r="I30" s="247">
        <v>2.7000000000000001E-3</v>
      </c>
      <c r="J30" s="257">
        <f t="shared" si="5"/>
        <v>66592077.860974655</v>
      </c>
      <c r="K30" s="257">
        <f t="shared" si="6"/>
        <v>186306.08867707677</v>
      </c>
      <c r="L30" s="257">
        <f t="shared" si="4"/>
        <v>66778383.949651733</v>
      </c>
    </row>
    <row r="31" spans="1:14">
      <c r="A31" s="2">
        <f t="shared" si="0"/>
        <v>18</v>
      </c>
      <c r="B31" s="241"/>
      <c r="C31" s="21" t="s">
        <v>206</v>
      </c>
      <c r="D31" s="153">
        <v>2015</v>
      </c>
      <c r="E31" s="1063">
        <f t="shared" si="1"/>
        <v>80856142.610781327</v>
      </c>
      <c r="F31" s="245">
        <f t="shared" si="2"/>
        <v>98171367.430000007</v>
      </c>
      <c r="G31" s="376"/>
      <c r="H31" s="245">
        <f t="shared" si="3"/>
        <v>-17315224.81921868</v>
      </c>
      <c r="I31" s="247">
        <v>2.7000000000000001E-3</v>
      </c>
      <c r="J31" s="257">
        <f t="shared" si="5"/>
        <v>49463159.130433053</v>
      </c>
      <c r="K31" s="257">
        <f t="shared" si="6"/>
        <v>156926.08315811446</v>
      </c>
      <c r="L31" s="257">
        <f t="shared" si="4"/>
        <v>49620085.213591166</v>
      </c>
    </row>
    <row r="32" spans="1:14">
      <c r="A32" s="2">
        <f t="shared" si="0"/>
        <v>19</v>
      </c>
      <c r="B32" s="241"/>
      <c r="C32" s="21" t="s">
        <v>207</v>
      </c>
      <c r="D32" s="153">
        <v>2015</v>
      </c>
      <c r="E32" s="1063">
        <f t="shared" si="1"/>
        <v>80856142.610781327</v>
      </c>
      <c r="F32" s="245">
        <f t="shared" si="2"/>
        <v>89850788.010000005</v>
      </c>
      <c r="G32" s="376"/>
      <c r="H32" s="245">
        <f t="shared" si="3"/>
        <v>-8994645.3992186785</v>
      </c>
      <c r="I32" s="247">
        <v>2.7000000000000001E-3</v>
      </c>
      <c r="J32" s="257">
        <f t="shared" si="5"/>
        <v>40625439.814372487</v>
      </c>
      <c r="K32" s="257">
        <f t="shared" si="6"/>
        <v>121831.45878775093</v>
      </c>
      <c r="L32" s="257">
        <f t="shared" si="4"/>
        <v>40747271.273160242</v>
      </c>
    </row>
    <row r="33" spans="1:12">
      <c r="A33" s="2">
        <f t="shared" si="0"/>
        <v>20</v>
      </c>
      <c r="B33" s="241"/>
      <c r="C33" s="20" t="s">
        <v>210</v>
      </c>
      <c r="D33" s="153">
        <v>2015</v>
      </c>
      <c r="E33" s="1063">
        <f t="shared" si="1"/>
        <v>80856142.610781327</v>
      </c>
      <c r="F33" s="245">
        <f t="shared" si="2"/>
        <v>75216185.75</v>
      </c>
      <c r="G33" s="376"/>
      <c r="H33" s="245">
        <f t="shared" si="3"/>
        <v>5639956.8607813269</v>
      </c>
      <c r="I33" s="247">
        <v>2.7000000000000001E-3</v>
      </c>
      <c r="J33" s="257">
        <f t="shared" si="5"/>
        <v>46387228.133941568</v>
      </c>
      <c r="K33" s="257">
        <f t="shared" si="6"/>
        <v>117631.57419958746</v>
      </c>
      <c r="L33" s="257">
        <f t="shared" si="4"/>
        <v>46504859.708141156</v>
      </c>
    </row>
    <row r="34" spans="1:12">
      <c r="A34" s="2">
        <f t="shared" si="0"/>
        <v>21</v>
      </c>
      <c r="B34" s="241"/>
      <c r="C34" s="20" t="s">
        <v>209</v>
      </c>
      <c r="D34" s="153">
        <v>2015</v>
      </c>
      <c r="E34" s="1063">
        <f t="shared" si="1"/>
        <v>80856142.610781327</v>
      </c>
      <c r="F34" s="245">
        <f t="shared" si="2"/>
        <v>62877512.399999999</v>
      </c>
      <c r="G34" s="376"/>
      <c r="H34" s="245">
        <f t="shared" si="3"/>
        <v>17978630.210781328</v>
      </c>
      <c r="I34" s="247">
        <v>2.7000000000000001E-3</v>
      </c>
      <c r="J34" s="257">
        <f t="shared" si="5"/>
        <v>64483489.918922484</v>
      </c>
      <c r="K34" s="257">
        <f t="shared" si="6"/>
        <v>149834.27199653591</v>
      </c>
      <c r="L34" s="257">
        <f t="shared" si="4"/>
        <v>64633324.190919019</v>
      </c>
    </row>
    <row r="35" spans="1:12">
      <c r="A35" s="2">
        <f t="shared" si="0"/>
        <v>22</v>
      </c>
      <c r="B35" s="241"/>
      <c r="C35" s="21" t="s">
        <v>199</v>
      </c>
      <c r="D35" s="153">
        <v>2015</v>
      </c>
      <c r="E35" s="1063">
        <f t="shared" si="1"/>
        <v>80856142.610781327</v>
      </c>
      <c r="F35" s="245">
        <f t="shared" si="2"/>
        <v>68408042.269999996</v>
      </c>
      <c r="G35" s="376"/>
      <c r="H35" s="245">
        <f>E35-F35+G35</f>
        <v>12448100.340781331</v>
      </c>
      <c r="I35" s="247">
        <v>2.7000000000000001E-3</v>
      </c>
      <c r="J35" s="257">
        <f t="shared" si="5"/>
        <v>77081424.531700343</v>
      </c>
      <c r="K35" s="257">
        <f t="shared" si="6"/>
        <v>191314.91077553615</v>
      </c>
      <c r="L35" s="257">
        <f t="shared" si="4"/>
        <v>77272739.442475885</v>
      </c>
    </row>
    <row r="36" spans="1:12">
      <c r="A36" s="2">
        <f t="shared" si="0"/>
        <v>23</v>
      </c>
      <c r="B36" s="241"/>
      <c r="C36" s="20" t="s">
        <v>200</v>
      </c>
      <c r="D36" s="153">
        <v>2016</v>
      </c>
      <c r="E36" s="249" t="s">
        <v>86</v>
      </c>
      <c r="F36" s="249" t="s">
        <v>86</v>
      </c>
      <c r="G36" s="376">
        <v>1110176.1527442101</v>
      </c>
      <c r="H36" s="245">
        <f>+G36</f>
        <v>1110176.1527442101</v>
      </c>
      <c r="I36" s="247">
        <v>2.7000000000000001E-3</v>
      </c>
      <c r="J36" s="257">
        <f t="shared" si="5"/>
        <v>78382915.595220089</v>
      </c>
      <c r="K36" s="257">
        <f t="shared" si="6"/>
        <v>210135.13430088956</v>
      </c>
      <c r="L36" s="257">
        <f t="shared" si="4"/>
        <v>78593050.729520977</v>
      </c>
    </row>
    <row r="37" spans="1:12">
      <c r="A37" s="2">
        <f t="shared" si="0"/>
        <v>24</v>
      </c>
      <c r="B37" s="241"/>
      <c r="C37" s="21" t="s">
        <v>201</v>
      </c>
      <c r="D37" s="153">
        <v>2016</v>
      </c>
      <c r="E37" s="249" t="s">
        <v>86</v>
      </c>
      <c r="F37" s="249" t="s">
        <v>86</v>
      </c>
      <c r="G37" s="376">
        <v>1110176.1527442101</v>
      </c>
      <c r="H37" s="245">
        <f t="shared" ref="H37:H44" si="7">+G37</f>
        <v>1110176.1527442101</v>
      </c>
      <c r="I37" s="247">
        <v>2.7000000000000001E-3</v>
      </c>
      <c r="J37" s="257">
        <f t="shared" si="5"/>
        <v>79703226.88226518</v>
      </c>
      <c r="K37" s="257">
        <f t="shared" si="6"/>
        <v>213699.97477591131</v>
      </c>
      <c r="L37" s="257">
        <f t="shared" si="4"/>
        <v>79916926.857041091</v>
      </c>
    </row>
    <row r="38" spans="1:12">
      <c r="A38" s="2">
        <f t="shared" si="0"/>
        <v>25</v>
      </c>
      <c r="B38" s="241"/>
      <c r="C38" s="21" t="s">
        <v>214</v>
      </c>
      <c r="D38" s="153">
        <v>2016</v>
      </c>
      <c r="E38" s="249" t="s">
        <v>86</v>
      </c>
      <c r="F38" s="249" t="s">
        <v>86</v>
      </c>
      <c r="G38" s="376">
        <v>1110176.1527442101</v>
      </c>
      <c r="H38" s="245">
        <f t="shared" si="7"/>
        <v>1110176.1527442101</v>
      </c>
      <c r="I38" s="247">
        <v>2.7000000000000001E-3</v>
      </c>
      <c r="J38" s="257">
        <f t="shared" si="5"/>
        <v>81027103.009785295</v>
      </c>
      <c r="K38" s="257">
        <f t="shared" si="6"/>
        <v>217274.44032021562</v>
      </c>
      <c r="L38" s="257">
        <f t="shared" si="4"/>
        <v>81244377.450105503</v>
      </c>
    </row>
    <row r="39" spans="1:12">
      <c r="A39" s="2">
        <f t="shared" si="0"/>
        <v>26</v>
      </c>
      <c r="B39" s="241"/>
      <c r="C39" s="20" t="s">
        <v>202</v>
      </c>
      <c r="D39" s="153">
        <v>2016</v>
      </c>
      <c r="E39" s="249" t="s">
        <v>86</v>
      </c>
      <c r="F39" s="249" t="s">
        <v>86</v>
      </c>
      <c r="G39" s="376">
        <v>1110176.1527442101</v>
      </c>
      <c r="H39" s="245">
        <f t="shared" si="7"/>
        <v>1110176.1527442101</v>
      </c>
      <c r="I39" s="247">
        <v>2.8999999999999998E-3</v>
      </c>
      <c r="J39" s="257">
        <f t="shared" si="5"/>
        <v>82354553.602849707</v>
      </c>
      <c r="K39" s="257">
        <f t="shared" si="6"/>
        <v>237218.45002678505</v>
      </c>
      <c r="L39" s="257">
        <f t="shared" si="4"/>
        <v>82591772.052876487</v>
      </c>
    </row>
    <row r="40" spans="1:12">
      <c r="A40" s="2">
        <f t="shared" si="0"/>
        <v>27</v>
      </c>
      <c r="B40" s="241"/>
      <c r="C40" s="21" t="s">
        <v>203</v>
      </c>
      <c r="D40" s="153">
        <v>2016</v>
      </c>
      <c r="E40" s="249" t="s">
        <v>86</v>
      </c>
      <c r="F40" s="249" t="s">
        <v>86</v>
      </c>
      <c r="G40" s="376">
        <v>1110176.1527442101</v>
      </c>
      <c r="H40" s="245">
        <f t="shared" si="7"/>
        <v>1110176.1527442101</v>
      </c>
      <c r="I40" s="247">
        <v>2.8999999999999998E-3</v>
      </c>
      <c r="J40" s="257">
        <f t="shared" si="5"/>
        <v>83701948.205620691</v>
      </c>
      <c r="K40" s="257">
        <f t="shared" si="6"/>
        <v>241125.8943748209</v>
      </c>
      <c r="L40" s="257">
        <f t="shared" si="4"/>
        <v>83943074.099995509</v>
      </c>
    </row>
    <row r="41" spans="1:12">
      <c r="A41" s="2">
        <f t="shared" si="0"/>
        <v>28</v>
      </c>
      <c r="B41" s="241"/>
      <c r="C41" s="21" t="s">
        <v>204</v>
      </c>
      <c r="D41" s="153">
        <v>2016</v>
      </c>
      <c r="E41" s="249" t="s">
        <v>86</v>
      </c>
      <c r="F41" s="249" t="s">
        <v>86</v>
      </c>
      <c r="G41" s="376">
        <v>1110176.1527442101</v>
      </c>
      <c r="H41" s="243">
        <f t="shared" si="7"/>
        <v>1110176.1527442101</v>
      </c>
      <c r="I41" s="247">
        <v>2.8999999999999998E-3</v>
      </c>
      <c r="J41" s="257">
        <f t="shared" si="5"/>
        <v>85053250.252739713</v>
      </c>
      <c r="K41" s="257">
        <f t="shared" si="6"/>
        <v>245044.67031146606</v>
      </c>
      <c r="L41" s="257">
        <f t="shared" si="4"/>
        <v>85298294.923051178</v>
      </c>
    </row>
    <row r="42" spans="1:12">
      <c r="A42" s="2">
        <f t="shared" si="0"/>
        <v>29</v>
      </c>
      <c r="B42" s="241"/>
      <c r="C42" s="20" t="s">
        <v>205</v>
      </c>
      <c r="D42" s="153">
        <v>2016</v>
      </c>
      <c r="E42" s="249" t="s">
        <v>86</v>
      </c>
      <c r="F42" s="249" t="s">
        <v>86</v>
      </c>
      <c r="G42" s="376">
        <v>1110176.1527442101</v>
      </c>
      <c r="H42" s="243">
        <f t="shared" si="7"/>
        <v>1110176.1527442101</v>
      </c>
      <c r="I42" s="247">
        <v>2.8999999999999998E-3</v>
      </c>
      <c r="J42" s="257">
        <f t="shared" si="5"/>
        <v>86408471.075795382</v>
      </c>
      <c r="K42" s="257">
        <f t="shared" si="6"/>
        <v>248974.81069832749</v>
      </c>
      <c r="L42" s="257">
        <f t="shared" si="4"/>
        <v>86657445.886493713</v>
      </c>
    </row>
    <row r="43" spans="1:12">
      <c r="A43" s="2">
        <f t="shared" si="0"/>
        <v>30</v>
      </c>
      <c r="B43" s="241"/>
      <c r="C43" s="21" t="s">
        <v>206</v>
      </c>
      <c r="D43" s="153">
        <v>2016</v>
      </c>
      <c r="E43" s="249" t="s">
        <v>86</v>
      </c>
      <c r="F43" s="249" t="s">
        <v>86</v>
      </c>
      <c r="G43" s="376">
        <v>1110176.1527442101</v>
      </c>
      <c r="H43" s="243">
        <f t="shared" si="7"/>
        <v>1110176.1527442101</v>
      </c>
      <c r="I43" s="247">
        <v>2.8999999999999998E-3</v>
      </c>
      <c r="J43" s="257">
        <f t="shared" si="5"/>
        <v>87767622.039237916</v>
      </c>
      <c r="K43" s="257">
        <f t="shared" si="6"/>
        <v>252916.34849231085</v>
      </c>
      <c r="L43" s="257">
        <f t="shared" si="4"/>
        <v>88020538.387730226</v>
      </c>
    </row>
    <row r="44" spans="1:12">
      <c r="A44" s="2">
        <f t="shared" si="0"/>
        <v>31</v>
      </c>
      <c r="B44" s="241"/>
      <c r="C44" s="21" t="s">
        <v>207</v>
      </c>
      <c r="D44" s="153">
        <v>2016</v>
      </c>
      <c r="E44" s="249" t="s">
        <v>86</v>
      </c>
      <c r="F44" s="249" t="s">
        <v>86</v>
      </c>
      <c r="G44" s="376">
        <v>1110176.1527442101</v>
      </c>
      <c r="H44" s="243">
        <f t="shared" si="7"/>
        <v>1110176.1527442101</v>
      </c>
      <c r="I44" s="247">
        <v>2.8999999999999998E-3</v>
      </c>
      <c r="J44" s="257">
        <f t="shared" si="5"/>
        <v>89130714.54047443</v>
      </c>
      <c r="K44" s="257">
        <f t="shared" si="6"/>
        <v>256869.31674589674</v>
      </c>
      <c r="L44" s="257">
        <f t="shared" si="4"/>
        <v>89387583.857220322</v>
      </c>
    </row>
    <row r="45" spans="1:12">
      <c r="A45" s="117">
        <f t="shared" si="0"/>
        <v>32</v>
      </c>
      <c r="B45" s="241"/>
      <c r="C45" s="21" t="s">
        <v>210</v>
      </c>
      <c r="D45" s="153">
        <v>2016</v>
      </c>
      <c r="E45" s="249" t="s">
        <v>86</v>
      </c>
      <c r="F45" s="249" t="s">
        <v>86</v>
      </c>
      <c r="G45" s="376">
        <v>1110176.1527442101</v>
      </c>
      <c r="H45" s="243">
        <f t="shared" ref="H45:H47" si="8">+G45</f>
        <v>1110176.1527442101</v>
      </c>
      <c r="I45" s="247">
        <v>2.8999999999999998E-3</v>
      </c>
      <c r="J45" s="257">
        <f t="shared" ref="J45:J47" si="9">L44+H45</f>
        <v>90497760.009964526</v>
      </c>
      <c r="K45" s="257">
        <f t="shared" ref="K45:K47" si="10">((L44+J45)/2)*I45</f>
        <v>260833.74860741801</v>
      </c>
      <c r="L45" s="257">
        <f t="shared" ref="L45:L47" si="11">J45+K45</f>
        <v>90758593.758571938</v>
      </c>
    </row>
    <row r="46" spans="1:12">
      <c r="A46" s="117">
        <f t="shared" si="0"/>
        <v>33</v>
      </c>
      <c r="B46" s="241"/>
      <c r="C46" s="21" t="s">
        <v>209</v>
      </c>
      <c r="D46" s="153">
        <v>2016</v>
      </c>
      <c r="E46" s="249" t="s">
        <v>86</v>
      </c>
      <c r="F46" s="249" t="s">
        <v>86</v>
      </c>
      <c r="G46" s="376">
        <v>1110176.1527442101</v>
      </c>
      <c r="H46" s="243">
        <f t="shared" si="8"/>
        <v>1110176.1527442101</v>
      </c>
      <c r="I46" s="247">
        <v>2.8999999999999998E-3</v>
      </c>
      <c r="J46" s="257">
        <f t="shared" si="9"/>
        <v>91868769.911316141</v>
      </c>
      <c r="K46" s="257">
        <f t="shared" si="10"/>
        <v>264809.67732133769</v>
      </c>
      <c r="L46" s="257">
        <f t="shared" si="11"/>
        <v>92133579.588637486</v>
      </c>
    </row>
    <row r="47" spans="1:12">
      <c r="A47" s="117">
        <f t="shared" si="0"/>
        <v>34</v>
      </c>
      <c r="B47" s="241"/>
      <c r="C47" s="21" t="s">
        <v>199</v>
      </c>
      <c r="D47" s="153">
        <v>2016</v>
      </c>
      <c r="E47" s="249" t="s">
        <v>86</v>
      </c>
      <c r="F47" s="249" t="s">
        <v>86</v>
      </c>
      <c r="G47" s="376">
        <v>1110176.1527442101</v>
      </c>
      <c r="H47" s="243">
        <f t="shared" si="8"/>
        <v>1110176.1527442101</v>
      </c>
      <c r="I47" s="247">
        <v>2.8999999999999998E-3</v>
      </c>
      <c r="J47" s="257">
        <f t="shared" si="9"/>
        <v>93243755.74138169</v>
      </c>
      <c r="K47" s="257">
        <f t="shared" si="10"/>
        <v>268797.13622852782</v>
      </c>
      <c r="L47" s="257">
        <f t="shared" si="11"/>
        <v>93512552.877610222</v>
      </c>
    </row>
    <row r="48" spans="1:12">
      <c r="A48" s="117">
        <f t="shared" si="0"/>
        <v>35</v>
      </c>
      <c r="B48" s="241"/>
      <c r="C48" s="21"/>
      <c r="D48" s="24"/>
      <c r="E48" s="250"/>
      <c r="F48" s="250"/>
      <c r="G48" s="251"/>
      <c r="H48" s="245"/>
      <c r="I48" s="252"/>
      <c r="J48" s="248"/>
      <c r="K48" s="248"/>
      <c r="L48" s="248"/>
    </row>
    <row r="49" spans="1:12">
      <c r="A49" s="117">
        <f t="shared" si="0"/>
        <v>36</v>
      </c>
      <c r="B49" s="22" t="s">
        <v>2578</v>
      </c>
      <c r="D49" s="24"/>
      <c r="E49" s="250"/>
      <c r="F49" s="250"/>
      <c r="G49" s="251"/>
      <c r="H49" s="245"/>
      <c r="I49" s="252"/>
      <c r="J49" s="248"/>
      <c r="K49" s="248"/>
      <c r="L49" s="248"/>
    </row>
    <row r="50" spans="1:12">
      <c r="A50" s="117">
        <f t="shared" si="0"/>
        <v>37</v>
      </c>
      <c r="B50" s="22"/>
      <c r="D50" s="91" t="s">
        <v>394</v>
      </c>
      <c r="E50" s="91" t="s">
        <v>378</v>
      </c>
      <c r="F50" s="91" t="s">
        <v>379</v>
      </c>
      <c r="G50" s="91" t="s">
        <v>380</v>
      </c>
      <c r="H50" s="91" t="s">
        <v>381</v>
      </c>
      <c r="I50" s="91" t="s">
        <v>382</v>
      </c>
      <c r="J50" s="91" t="s">
        <v>383</v>
      </c>
      <c r="K50" s="91" t="s">
        <v>596</v>
      </c>
      <c r="L50" s="248"/>
    </row>
    <row r="51" spans="1:12">
      <c r="A51" s="117">
        <f t="shared" si="0"/>
        <v>38</v>
      </c>
      <c r="B51" s="22"/>
      <c r="D51" s="91"/>
      <c r="E51" s="94" t="s">
        <v>1158</v>
      </c>
      <c r="F51" s="94" t="s">
        <v>1159</v>
      </c>
      <c r="G51" s="94" t="s">
        <v>1160</v>
      </c>
      <c r="H51" s="101" t="s">
        <v>1161</v>
      </c>
      <c r="I51" s="94" t="s">
        <v>1162</v>
      </c>
      <c r="J51" s="101" t="s">
        <v>1163</v>
      </c>
      <c r="K51" s="249" t="s">
        <v>1164</v>
      </c>
      <c r="L51" s="248"/>
    </row>
    <row r="52" spans="1:12" ht="15">
      <c r="A52" s="117">
        <f t="shared" si="0"/>
        <v>39</v>
      </c>
      <c r="B52" s="22"/>
      <c r="D52" s="91"/>
      <c r="E52" s="94"/>
      <c r="F52" s="94"/>
      <c r="G52" s="254"/>
      <c r="H52" s="254" t="s">
        <v>211</v>
      </c>
      <c r="I52" s="94"/>
      <c r="J52" s="248"/>
      <c r="K52" s="254" t="s">
        <v>307</v>
      </c>
      <c r="L52" s="248"/>
    </row>
    <row r="53" spans="1:12" ht="15">
      <c r="A53" s="117">
        <f t="shared" si="0"/>
        <v>40</v>
      </c>
      <c r="B53" s="241"/>
      <c r="C53" s="21"/>
      <c r="D53" s="24"/>
      <c r="E53" s="2" t="s">
        <v>19</v>
      </c>
      <c r="F53" s="253" t="s">
        <v>211</v>
      </c>
      <c r="G53" s="254"/>
      <c r="H53" s="253" t="s">
        <v>1055</v>
      </c>
      <c r="I53" s="244" t="s">
        <v>23</v>
      </c>
      <c r="J53" s="254" t="s">
        <v>211</v>
      </c>
      <c r="K53" s="254" t="s">
        <v>176</v>
      </c>
      <c r="L53" s="248"/>
    </row>
    <row r="54" spans="1:12" ht="15">
      <c r="A54" s="117">
        <f t="shared" si="0"/>
        <v>41</v>
      </c>
      <c r="B54" s="241"/>
      <c r="D54" s="24"/>
      <c r="E54" s="2" t="s">
        <v>23</v>
      </c>
      <c r="F54" s="253" t="s">
        <v>1054</v>
      </c>
      <c r="G54" s="254"/>
      <c r="H54" s="253" t="s">
        <v>1056</v>
      </c>
      <c r="I54" s="2" t="s">
        <v>1156</v>
      </c>
      <c r="J54" s="253" t="s">
        <v>1055</v>
      </c>
      <c r="K54" s="254" t="s">
        <v>1165</v>
      </c>
      <c r="L54" s="248"/>
    </row>
    <row r="55" spans="1:12" ht="15">
      <c r="A55" s="117">
        <f t="shared" si="0"/>
        <v>42</v>
      </c>
      <c r="B55" s="241"/>
      <c r="C55" s="21"/>
      <c r="D55" s="25" t="s">
        <v>212</v>
      </c>
      <c r="E55" s="3" t="s">
        <v>13</v>
      </c>
      <c r="F55" s="255" t="s">
        <v>1056</v>
      </c>
      <c r="G55" s="256" t="s">
        <v>1166</v>
      </c>
      <c r="H55" s="256" t="s">
        <v>1051</v>
      </c>
      <c r="I55" s="3" t="s">
        <v>211</v>
      </c>
      <c r="J55" s="255" t="s">
        <v>1056</v>
      </c>
      <c r="K55" s="256" t="s">
        <v>1167</v>
      </c>
      <c r="L55" s="248"/>
    </row>
    <row r="56" spans="1:12">
      <c r="A56" s="117">
        <f t="shared" si="0"/>
        <v>43</v>
      </c>
      <c r="B56" s="241"/>
      <c r="C56" s="558" t="s">
        <v>200</v>
      </c>
      <c r="D56" s="720">
        <v>2017</v>
      </c>
      <c r="E56" s="252">
        <f>AVERAGE($I$36:$I$47)</f>
        <v>2.8499999999999997E-3</v>
      </c>
      <c r="F56" s="257">
        <f>L47</f>
        <v>93512552.877610222</v>
      </c>
      <c r="G56" s="64">
        <f>$I$70/12</f>
        <v>-7926530.6306201825</v>
      </c>
      <c r="H56" s="64">
        <f>F56+G56</f>
        <v>85586022.24699004</v>
      </c>
      <c r="I56" s="64">
        <f>((F56+H56)/2)*E56</f>
        <v>255215.46955255535</v>
      </c>
      <c r="J56" s="64">
        <f>H56+I56</f>
        <v>85841237.716542602</v>
      </c>
      <c r="K56" s="64">
        <f>-G56</f>
        <v>7926530.6306201825</v>
      </c>
      <c r="L56" s="257"/>
    </row>
    <row r="57" spans="1:12">
      <c r="A57" s="117">
        <f t="shared" si="0"/>
        <v>44</v>
      </c>
      <c r="B57" s="241"/>
      <c r="C57" s="558" t="s">
        <v>201</v>
      </c>
      <c r="D57" s="720">
        <v>2017</v>
      </c>
      <c r="E57" s="252">
        <f t="shared" ref="E57:E67" si="12">AVERAGE($I$36:$I$47)</f>
        <v>2.8499999999999997E-3</v>
      </c>
      <c r="F57" s="257">
        <f>J56</f>
        <v>85841237.716542602</v>
      </c>
      <c r="G57" s="64">
        <f t="shared" ref="G57:G67" si="13">$I$70/12</f>
        <v>-7926530.6306201825</v>
      </c>
      <c r="H57" s="64">
        <f t="shared" ref="H57:H67" si="14">F57+G57</f>
        <v>77914707.08592242</v>
      </c>
      <c r="I57" s="64">
        <f t="shared" ref="I57:I67" si="15">((F57+H57)/2)*E57</f>
        <v>233352.22134351262</v>
      </c>
      <c r="J57" s="64">
        <f>H57+I57</f>
        <v>78148059.307265937</v>
      </c>
      <c r="K57" s="64">
        <f t="shared" ref="K57:K67" si="16">-G57</f>
        <v>7926530.6306201825</v>
      </c>
      <c r="L57" s="257"/>
    </row>
    <row r="58" spans="1:12">
      <c r="A58" s="117">
        <f t="shared" si="0"/>
        <v>45</v>
      </c>
      <c r="B58" s="241"/>
      <c r="C58" s="558" t="s">
        <v>214</v>
      </c>
      <c r="D58" s="720">
        <v>2017</v>
      </c>
      <c r="E58" s="252">
        <f t="shared" si="12"/>
        <v>2.8499999999999997E-3</v>
      </c>
      <c r="F58" s="257">
        <f t="shared" ref="F58:F67" si="17">J57</f>
        <v>78148059.307265937</v>
      </c>
      <c r="G58" s="64">
        <f t="shared" si="13"/>
        <v>-7926530.6306201825</v>
      </c>
      <c r="H58" s="64">
        <f t="shared" si="14"/>
        <v>70221528.676645756</v>
      </c>
      <c r="I58" s="64">
        <f t="shared" si="15"/>
        <v>211426.66287707415</v>
      </c>
      <c r="J58" s="64">
        <f t="shared" ref="J58:J67" si="18">H58+I58</f>
        <v>70432955.339522824</v>
      </c>
      <c r="K58" s="64">
        <f t="shared" si="16"/>
        <v>7926530.6306201825</v>
      </c>
      <c r="L58" s="257"/>
    </row>
    <row r="59" spans="1:12">
      <c r="A59" s="117">
        <f t="shared" si="0"/>
        <v>46</v>
      </c>
      <c r="B59" s="241"/>
      <c r="C59" s="558" t="s">
        <v>202</v>
      </c>
      <c r="D59" s="720">
        <v>2017</v>
      </c>
      <c r="E59" s="252">
        <f t="shared" si="12"/>
        <v>2.8499999999999997E-3</v>
      </c>
      <c r="F59" s="257">
        <f t="shared" si="17"/>
        <v>70432955.339522824</v>
      </c>
      <c r="G59" s="64">
        <f t="shared" si="13"/>
        <v>-7926530.6306201825</v>
      </c>
      <c r="H59" s="64">
        <f t="shared" si="14"/>
        <v>62506424.708902642</v>
      </c>
      <c r="I59" s="64">
        <f t="shared" si="15"/>
        <v>189438.61656900626</v>
      </c>
      <c r="J59" s="64">
        <f t="shared" si="18"/>
        <v>62695863.325471647</v>
      </c>
      <c r="K59" s="64">
        <f t="shared" si="16"/>
        <v>7926530.6306201825</v>
      </c>
      <c r="L59" s="257"/>
    </row>
    <row r="60" spans="1:12">
      <c r="A60" s="117">
        <f t="shared" si="0"/>
        <v>47</v>
      </c>
      <c r="B60" s="241"/>
      <c r="C60" s="558" t="s">
        <v>203</v>
      </c>
      <c r="D60" s="720">
        <v>2017</v>
      </c>
      <c r="E60" s="252">
        <f t="shared" si="12"/>
        <v>2.8499999999999997E-3</v>
      </c>
      <c r="F60" s="257">
        <f t="shared" si="17"/>
        <v>62695863.325471647</v>
      </c>
      <c r="G60" s="64">
        <f t="shared" si="13"/>
        <v>-7926530.6306201825</v>
      </c>
      <c r="H60" s="64">
        <f t="shared" si="14"/>
        <v>54769332.694851466</v>
      </c>
      <c r="I60" s="64">
        <f t="shared" si="15"/>
        <v>167387.9043289604</v>
      </c>
      <c r="J60" s="64">
        <f t="shared" si="18"/>
        <v>54936720.599180423</v>
      </c>
      <c r="K60" s="64">
        <f t="shared" si="16"/>
        <v>7926530.6306201825</v>
      </c>
      <c r="L60" s="257"/>
    </row>
    <row r="61" spans="1:12">
      <c r="A61" s="117">
        <f t="shared" si="0"/>
        <v>48</v>
      </c>
      <c r="B61" s="241"/>
      <c r="C61" s="558" t="s">
        <v>1663</v>
      </c>
      <c r="D61" s="720">
        <v>2017</v>
      </c>
      <c r="E61" s="252">
        <f t="shared" si="12"/>
        <v>2.8499999999999997E-3</v>
      </c>
      <c r="F61" s="257">
        <f t="shared" si="17"/>
        <v>54936720.599180423</v>
      </c>
      <c r="G61" s="64">
        <f t="shared" si="13"/>
        <v>-7926530.6306201825</v>
      </c>
      <c r="H61" s="64">
        <f t="shared" si="14"/>
        <v>47010189.968560241</v>
      </c>
      <c r="I61" s="64">
        <f t="shared" si="15"/>
        <v>145274.34755903043</v>
      </c>
      <c r="J61" s="64">
        <f t="shared" si="18"/>
        <v>47155464.316119269</v>
      </c>
      <c r="K61" s="64">
        <f t="shared" si="16"/>
        <v>7926530.6306201825</v>
      </c>
      <c r="L61" s="257"/>
    </row>
    <row r="62" spans="1:12">
      <c r="A62" s="117">
        <f t="shared" si="0"/>
        <v>49</v>
      </c>
      <c r="B62" s="241"/>
      <c r="C62" s="558" t="s">
        <v>205</v>
      </c>
      <c r="D62" s="720">
        <v>2017</v>
      </c>
      <c r="E62" s="252">
        <f t="shared" si="12"/>
        <v>2.8499999999999997E-3</v>
      </c>
      <c r="F62" s="257">
        <f t="shared" si="17"/>
        <v>47155464.316119269</v>
      </c>
      <c r="G62" s="64">
        <f t="shared" si="13"/>
        <v>-7926530.6306201825</v>
      </c>
      <c r="H62" s="64">
        <f t="shared" si="14"/>
        <v>39228933.685499087</v>
      </c>
      <c r="I62" s="64">
        <f t="shared" si="15"/>
        <v>123097.76715230614</v>
      </c>
      <c r="J62" s="64">
        <f t="shared" si="18"/>
        <v>39352031.452651396</v>
      </c>
      <c r="K62" s="64">
        <f t="shared" si="16"/>
        <v>7926530.6306201825</v>
      </c>
      <c r="L62" s="257"/>
    </row>
    <row r="63" spans="1:12">
      <c r="A63" s="117">
        <f t="shared" si="0"/>
        <v>50</v>
      </c>
      <c r="B63" s="241"/>
      <c r="C63" s="558" t="s">
        <v>206</v>
      </c>
      <c r="D63" s="720">
        <v>2017</v>
      </c>
      <c r="E63" s="252">
        <f t="shared" si="12"/>
        <v>2.8499999999999997E-3</v>
      </c>
      <c r="F63" s="257">
        <f t="shared" si="17"/>
        <v>39352031.452651396</v>
      </c>
      <c r="G63" s="64">
        <f t="shared" si="13"/>
        <v>-7926530.6306201825</v>
      </c>
      <c r="H63" s="64">
        <f t="shared" si="14"/>
        <v>31425500.822031215</v>
      </c>
      <c r="I63" s="64">
        <f t="shared" si="15"/>
        <v>100857.98349142271</v>
      </c>
      <c r="J63" s="64">
        <f t="shared" si="18"/>
        <v>31526358.805522639</v>
      </c>
      <c r="K63" s="64">
        <f t="shared" si="16"/>
        <v>7926530.6306201825</v>
      </c>
      <c r="L63" s="257"/>
    </row>
    <row r="64" spans="1:12">
      <c r="A64" s="117">
        <f t="shared" si="0"/>
        <v>51</v>
      </c>
      <c r="B64" s="241"/>
      <c r="C64" s="558" t="s">
        <v>207</v>
      </c>
      <c r="D64" s="720">
        <v>2017</v>
      </c>
      <c r="E64" s="252">
        <f t="shared" si="12"/>
        <v>2.8499999999999997E-3</v>
      </c>
      <c r="F64" s="257">
        <f t="shared" si="17"/>
        <v>31526358.805522639</v>
      </c>
      <c r="G64" s="64">
        <f t="shared" si="13"/>
        <v>-7926530.6306201825</v>
      </c>
      <c r="H64" s="64">
        <f t="shared" si="14"/>
        <v>23599828.174902458</v>
      </c>
      <c r="I64" s="64">
        <f t="shared" si="15"/>
        <v>78554.816447105753</v>
      </c>
      <c r="J64" s="64">
        <f t="shared" si="18"/>
        <v>23678382.991349563</v>
      </c>
      <c r="K64" s="64">
        <f t="shared" si="16"/>
        <v>7926530.6306201825</v>
      </c>
      <c r="L64" s="257"/>
    </row>
    <row r="65" spans="1:12">
      <c r="A65" s="117">
        <f t="shared" si="0"/>
        <v>52</v>
      </c>
      <c r="B65" s="241"/>
      <c r="C65" s="558" t="s">
        <v>210</v>
      </c>
      <c r="D65" s="720">
        <v>2017</v>
      </c>
      <c r="E65" s="252">
        <f t="shared" si="12"/>
        <v>2.8499999999999997E-3</v>
      </c>
      <c r="F65" s="257">
        <f t="shared" si="17"/>
        <v>23678382.991349563</v>
      </c>
      <c r="G65" s="64">
        <f t="shared" si="13"/>
        <v>-7926530.6306201825</v>
      </c>
      <c r="H65" s="64">
        <f t="shared" si="14"/>
        <v>15751852.360729381</v>
      </c>
      <c r="I65" s="64">
        <f t="shared" si="15"/>
        <v>56188.085376712486</v>
      </c>
      <c r="J65" s="64">
        <f t="shared" si="18"/>
        <v>15808040.446106093</v>
      </c>
      <c r="K65" s="64">
        <f t="shared" si="16"/>
        <v>7926530.6306201825</v>
      </c>
      <c r="L65" s="257"/>
    </row>
    <row r="66" spans="1:12">
      <c r="A66" s="117">
        <f t="shared" si="0"/>
        <v>53</v>
      </c>
      <c r="B66" s="241"/>
      <c r="C66" s="558" t="s">
        <v>209</v>
      </c>
      <c r="D66" s="720">
        <v>2017</v>
      </c>
      <c r="E66" s="252">
        <f t="shared" si="12"/>
        <v>2.8499999999999997E-3</v>
      </c>
      <c r="F66" s="257">
        <f t="shared" si="17"/>
        <v>15808040.446106093</v>
      </c>
      <c r="G66" s="64">
        <f t="shared" si="13"/>
        <v>-7926530.6306201825</v>
      </c>
      <c r="H66" s="64">
        <f t="shared" si="14"/>
        <v>7881509.8154859105</v>
      </c>
      <c r="I66" s="64">
        <f t="shared" si="15"/>
        <v>33757.609122768605</v>
      </c>
      <c r="J66" s="64">
        <f t="shared" si="18"/>
        <v>7915267.4246086795</v>
      </c>
      <c r="K66" s="64">
        <f t="shared" si="16"/>
        <v>7926530.6306201825</v>
      </c>
      <c r="L66" s="257"/>
    </row>
    <row r="67" spans="1:12" ht="12.75" customHeight="1">
      <c r="A67" s="117">
        <f t="shared" si="0"/>
        <v>54</v>
      </c>
      <c r="B67" s="241"/>
      <c r="C67" s="558" t="s">
        <v>199</v>
      </c>
      <c r="D67" s="720">
        <v>2017</v>
      </c>
      <c r="E67" s="252">
        <f t="shared" si="12"/>
        <v>2.8499999999999997E-3</v>
      </c>
      <c r="F67" s="257">
        <f t="shared" si="17"/>
        <v>7915267.4246086795</v>
      </c>
      <c r="G67" s="118">
        <f t="shared" si="13"/>
        <v>-7926530.6306201825</v>
      </c>
      <c r="H67" s="64">
        <f t="shared" si="14"/>
        <v>-11263.206011503004</v>
      </c>
      <c r="I67" s="64">
        <f t="shared" si="15"/>
        <v>11263.206011500975</v>
      </c>
      <c r="J67" s="64">
        <f t="shared" si="18"/>
        <v>-2.02817318495363E-9</v>
      </c>
      <c r="K67" s="118">
        <f t="shared" si="16"/>
        <v>7926530.6306201825</v>
      </c>
      <c r="L67" s="257"/>
    </row>
    <row r="68" spans="1:12">
      <c r="A68" s="117">
        <f t="shared" si="0"/>
        <v>55</v>
      </c>
      <c r="B68" s="241"/>
      <c r="C68" s="21"/>
      <c r="D68" s="24"/>
      <c r="E68" s="250"/>
      <c r="F68" s="250"/>
      <c r="G68" s="245">
        <f>SUM(G56:G67)</f>
        <v>-95118367.567442194</v>
      </c>
      <c r="H68" s="14"/>
      <c r="I68" s="252"/>
      <c r="J68" s="1039" t="s">
        <v>1169</v>
      </c>
      <c r="K68" s="257">
        <f>SUM(K56:K67)</f>
        <v>95118367.567442194</v>
      </c>
      <c r="L68" s="257"/>
    </row>
    <row r="69" spans="1:12">
      <c r="A69" s="117">
        <f t="shared" si="0"/>
        <v>56</v>
      </c>
      <c r="B69" s="241"/>
      <c r="C69" s="21"/>
      <c r="D69" s="24"/>
      <c r="E69" s="250"/>
      <c r="F69" s="250"/>
      <c r="G69" s="251"/>
      <c r="H69" s="245"/>
      <c r="I69" s="252"/>
      <c r="J69" s="257"/>
      <c r="K69" s="257"/>
      <c r="L69" s="257"/>
    </row>
    <row r="70" spans="1:12">
      <c r="A70" s="117">
        <f t="shared" si="0"/>
        <v>57</v>
      </c>
      <c r="B70" s="241"/>
      <c r="C70" s="21"/>
      <c r="D70" s="24"/>
      <c r="E70" s="250"/>
      <c r="F70" s="250"/>
      <c r="G70" s="251"/>
      <c r="H70" s="257" t="s">
        <v>1168</v>
      </c>
      <c r="I70" s="245">
        <v>-95118367.567442194</v>
      </c>
      <c r="J70" s="248"/>
      <c r="K70" s="248"/>
      <c r="L70" s="248"/>
    </row>
    <row r="71" spans="1:12">
      <c r="A71" s="117">
        <f t="shared" si="0"/>
        <v>58</v>
      </c>
      <c r="B71" s="241"/>
      <c r="C71" s="21"/>
      <c r="D71" s="24"/>
      <c r="E71" s="241"/>
      <c r="F71" s="258"/>
      <c r="G71" s="252"/>
      <c r="H71" s="391"/>
      <c r="I71" s="241"/>
      <c r="J71" s="241"/>
      <c r="K71" s="241"/>
      <c r="L71" s="241"/>
    </row>
    <row r="72" spans="1:12">
      <c r="A72" s="117">
        <f t="shared" si="0"/>
        <v>59</v>
      </c>
      <c r="B72" s="1" t="s">
        <v>543</v>
      </c>
      <c r="C72" s="21"/>
      <c r="D72" s="24"/>
      <c r="E72" s="241"/>
      <c r="F72" s="258"/>
      <c r="G72" s="252"/>
      <c r="H72" s="258"/>
      <c r="I72" s="241"/>
      <c r="J72" s="241"/>
      <c r="K72" s="241"/>
      <c r="L72" s="241"/>
    </row>
    <row r="73" spans="1:12">
      <c r="A73" s="117">
        <f t="shared" si="0"/>
        <v>60</v>
      </c>
      <c r="B73" s="1"/>
      <c r="C73" s="21"/>
      <c r="D73" s="24"/>
      <c r="E73" s="241"/>
      <c r="F73" s="554" t="s">
        <v>256</v>
      </c>
      <c r="G73" s="252"/>
      <c r="H73" s="258"/>
      <c r="I73" s="241"/>
      <c r="J73" s="241"/>
      <c r="K73" s="241"/>
      <c r="L73" s="241"/>
    </row>
    <row r="74" spans="1:12">
      <c r="A74" s="117">
        <f t="shared" si="0"/>
        <v>61</v>
      </c>
      <c r="B74" s="241"/>
      <c r="C74" s="21"/>
      <c r="D74" s="242" t="s">
        <v>1169</v>
      </c>
      <c r="E74" s="498">
        <f>K68</f>
        <v>95118367.567442194</v>
      </c>
      <c r="F74" s="521" t="s">
        <v>2602</v>
      </c>
      <c r="G74" s="252"/>
      <c r="H74" s="258"/>
      <c r="I74" s="241"/>
      <c r="J74" s="241"/>
      <c r="K74" s="241"/>
      <c r="L74" s="241"/>
    </row>
    <row r="75" spans="1:12">
      <c r="A75" s="117">
        <f t="shared" si="0"/>
        <v>62</v>
      </c>
      <c r="B75" s="241"/>
      <c r="C75" s="21"/>
      <c r="D75" s="92" t="s">
        <v>32</v>
      </c>
      <c r="E75" s="245">
        <f>E74</f>
        <v>95118367.567442194</v>
      </c>
      <c r="F75" s="152" t="str">
        <f>"Line "&amp;A74&amp;".  Positive amount is to be collected by SCE (included in Base TRR as a positive amount)."</f>
        <v>Line 61.  Positive amount is to be collected by SCE (included in Base TRR as a positive amount).</v>
      </c>
      <c r="G75" s="252"/>
      <c r="H75" s="258"/>
      <c r="I75" s="241"/>
      <c r="J75" s="241"/>
      <c r="K75" s="241"/>
      <c r="L75" s="241"/>
    </row>
    <row r="76" spans="1:12">
      <c r="A76" s="117">
        <f t="shared" si="0"/>
        <v>63</v>
      </c>
      <c r="B76" s="241"/>
      <c r="C76" s="241"/>
      <c r="D76" s="241"/>
      <c r="E76" s="241"/>
      <c r="F76" s="553" t="s">
        <v>1732</v>
      </c>
      <c r="G76" s="241"/>
      <c r="H76" s="241"/>
      <c r="I76" s="241"/>
      <c r="J76" s="241"/>
      <c r="K76" s="241"/>
      <c r="L76" s="241"/>
    </row>
    <row r="77" spans="1:12">
      <c r="A77" s="117">
        <f t="shared" si="0"/>
        <v>64</v>
      </c>
      <c r="B77" s="1" t="s">
        <v>1057</v>
      </c>
      <c r="C77" s="241"/>
      <c r="D77" s="241"/>
      <c r="E77" s="241"/>
      <c r="F77" s="260"/>
      <c r="G77" s="241"/>
      <c r="H77" s="241"/>
      <c r="I77" s="241"/>
      <c r="J77" s="241"/>
      <c r="K77" s="241"/>
      <c r="L77" s="241"/>
    </row>
    <row r="78" spans="1:12">
      <c r="A78" s="117">
        <f t="shared" si="0"/>
        <v>65</v>
      </c>
      <c r="B78" s="13" t="s">
        <v>409</v>
      </c>
      <c r="C78" s="241"/>
      <c r="D78" s="241"/>
      <c r="E78" s="241"/>
      <c r="F78" s="241"/>
      <c r="G78" s="241"/>
      <c r="H78" s="241"/>
      <c r="I78" s="241"/>
      <c r="J78" s="241"/>
      <c r="K78" s="241"/>
      <c r="L78" s="241"/>
    </row>
    <row r="79" spans="1:12">
      <c r="A79" s="117">
        <f t="shared" si="0"/>
        <v>66</v>
      </c>
      <c r="B79" s="13" t="s">
        <v>410</v>
      </c>
      <c r="C79" s="241"/>
      <c r="D79" s="241"/>
      <c r="E79" s="241"/>
      <c r="F79" s="241"/>
      <c r="G79" s="241"/>
      <c r="H79" s="241"/>
      <c r="I79" s="241"/>
      <c r="J79" s="241"/>
      <c r="K79" s="241"/>
      <c r="L79" s="241"/>
    </row>
    <row r="80" spans="1:12">
      <c r="A80" s="117">
        <f t="shared" si="0"/>
        <v>67</v>
      </c>
      <c r="B80" s="13" t="s">
        <v>411</v>
      </c>
      <c r="C80" s="241"/>
      <c r="D80" s="241"/>
      <c r="E80" s="241"/>
      <c r="F80" s="241"/>
      <c r="G80" s="241"/>
      <c r="H80" s="241"/>
      <c r="I80" s="241"/>
      <c r="J80" s="241"/>
      <c r="K80" s="241"/>
      <c r="L80" s="241"/>
    </row>
    <row r="81" spans="1:12">
      <c r="A81" s="117">
        <f t="shared" si="0"/>
        <v>68</v>
      </c>
      <c r="B81" s="241"/>
      <c r="C81" s="241"/>
      <c r="D81" s="241"/>
      <c r="E81" s="241"/>
      <c r="F81" s="241"/>
      <c r="G81" s="241"/>
      <c r="H81" s="241"/>
      <c r="I81" s="241"/>
      <c r="J81" s="241"/>
      <c r="K81" s="241"/>
      <c r="L81" s="241"/>
    </row>
    <row r="82" spans="1:12">
      <c r="A82" s="117">
        <f t="shared" ref="A82:A122" si="19">A81+1</f>
        <v>69</v>
      </c>
      <c r="B82" s="1" t="s">
        <v>1340</v>
      </c>
      <c r="C82" s="241"/>
      <c r="D82" s="241"/>
      <c r="E82" s="241"/>
      <c r="F82" s="241"/>
      <c r="G82" s="241"/>
      <c r="H82" s="241"/>
      <c r="I82" s="241"/>
      <c r="J82" s="241"/>
      <c r="K82" s="241"/>
      <c r="L82" s="241"/>
    </row>
    <row r="83" spans="1:12">
      <c r="A83" s="117">
        <f t="shared" si="19"/>
        <v>70</v>
      </c>
      <c r="B83" s="241"/>
      <c r="C83" s="241"/>
      <c r="D83" s="244" t="s">
        <v>1287</v>
      </c>
      <c r="E83" s="241"/>
      <c r="G83" s="241"/>
      <c r="H83" s="241"/>
      <c r="I83" s="241"/>
      <c r="J83" s="241"/>
      <c r="K83" s="241"/>
      <c r="L83" s="241"/>
    </row>
    <row r="84" spans="1:12">
      <c r="A84" s="117">
        <f t="shared" si="19"/>
        <v>71</v>
      </c>
      <c r="B84" s="241"/>
      <c r="C84" s="25" t="s">
        <v>211</v>
      </c>
      <c r="D84" s="3" t="s">
        <v>1170</v>
      </c>
      <c r="E84" s="3" t="s">
        <v>262</v>
      </c>
      <c r="G84" s="251"/>
      <c r="H84" s="251"/>
      <c r="I84" s="251"/>
      <c r="J84" s="251"/>
      <c r="K84" s="251"/>
      <c r="L84" s="251"/>
    </row>
    <row r="85" spans="1:12">
      <c r="A85" s="117">
        <f t="shared" si="19"/>
        <v>72</v>
      </c>
      <c r="B85" s="241"/>
      <c r="C85" s="20" t="s">
        <v>200</v>
      </c>
      <c r="D85" s="132">
        <v>6.3763211440757639E-2</v>
      </c>
      <c r="E85" s="13" t="s">
        <v>1348</v>
      </c>
      <c r="G85" s="251"/>
      <c r="H85" s="251"/>
      <c r="I85" s="251"/>
      <c r="J85" s="251"/>
      <c r="K85" s="251"/>
      <c r="L85" s="251"/>
    </row>
    <row r="86" spans="1:12">
      <c r="A86" s="117">
        <f t="shared" si="19"/>
        <v>73</v>
      </c>
      <c r="B86" s="241"/>
      <c r="C86" s="21" t="s">
        <v>201</v>
      </c>
      <c r="D86" s="132">
        <v>5.6553289888256801E-2</v>
      </c>
      <c r="G86" s="251"/>
      <c r="H86" s="251"/>
      <c r="I86" s="251"/>
      <c r="J86" s="251"/>
      <c r="K86" s="251"/>
      <c r="L86" s="251"/>
    </row>
    <row r="87" spans="1:12">
      <c r="A87" s="117">
        <f t="shared" si="19"/>
        <v>74</v>
      </c>
      <c r="B87" s="241"/>
      <c r="C87" s="21" t="s">
        <v>214</v>
      </c>
      <c r="D87" s="132">
        <v>7.1828142218240867E-2</v>
      </c>
      <c r="E87" s="13"/>
      <c r="G87" s="251"/>
      <c r="H87" s="251"/>
      <c r="I87" s="251"/>
      <c r="J87" s="251"/>
      <c r="K87" s="251"/>
      <c r="L87" s="251"/>
    </row>
    <row r="88" spans="1:12">
      <c r="A88" s="117">
        <f t="shared" si="19"/>
        <v>75</v>
      </c>
      <c r="B88" s="241"/>
      <c r="C88" s="20" t="s">
        <v>202</v>
      </c>
      <c r="D88" s="132">
        <v>8.2236801934806855E-2</v>
      </c>
      <c r="E88" s="156"/>
      <c r="G88" s="251"/>
      <c r="H88" s="251"/>
      <c r="I88" s="251"/>
      <c r="J88" s="251"/>
      <c r="K88" s="251"/>
      <c r="L88" s="251"/>
    </row>
    <row r="89" spans="1:12">
      <c r="A89" s="117">
        <f t="shared" si="19"/>
        <v>76</v>
      </c>
      <c r="B89" s="241"/>
      <c r="C89" s="21" t="s">
        <v>203</v>
      </c>
      <c r="D89" s="132">
        <v>8.01837425905748E-2</v>
      </c>
      <c r="E89" s="261"/>
      <c r="G89" s="251"/>
      <c r="H89" s="251"/>
      <c r="I89" s="251"/>
      <c r="J89" s="251"/>
      <c r="K89" s="251"/>
      <c r="L89" s="251"/>
    </row>
    <row r="90" spans="1:12">
      <c r="A90" s="117">
        <f t="shared" si="19"/>
        <v>77</v>
      </c>
      <c r="B90" s="241"/>
      <c r="C90" s="21" t="s">
        <v>204</v>
      </c>
      <c r="D90" s="132">
        <v>8.9450501877561497E-2</v>
      </c>
      <c r="E90" s="261"/>
      <c r="G90" s="251"/>
      <c r="H90" s="251"/>
      <c r="I90" s="251"/>
      <c r="J90" s="251"/>
      <c r="K90" s="251"/>
      <c r="L90" s="251"/>
    </row>
    <row r="91" spans="1:12">
      <c r="A91" s="117">
        <f t="shared" si="19"/>
        <v>78</v>
      </c>
      <c r="B91" s="241"/>
      <c r="C91" s="20" t="s">
        <v>205</v>
      </c>
      <c r="D91" s="132">
        <v>9.8908415854749826E-2</v>
      </c>
      <c r="E91" s="261"/>
      <c r="G91" s="251"/>
      <c r="H91" s="251"/>
      <c r="I91" s="251"/>
      <c r="J91" s="251"/>
      <c r="K91" s="251"/>
      <c r="L91" s="251"/>
    </row>
    <row r="92" spans="1:12">
      <c r="A92" s="117">
        <f t="shared" si="19"/>
        <v>79</v>
      </c>
      <c r="B92" s="241"/>
      <c r="C92" s="21" t="s">
        <v>206</v>
      </c>
      <c r="D92" s="132">
        <v>0.10141004323318151</v>
      </c>
      <c r="E92" s="261"/>
      <c r="G92" s="251"/>
      <c r="H92" s="251"/>
      <c r="I92" s="251"/>
      <c r="J92" s="251"/>
      <c r="K92" s="251"/>
      <c r="L92" s="251"/>
    </row>
    <row r="93" spans="1:12">
      <c r="A93" s="117">
        <f t="shared" si="19"/>
        <v>80</v>
      </c>
      <c r="B93" s="241"/>
      <c r="C93" s="21" t="s">
        <v>207</v>
      </c>
      <c r="D93" s="132">
        <v>0.10217900008822713</v>
      </c>
      <c r="E93" s="261"/>
      <c r="G93" s="251"/>
      <c r="H93" s="251"/>
      <c r="I93" s="251"/>
      <c r="J93" s="251"/>
      <c r="K93" s="251"/>
      <c r="L93" s="251"/>
    </row>
    <row r="94" spans="1:12">
      <c r="A94" s="117">
        <f t="shared" si="19"/>
        <v>81</v>
      </c>
      <c r="B94" s="241"/>
      <c r="C94" s="20" t="s">
        <v>210</v>
      </c>
      <c r="D94" s="132">
        <v>9.1787269171678454E-2</v>
      </c>
      <c r="E94" s="261"/>
      <c r="G94" s="251"/>
      <c r="H94" s="251"/>
      <c r="I94" s="251"/>
      <c r="J94" s="251"/>
      <c r="K94" s="251"/>
      <c r="L94" s="251"/>
    </row>
    <row r="95" spans="1:12">
      <c r="A95" s="117">
        <f t="shared" si="19"/>
        <v>82</v>
      </c>
      <c r="B95" s="241"/>
      <c r="C95" s="20" t="s">
        <v>209</v>
      </c>
      <c r="D95" s="132">
        <v>7.5296938318149625E-2</v>
      </c>
      <c r="E95" s="261"/>
      <c r="G95" s="241"/>
      <c r="H95" s="241"/>
      <c r="I95" s="241"/>
      <c r="J95" s="241"/>
      <c r="K95" s="241"/>
      <c r="L95" s="241"/>
    </row>
    <row r="96" spans="1:12">
      <c r="A96" s="117">
        <f t="shared" si="19"/>
        <v>83</v>
      </c>
      <c r="B96" s="241"/>
      <c r="C96" s="21" t="s">
        <v>199</v>
      </c>
      <c r="D96" s="392">
        <v>8.640264338381512E-2</v>
      </c>
      <c r="E96" s="161"/>
      <c r="G96" s="241"/>
      <c r="H96" s="241"/>
      <c r="I96" s="241"/>
      <c r="J96" s="241"/>
      <c r="K96" s="241"/>
      <c r="L96" s="241"/>
    </row>
    <row r="97" spans="1:16">
      <c r="A97" s="117">
        <f t="shared" si="19"/>
        <v>84</v>
      </c>
      <c r="B97" s="241"/>
      <c r="C97" s="34" t="s">
        <v>4</v>
      </c>
      <c r="D97" s="425">
        <f>SUM(D85:D96)</f>
        <v>1.0000000000000002</v>
      </c>
      <c r="E97" s="241"/>
      <c r="G97" s="241"/>
      <c r="H97" s="241"/>
      <c r="I97" s="241"/>
      <c r="J97" s="241"/>
      <c r="K97" s="241"/>
      <c r="L97" s="241"/>
    </row>
    <row r="98" spans="1:16">
      <c r="A98" s="117">
        <f t="shared" si="19"/>
        <v>85</v>
      </c>
      <c r="B98" s="241"/>
      <c r="C98" s="241"/>
      <c r="D98" s="241"/>
      <c r="E98" s="241"/>
      <c r="F98" s="2"/>
      <c r="G98" s="241"/>
      <c r="H98" s="241"/>
      <c r="I98" s="241"/>
      <c r="J98" s="241"/>
      <c r="K98" s="241"/>
      <c r="L98" s="241"/>
    </row>
    <row r="99" spans="1:16">
      <c r="A99" s="117">
        <f t="shared" si="19"/>
        <v>86</v>
      </c>
      <c r="B99" s="1" t="s">
        <v>1408</v>
      </c>
      <c r="C99" s="241"/>
      <c r="D99" s="241"/>
      <c r="E99" s="241"/>
      <c r="F99" s="2"/>
      <c r="G99" s="241"/>
      <c r="H99" s="241"/>
      <c r="I99" s="241"/>
      <c r="J99" s="241"/>
      <c r="K99" s="241"/>
      <c r="L99" s="241"/>
    </row>
    <row r="100" spans="1:16">
      <c r="A100" s="117">
        <f t="shared" si="19"/>
        <v>87</v>
      </c>
      <c r="B100" s="241"/>
      <c r="C100" s="241"/>
      <c r="D100" s="241"/>
      <c r="E100" s="241"/>
      <c r="F100" s="2"/>
      <c r="G100" s="241"/>
      <c r="H100" s="241"/>
      <c r="I100" s="241"/>
      <c r="J100" s="241"/>
      <c r="K100" s="241"/>
      <c r="L100" s="241"/>
    </row>
    <row r="101" spans="1:16">
      <c r="A101" s="117">
        <f t="shared" si="19"/>
        <v>88</v>
      </c>
      <c r="B101" s="241"/>
      <c r="C101" s="91" t="s">
        <v>394</v>
      </c>
      <c r="D101" s="91" t="s">
        <v>378</v>
      </c>
      <c r="E101" s="91" t="s">
        <v>379</v>
      </c>
      <c r="F101" s="91" t="s">
        <v>380</v>
      </c>
      <c r="G101" s="91" t="s">
        <v>381</v>
      </c>
      <c r="H101" s="91" t="s">
        <v>382</v>
      </c>
      <c r="I101" s="91" t="s">
        <v>383</v>
      </c>
      <c r="J101" s="241"/>
    </row>
    <row r="102" spans="1:16">
      <c r="A102" s="117">
        <f t="shared" si="19"/>
        <v>89</v>
      </c>
      <c r="B102" s="241"/>
      <c r="C102" s="94" t="s">
        <v>1171</v>
      </c>
      <c r="D102" s="94" t="s">
        <v>1412</v>
      </c>
      <c r="E102" s="91"/>
      <c r="F102" s="91"/>
      <c r="G102" s="91"/>
      <c r="H102" s="91"/>
      <c r="I102" s="94" t="s">
        <v>587</v>
      </c>
      <c r="J102" s="241"/>
      <c r="K102" s="241"/>
      <c r="L102" s="241"/>
    </row>
    <row r="103" spans="1:16">
      <c r="A103" s="117">
        <f t="shared" si="19"/>
        <v>90</v>
      </c>
      <c r="B103" s="241"/>
      <c r="C103" s="241"/>
      <c r="D103" s="241"/>
      <c r="E103" s="241"/>
      <c r="F103" s="2"/>
      <c r="G103" s="241"/>
      <c r="H103" s="241"/>
      <c r="I103" s="241"/>
      <c r="J103" s="241"/>
      <c r="K103" s="428"/>
      <c r="L103" s="241"/>
    </row>
    <row r="104" spans="1:16">
      <c r="A104" s="117">
        <f t="shared" si="19"/>
        <v>91</v>
      </c>
      <c r="B104" s="241"/>
      <c r="C104" s="2" t="s">
        <v>560</v>
      </c>
      <c r="D104" s="241"/>
      <c r="E104" s="241"/>
      <c r="F104" s="2"/>
      <c r="G104" s="241"/>
      <c r="H104" s="241"/>
      <c r="I104" s="2" t="s">
        <v>19</v>
      </c>
      <c r="J104" s="241"/>
      <c r="K104" s="539"/>
      <c r="L104" s="241"/>
    </row>
    <row r="105" spans="1:16">
      <c r="A105" s="117">
        <f t="shared" si="19"/>
        <v>92</v>
      </c>
      <c r="B105" s="244" t="s">
        <v>446</v>
      </c>
      <c r="C105" s="2" t="s">
        <v>581</v>
      </c>
      <c r="D105" s="241"/>
      <c r="E105" s="241"/>
      <c r="F105" s="91"/>
      <c r="G105" s="241"/>
      <c r="H105" s="241"/>
      <c r="I105" s="2" t="s">
        <v>215</v>
      </c>
      <c r="J105" s="241"/>
    </row>
    <row r="106" spans="1:16" ht="15">
      <c r="A106" s="117">
        <f t="shared" si="19"/>
        <v>93</v>
      </c>
      <c r="B106" s="244" t="s">
        <v>212</v>
      </c>
      <c r="C106" s="2" t="s">
        <v>337</v>
      </c>
      <c r="D106" s="2" t="s">
        <v>392</v>
      </c>
      <c r="E106" s="2"/>
      <c r="F106" s="2"/>
      <c r="G106" s="2" t="s">
        <v>579</v>
      </c>
      <c r="H106" s="2"/>
      <c r="I106" s="2" t="s">
        <v>20</v>
      </c>
      <c r="J106" s="241"/>
      <c r="P106" s="254"/>
    </row>
    <row r="107" spans="1:16" ht="15">
      <c r="A107" s="117">
        <f t="shared" si="19"/>
        <v>94</v>
      </c>
      <c r="B107" s="3" t="s">
        <v>211</v>
      </c>
      <c r="C107" s="3" t="s">
        <v>21</v>
      </c>
      <c r="D107" s="3" t="s">
        <v>337</v>
      </c>
      <c r="E107" s="3" t="s">
        <v>336</v>
      </c>
      <c r="F107" s="3" t="s">
        <v>578</v>
      </c>
      <c r="G107" s="3" t="s">
        <v>580</v>
      </c>
      <c r="H107" s="3" t="s">
        <v>392</v>
      </c>
      <c r="I107" s="3" t="s">
        <v>87</v>
      </c>
      <c r="J107" s="241"/>
      <c r="K107" s="256"/>
      <c r="L107" s="256"/>
      <c r="M107" s="256"/>
      <c r="N107" s="256"/>
      <c r="O107" s="256"/>
      <c r="P107" s="256"/>
    </row>
    <row r="108" spans="1:16">
      <c r="A108" s="117">
        <f t="shared" si="19"/>
        <v>95</v>
      </c>
      <c r="B108" s="262" t="s">
        <v>74</v>
      </c>
      <c r="C108" s="259">
        <v>71368096.340000004</v>
      </c>
      <c r="D108" s="259">
        <v>-2759036.67</v>
      </c>
      <c r="E108" s="259">
        <v>327958776.40000004</v>
      </c>
      <c r="F108" s="259">
        <v>407790840.29000002</v>
      </c>
      <c r="G108" s="259">
        <v>8496682.7599999961</v>
      </c>
      <c r="H108" s="246">
        <v>102348047.25</v>
      </c>
      <c r="I108" s="243">
        <f>SUM(C108:H108)</f>
        <v>915203406.37000012</v>
      </c>
      <c r="J108" s="241"/>
      <c r="K108" s="53"/>
      <c r="M108" s="7"/>
      <c r="N108" s="7"/>
      <c r="O108" s="7"/>
      <c r="P108" s="7"/>
    </row>
    <row r="109" spans="1:16">
      <c r="A109" s="117">
        <f t="shared" si="19"/>
        <v>96</v>
      </c>
      <c r="B109" s="262" t="s">
        <v>75</v>
      </c>
      <c r="C109" s="259">
        <v>58478445.270000003</v>
      </c>
      <c r="D109" s="259">
        <v>-1502395.21</v>
      </c>
      <c r="E109" s="259">
        <v>283167265.50999999</v>
      </c>
      <c r="F109" s="259">
        <v>361333725.95999998</v>
      </c>
      <c r="G109" s="259">
        <v>9472488.3399999999</v>
      </c>
      <c r="H109" s="259">
        <v>49496814.089999996</v>
      </c>
      <c r="I109" s="243">
        <f t="shared" ref="I109:I118" si="20">SUM(C109:H109)</f>
        <v>760446343.96000004</v>
      </c>
      <c r="J109" s="241"/>
      <c r="K109" s="53"/>
      <c r="M109" s="7"/>
      <c r="N109" s="7"/>
      <c r="O109" s="7"/>
      <c r="P109" s="7"/>
    </row>
    <row r="110" spans="1:16">
      <c r="A110" s="117">
        <f t="shared" si="19"/>
        <v>97</v>
      </c>
      <c r="B110" s="262" t="s">
        <v>76</v>
      </c>
      <c r="C110" s="259">
        <v>70638297.459999993</v>
      </c>
      <c r="D110" s="259">
        <v>-1848879.4900000002</v>
      </c>
      <c r="E110" s="259">
        <v>336154044.73000002</v>
      </c>
      <c r="F110" s="259">
        <v>417021128.55000001</v>
      </c>
      <c r="G110" s="259">
        <v>6004257.820000004</v>
      </c>
      <c r="H110" s="259">
        <v>58981217.699999996</v>
      </c>
      <c r="I110" s="243">
        <f t="shared" si="20"/>
        <v>886950066.7700001</v>
      </c>
      <c r="J110" s="241"/>
      <c r="K110" s="53"/>
      <c r="M110" s="7"/>
      <c r="N110" s="7"/>
      <c r="O110" s="7"/>
      <c r="P110" s="7"/>
    </row>
    <row r="111" spans="1:16">
      <c r="A111" s="117">
        <f t="shared" si="19"/>
        <v>98</v>
      </c>
      <c r="B111" s="262" t="s">
        <v>77</v>
      </c>
      <c r="C111" s="259">
        <v>67346373.879999995</v>
      </c>
      <c r="D111" s="259">
        <v>-1813518</v>
      </c>
      <c r="E111" s="259">
        <v>183968426.50000003</v>
      </c>
      <c r="F111" s="259">
        <v>384766950.37999988</v>
      </c>
      <c r="G111" s="259">
        <v>7579474.0799999982</v>
      </c>
      <c r="H111" s="259">
        <v>54222907.370000005</v>
      </c>
      <c r="I111" s="243">
        <f t="shared" si="20"/>
        <v>696070614.20999992</v>
      </c>
      <c r="J111" s="241"/>
      <c r="K111" s="53"/>
      <c r="M111" s="7"/>
      <c r="N111" s="7"/>
      <c r="O111" s="7"/>
      <c r="P111" s="7"/>
    </row>
    <row r="112" spans="1:16">
      <c r="A112" s="117">
        <f t="shared" si="19"/>
        <v>99</v>
      </c>
      <c r="B112" s="94" t="s">
        <v>203</v>
      </c>
      <c r="C112" s="259">
        <v>67987566.159999996</v>
      </c>
      <c r="D112" s="259">
        <v>-1717781.7599999998</v>
      </c>
      <c r="E112" s="259">
        <v>307273966.45999998</v>
      </c>
      <c r="F112" s="259">
        <v>394028233.37999994</v>
      </c>
      <c r="G112" s="259">
        <v>8388949.7699999958</v>
      </c>
      <c r="H112" s="259">
        <v>56680726.050000004</v>
      </c>
      <c r="I112" s="243">
        <f t="shared" si="20"/>
        <v>832641660.05999982</v>
      </c>
      <c r="J112" s="241"/>
      <c r="K112" s="53"/>
      <c r="M112" s="7"/>
      <c r="N112" s="7"/>
      <c r="O112" s="7"/>
      <c r="P112" s="7"/>
    </row>
    <row r="113" spans="1:16">
      <c r="A113" s="117">
        <f t="shared" si="19"/>
        <v>100</v>
      </c>
      <c r="B113" s="262" t="s">
        <v>78</v>
      </c>
      <c r="C113" s="259">
        <v>79316786.980000004</v>
      </c>
      <c r="D113" s="259">
        <v>1381983.4799999995</v>
      </c>
      <c r="E113" s="259">
        <v>362441312.80000001</v>
      </c>
      <c r="F113" s="259">
        <v>753999935.06000006</v>
      </c>
      <c r="G113" s="259">
        <v>3093194.9400000013</v>
      </c>
      <c r="H113" s="259">
        <v>68014791.980000004</v>
      </c>
      <c r="I113" s="243">
        <f t="shared" si="20"/>
        <v>1268248005.2400002</v>
      </c>
      <c r="J113" s="241"/>
      <c r="K113" s="53"/>
      <c r="M113" s="7"/>
      <c r="N113" s="7"/>
      <c r="O113" s="7"/>
      <c r="P113" s="7"/>
    </row>
    <row r="114" spans="1:16">
      <c r="A114" s="117">
        <f t="shared" si="19"/>
        <v>101</v>
      </c>
      <c r="B114" s="262" t="s">
        <v>79</v>
      </c>
      <c r="C114" s="259">
        <v>85676497.019999996</v>
      </c>
      <c r="D114" s="259">
        <v>1237284.4799999986</v>
      </c>
      <c r="E114" s="259">
        <v>366760565.12</v>
      </c>
      <c r="F114" s="259">
        <v>788636501.75999999</v>
      </c>
      <c r="G114" s="259">
        <v>20956817.800000004</v>
      </c>
      <c r="H114" s="259">
        <v>74984528.929999992</v>
      </c>
      <c r="I114" s="243">
        <f t="shared" si="20"/>
        <v>1338252195.1100001</v>
      </c>
      <c r="J114" s="241"/>
      <c r="K114" s="53"/>
      <c r="M114" s="7"/>
      <c r="N114" s="7"/>
      <c r="O114" s="7"/>
      <c r="P114" s="7"/>
    </row>
    <row r="115" spans="1:16">
      <c r="A115" s="117">
        <f t="shared" si="19"/>
        <v>102</v>
      </c>
      <c r="B115" s="262" t="s">
        <v>80</v>
      </c>
      <c r="C115" s="259">
        <v>98171367.430000007</v>
      </c>
      <c r="D115" s="259">
        <v>1404287.42</v>
      </c>
      <c r="E115" s="259">
        <v>420135716.44000006</v>
      </c>
      <c r="F115" s="259">
        <v>911683629.10000002</v>
      </c>
      <c r="G115" s="259">
        <v>40260720.160000004</v>
      </c>
      <c r="H115" s="259">
        <v>82952692.560000002</v>
      </c>
      <c r="I115" s="243">
        <f t="shared" si="20"/>
        <v>1554608413.1100001</v>
      </c>
      <c r="J115" s="241"/>
      <c r="K115" s="53"/>
      <c r="M115" s="7"/>
      <c r="N115" s="7"/>
      <c r="O115" s="7"/>
      <c r="P115" s="7"/>
    </row>
    <row r="116" spans="1:16">
      <c r="A116" s="117">
        <f t="shared" si="19"/>
        <v>103</v>
      </c>
      <c r="B116" s="262" t="s">
        <v>81</v>
      </c>
      <c r="C116" s="259">
        <v>89850788.010000005</v>
      </c>
      <c r="D116" s="259">
        <v>1160512.7699999996</v>
      </c>
      <c r="E116" s="259">
        <v>393108347.25</v>
      </c>
      <c r="F116" s="259">
        <v>830579969.28000009</v>
      </c>
      <c r="G116" s="259">
        <v>51973699.910000004</v>
      </c>
      <c r="H116" s="259">
        <v>76937549.549999997</v>
      </c>
      <c r="I116" s="243">
        <f t="shared" si="20"/>
        <v>1443610866.77</v>
      </c>
      <c r="J116" s="241"/>
      <c r="K116" s="53"/>
      <c r="M116" s="7"/>
      <c r="N116" s="7"/>
      <c r="O116" s="7"/>
      <c r="P116" s="7"/>
    </row>
    <row r="117" spans="1:16">
      <c r="A117" s="117">
        <f t="shared" si="19"/>
        <v>104</v>
      </c>
      <c r="B117" s="262" t="s">
        <v>82</v>
      </c>
      <c r="C117" s="259">
        <v>75216185.75</v>
      </c>
      <c r="D117" s="259">
        <v>1172725.2200000007</v>
      </c>
      <c r="E117" s="259">
        <v>236283791.99000001</v>
      </c>
      <c r="F117" s="259">
        <v>426689016.2099998</v>
      </c>
      <c r="G117" s="259">
        <v>43283106.610000007</v>
      </c>
      <c r="H117" s="259">
        <v>66463106.239999995</v>
      </c>
      <c r="I117" s="243">
        <f t="shared" si="20"/>
        <v>849107932.01999986</v>
      </c>
      <c r="J117" s="241"/>
      <c r="K117" s="53"/>
      <c r="M117" s="7"/>
      <c r="N117" s="7"/>
      <c r="O117" s="7"/>
      <c r="P117" s="7"/>
    </row>
    <row r="118" spans="1:16">
      <c r="A118" s="117">
        <f t="shared" si="19"/>
        <v>105</v>
      </c>
      <c r="B118" s="262" t="s">
        <v>83</v>
      </c>
      <c r="C118" s="259">
        <v>62877512.399999999</v>
      </c>
      <c r="D118" s="259">
        <v>1158167.6799999997</v>
      </c>
      <c r="E118" s="259">
        <v>289661494.85000002</v>
      </c>
      <c r="F118" s="259">
        <v>369798262.06</v>
      </c>
      <c r="G118" s="259">
        <v>17708431.940000001</v>
      </c>
      <c r="H118" s="259">
        <v>52210560.350000001</v>
      </c>
      <c r="I118" s="243">
        <f t="shared" si="20"/>
        <v>793414429.28000009</v>
      </c>
      <c r="J118" s="241"/>
      <c r="K118" s="53"/>
      <c r="M118" s="7"/>
      <c r="N118" s="7"/>
      <c r="O118" s="7"/>
      <c r="P118" s="7"/>
    </row>
    <row r="119" spans="1:16">
      <c r="A119" s="117">
        <f t="shared" si="19"/>
        <v>106</v>
      </c>
      <c r="B119" s="262" t="s">
        <v>84</v>
      </c>
      <c r="C119" s="115">
        <v>68408042.269999996</v>
      </c>
      <c r="D119" s="115">
        <v>967693.12999999989</v>
      </c>
      <c r="E119" s="115">
        <v>340438344.81</v>
      </c>
      <c r="F119" s="115">
        <v>388096679.19</v>
      </c>
      <c r="G119" s="115">
        <v>11099082.560000002</v>
      </c>
      <c r="H119" s="115">
        <v>57953058.119999997</v>
      </c>
      <c r="I119" s="98">
        <f>SUM(C119:H119)</f>
        <v>866962900.08000004</v>
      </c>
      <c r="J119" s="241"/>
      <c r="K119" s="53"/>
      <c r="M119" s="7"/>
      <c r="N119" s="7"/>
      <c r="O119" s="7"/>
      <c r="P119" s="98"/>
    </row>
    <row r="120" spans="1:16">
      <c r="A120" s="117">
        <f t="shared" si="19"/>
        <v>107</v>
      </c>
      <c r="B120" s="94" t="s">
        <v>216</v>
      </c>
      <c r="C120" s="243">
        <v>895335958.96999991</v>
      </c>
      <c r="D120" s="243">
        <v>-1158956.9500000011</v>
      </c>
      <c r="E120" s="243">
        <v>3847352052.8599997</v>
      </c>
      <c r="F120" s="243">
        <v>6434424871.2200003</v>
      </c>
      <c r="G120" s="243">
        <v>228316906.69000003</v>
      </c>
      <c r="H120" s="243">
        <v>801246000.19000006</v>
      </c>
      <c r="I120" s="243">
        <f t="shared" ref="I120" si="21">SUM(I108:I119)</f>
        <v>12205516832.980003</v>
      </c>
      <c r="J120" s="241"/>
      <c r="P120" s="7"/>
    </row>
    <row r="121" spans="1:16">
      <c r="A121" s="117">
        <f t="shared" si="19"/>
        <v>108</v>
      </c>
      <c r="B121" s="241"/>
      <c r="C121" s="241"/>
      <c r="D121" s="241"/>
      <c r="E121" s="241"/>
      <c r="F121" s="241"/>
      <c r="G121" s="241"/>
      <c r="H121" s="99"/>
      <c r="I121" s="241"/>
      <c r="J121" s="241"/>
      <c r="K121" s="241"/>
      <c r="L121" s="241"/>
    </row>
    <row r="122" spans="1:16">
      <c r="A122" s="117">
        <f t="shared" si="19"/>
        <v>109</v>
      </c>
      <c r="B122" s="241"/>
      <c r="C122" s="241"/>
      <c r="D122" s="241"/>
      <c r="E122" s="241"/>
      <c r="F122" s="241"/>
      <c r="G122" s="241"/>
      <c r="H122" s="99" t="s">
        <v>582</v>
      </c>
      <c r="I122" s="246">
        <v>12205516833</v>
      </c>
      <c r="J122" s="1281"/>
      <c r="K122" s="241"/>
      <c r="L122" s="241"/>
    </row>
    <row r="123" spans="1:16">
      <c r="A123" s="241"/>
      <c r="B123" s="241"/>
      <c r="C123" s="241"/>
      <c r="D123" s="241"/>
      <c r="E123" s="241"/>
      <c r="F123" s="241"/>
      <c r="G123" s="241"/>
      <c r="H123" s="241"/>
      <c r="I123" s="241"/>
      <c r="J123" s="241"/>
      <c r="K123" s="241"/>
      <c r="L123" s="241"/>
    </row>
    <row r="124" spans="1:16">
      <c r="A124" s="2"/>
      <c r="B124" s="44" t="s">
        <v>420</v>
      </c>
      <c r="C124" s="251"/>
      <c r="D124" s="251"/>
      <c r="E124" s="251"/>
      <c r="F124" s="251"/>
      <c r="G124" s="251"/>
      <c r="H124" s="251"/>
      <c r="I124" s="245"/>
      <c r="J124" s="251"/>
      <c r="K124" s="251"/>
      <c r="L124" s="241"/>
    </row>
    <row r="125" spans="1:16">
      <c r="A125" s="2"/>
      <c r="B125" s="521" t="s">
        <v>2579</v>
      </c>
      <c r="C125" s="251"/>
      <c r="D125" s="251"/>
      <c r="E125" s="251"/>
      <c r="F125" s="251"/>
      <c r="G125" s="251"/>
      <c r="H125" s="251"/>
      <c r="I125" s="251"/>
      <c r="J125" s="251"/>
      <c r="K125" s="251"/>
      <c r="L125" s="241"/>
    </row>
    <row r="126" spans="1:16">
      <c r="A126" s="2"/>
      <c r="B126" s="521" t="s">
        <v>2580</v>
      </c>
      <c r="C126" s="251"/>
      <c r="D126" s="251"/>
      <c r="E126" s="251"/>
      <c r="F126" s="251"/>
      <c r="G126" s="251"/>
      <c r="H126" s="251"/>
      <c r="I126" s="251"/>
      <c r="J126" s="251"/>
      <c r="K126" s="251"/>
      <c r="L126" s="241"/>
    </row>
    <row r="127" spans="1:16">
      <c r="A127" s="2"/>
      <c r="B127" s="159" t="s">
        <v>1172</v>
      </c>
      <c r="C127" s="251"/>
      <c r="D127" s="251"/>
      <c r="E127" s="251"/>
      <c r="F127" s="251"/>
      <c r="G127" s="251"/>
      <c r="H127" s="251"/>
      <c r="I127" s="251"/>
      <c r="J127" s="251"/>
      <c r="K127" s="251"/>
      <c r="L127" s="241"/>
    </row>
    <row r="128" spans="1:16">
      <c r="A128" s="2"/>
      <c r="B128" s="46" t="s">
        <v>1058</v>
      </c>
      <c r="C128" s="251"/>
      <c r="D128" s="251"/>
      <c r="E128" s="251"/>
      <c r="F128" s="251"/>
      <c r="G128" s="251"/>
      <c r="H128" s="251"/>
      <c r="I128" s="251"/>
      <c r="J128" s="251"/>
      <c r="K128" s="251"/>
      <c r="L128" s="241"/>
    </row>
    <row r="129" spans="1:12">
      <c r="A129" s="2"/>
      <c r="B129" s="1022" t="s">
        <v>2581</v>
      </c>
      <c r="C129" s="251"/>
      <c r="D129" s="251"/>
      <c r="E129" s="251"/>
      <c r="F129" s="251"/>
      <c r="G129" s="251"/>
      <c r="H129" s="251"/>
      <c r="I129" s="251"/>
      <c r="J129" s="251"/>
      <c r="K129" s="251"/>
      <c r="L129" s="241"/>
    </row>
    <row r="130" spans="1:12">
      <c r="A130" s="2"/>
      <c r="B130" s="521" t="s">
        <v>2582</v>
      </c>
      <c r="C130" s="251"/>
      <c r="D130" s="251"/>
      <c r="E130" s="251"/>
      <c r="F130" s="251"/>
      <c r="G130" s="251"/>
      <c r="H130" s="251"/>
      <c r="I130" s="251"/>
      <c r="J130" s="251"/>
      <c r="K130" s="251"/>
      <c r="L130" s="241"/>
    </row>
    <row r="131" spans="1:12">
      <c r="A131" s="2"/>
      <c r="B131" s="1023" t="s">
        <v>2583</v>
      </c>
      <c r="C131" s="251"/>
      <c r="D131" s="251"/>
      <c r="E131" s="251"/>
      <c r="F131" s="251"/>
      <c r="G131" s="251"/>
      <c r="H131" s="251"/>
      <c r="I131" s="251"/>
      <c r="J131" s="251"/>
      <c r="K131" s="251"/>
      <c r="L131" s="241"/>
    </row>
    <row r="132" spans="1:12">
      <c r="A132" s="645"/>
      <c r="B132" s="1023" t="str">
        <f>"This instruction requires that the amount on Line "&amp;A70&amp;" Column 6 be calculated so that any over or under collection at the beginning of the Rate Effective Period"</f>
        <v>This instruction requires that the amount on Line 57 Column 6 be calculated so that any over or under collection at the beginning of the Rate Effective Period</v>
      </c>
      <c r="C132" s="251"/>
      <c r="D132" s="251"/>
      <c r="E132" s="251"/>
      <c r="F132" s="251"/>
      <c r="G132" s="251"/>
      <c r="H132" s="251"/>
      <c r="I132" s="251"/>
      <c r="J132" s="251"/>
      <c r="K132" s="251"/>
    </row>
    <row r="133" spans="1:12">
      <c r="A133" s="645"/>
      <c r="B133" s="1023" t="str">
        <f>"is completely amortized over the following 12 months, as reflected by the Line "&amp;A67&amp;", Column 7 amount being equal to zero.  It may be necessary to iterate for"</f>
        <v>is completely amortized over the following 12 months, as reflected by the Line 54, Column 7 amount being equal to zero.  It may be necessary to iterate for</v>
      </c>
      <c r="C133" s="251"/>
      <c r="D133" s="251"/>
      <c r="E133" s="251"/>
      <c r="F133" s="251"/>
      <c r="G133" s="251"/>
      <c r="H133" s="251"/>
      <c r="I133" s="251"/>
      <c r="J133" s="251"/>
      <c r="K133" s="251"/>
      <c r="L133" s="241"/>
    </row>
    <row r="134" spans="1:12">
      <c r="A134" s="645"/>
      <c r="B134" s="1022" t="s">
        <v>2229</v>
      </c>
      <c r="C134" s="14"/>
      <c r="D134" s="251"/>
      <c r="E134" s="251"/>
      <c r="F134" s="251"/>
      <c r="G134" s="251"/>
      <c r="H134" s="251"/>
      <c r="I134" s="251"/>
      <c r="J134" s="251"/>
      <c r="K134" s="251"/>
      <c r="L134" s="241"/>
    </row>
    <row r="135" spans="1:12">
      <c r="A135" s="2"/>
      <c r="B135" s="521" t="s">
        <v>2524</v>
      </c>
      <c r="C135" s="251"/>
      <c r="D135" s="251"/>
      <c r="E135" s="251"/>
      <c r="F135" s="251"/>
      <c r="G135" s="251"/>
      <c r="H135" s="251"/>
      <c r="I135" s="251"/>
      <c r="J135" s="251"/>
      <c r="K135" s="251"/>
      <c r="L135" s="241"/>
    </row>
    <row r="136" spans="1:12">
      <c r="A136" s="2"/>
      <c r="B136" s="494" t="s">
        <v>1966</v>
      </c>
      <c r="C136" s="251"/>
      <c r="D136" s="251"/>
      <c r="E136" s="251"/>
      <c r="F136" s="251"/>
      <c r="G136" s="251"/>
      <c r="H136" s="251"/>
      <c r="I136" s="251"/>
      <c r="J136" s="251"/>
      <c r="K136" s="251"/>
      <c r="L136" s="241"/>
    </row>
    <row r="137" spans="1:12">
      <c r="A137" s="2"/>
      <c r="B137" s="390" t="s">
        <v>544</v>
      </c>
      <c r="C137" s="251"/>
      <c r="D137" s="251"/>
      <c r="E137" s="251"/>
      <c r="F137" s="251"/>
      <c r="G137" s="251"/>
      <c r="H137" s="251"/>
      <c r="I137" s="251"/>
      <c r="J137" s="251"/>
      <c r="K137" s="251"/>
      <c r="L137" s="241"/>
    </row>
    <row r="138" spans="1:12">
      <c r="A138" s="2"/>
      <c r="B138" s="1024" t="s">
        <v>1687</v>
      </c>
      <c r="C138" s="251"/>
      <c r="D138" s="251"/>
      <c r="E138" s="251"/>
      <c r="F138" s="251"/>
      <c r="G138" s="251"/>
      <c r="H138" s="251"/>
      <c r="I138" s="251"/>
      <c r="J138" s="251"/>
      <c r="K138" s="251"/>
      <c r="L138" s="241"/>
    </row>
    <row r="139" spans="1:12">
      <c r="A139" s="2"/>
      <c r="B139" s="1025" t="s">
        <v>1173</v>
      </c>
      <c r="C139" s="251"/>
      <c r="D139" s="251"/>
      <c r="E139" s="251"/>
      <c r="F139" s="251"/>
      <c r="G139" s="251"/>
      <c r="H139" s="251"/>
      <c r="I139" s="251"/>
      <c r="J139" s="251"/>
      <c r="K139" s="251"/>
      <c r="L139" s="241"/>
    </row>
    <row r="140" spans="1:12" s="14" customFormat="1">
      <c r="A140" s="117"/>
      <c r="B140" s="1025" t="str">
        <f>"Entering on Line "&amp;A24&amp;" (or other appropriate) ensures these One Time Adjustments are recovered from or returned to customers."</f>
        <v>Entering on Line 11 (or other appropriate) ensures these One Time Adjustments are recovered from or returned to customers.</v>
      </c>
      <c r="C140" s="251"/>
      <c r="D140" s="251"/>
      <c r="E140" s="251"/>
      <c r="F140" s="251"/>
      <c r="G140" s="251"/>
      <c r="H140" s="251"/>
      <c r="I140" s="251"/>
      <c r="J140" s="251"/>
      <c r="K140" s="251"/>
      <c r="L140" s="251"/>
    </row>
    <row r="141" spans="1:12">
      <c r="A141" s="2"/>
      <c r="B141" s="390" t="s">
        <v>1329</v>
      </c>
      <c r="C141" s="1026"/>
      <c r="D141" s="251"/>
      <c r="E141" s="251"/>
      <c r="F141" s="251"/>
      <c r="G141" s="251"/>
      <c r="H141" s="251"/>
      <c r="I141" s="251"/>
      <c r="J141" s="251"/>
      <c r="K141" s="251"/>
      <c r="L141" s="241"/>
    </row>
    <row r="142" spans="1:12" s="14" customFormat="1">
      <c r="A142" s="117"/>
      <c r="B142" s="1024" t="s">
        <v>2823</v>
      </c>
      <c r="C142" s="1026"/>
      <c r="D142" s="251"/>
      <c r="E142" s="251"/>
      <c r="F142" s="251"/>
      <c r="G142" s="251"/>
      <c r="H142" s="251"/>
      <c r="I142" s="251"/>
      <c r="J142" s="251"/>
      <c r="K142" s="251"/>
      <c r="L142" s="251"/>
    </row>
    <row r="143" spans="1:12">
      <c r="A143" s="2"/>
      <c r="B143" s="521" t="s">
        <v>2584</v>
      </c>
      <c r="C143" s="251"/>
      <c r="D143" s="251"/>
      <c r="E143" s="251"/>
      <c r="F143" s="251"/>
      <c r="G143" s="251"/>
      <c r="H143" s="251"/>
      <c r="I143" s="251"/>
      <c r="J143" s="14"/>
      <c r="K143" s="251"/>
      <c r="L143" s="241"/>
    </row>
    <row r="144" spans="1:12">
      <c r="A144" s="2"/>
      <c r="B144" s="521" t="s">
        <v>2585</v>
      </c>
      <c r="C144" s="251"/>
      <c r="D144" s="251"/>
      <c r="E144" s="251"/>
      <c r="F144" s="251"/>
      <c r="G144" s="251"/>
      <c r="H144" s="251"/>
      <c r="I144" s="251"/>
      <c r="J144" s="251"/>
      <c r="K144" s="251"/>
      <c r="L144" s="241"/>
    </row>
    <row r="145" spans="1:12">
      <c r="A145" s="2"/>
      <c r="B145" s="521" t="s">
        <v>1688</v>
      </c>
      <c r="C145" s="251"/>
      <c r="D145" s="251"/>
      <c r="E145" s="251"/>
      <c r="F145" s="251"/>
      <c r="G145" s="251"/>
      <c r="H145" s="251"/>
      <c r="I145" s="251"/>
      <c r="J145" s="251"/>
      <c r="K145" s="251"/>
      <c r="L145" s="241"/>
    </row>
    <row r="146" spans="1:12">
      <c r="A146" s="2"/>
      <c r="B146" s="388" t="s">
        <v>1174</v>
      </c>
      <c r="C146" s="251"/>
      <c r="D146" s="251"/>
      <c r="E146" s="251"/>
      <c r="F146" s="251"/>
      <c r="G146" s="251"/>
      <c r="H146" s="251"/>
      <c r="I146" s="251"/>
      <c r="J146" s="251"/>
      <c r="K146" s="251"/>
      <c r="L146" s="241"/>
    </row>
    <row r="147" spans="1:12">
      <c r="A147" s="2"/>
      <c r="B147" s="1008" t="s">
        <v>256</v>
      </c>
      <c r="C147" s="251"/>
      <c r="D147" s="251"/>
      <c r="E147" s="251"/>
      <c r="F147" s="251"/>
      <c r="G147" s="251"/>
      <c r="H147" s="251"/>
      <c r="I147" s="251"/>
      <c r="J147" s="251"/>
      <c r="K147" s="251"/>
      <c r="L147" s="241"/>
    </row>
    <row r="148" spans="1:12">
      <c r="A148" s="2"/>
      <c r="B148" s="521" t="s">
        <v>1685</v>
      </c>
      <c r="C148" s="251"/>
      <c r="D148" s="251"/>
      <c r="E148" s="251"/>
      <c r="F148" s="251"/>
      <c r="G148" s="251"/>
      <c r="H148" s="251"/>
      <c r="I148" s="251"/>
      <c r="J148" s="251"/>
      <c r="K148" s="251"/>
      <c r="L148" s="241"/>
    </row>
    <row r="149" spans="1:12">
      <c r="A149" s="2"/>
      <c r="B149" s="548" t="s">
        <v>1686</v>
      </c>
      <c r="C149" s="251"/>
      <c r="D149" s="251"/>
      <c r="E149" s="251"/>
      <c r="F149" s="251"/>
      <c r="G149" s="251"/>
      <c r="H149" s="251"/>
      <c r="I149" s="251"/>
      <c r="J149" s="251"/>
      <c r="K149" s="251"/>
      <c r="L149" s="241"/>
    </row>
    <row r="150" spans="1:12">
      <c r="A150" s="2"/>
      <c r="B150" s="159" t="str">
        <f>"a Partial Year True Up, use the Partial Year TRR Attribution Allocation Factors on Lines "&amp;A85&amp;" to "&amp;A96&amp;" for each month of Partial Year True Up  ."</f>
        <v>a Partial Year True Up, use the Partial Year TRR Attribution Allocation Factors on Lines 72 to 83 for each month of Partial Year True Up  .</v>
      </c>
      <c r="C150" s="251"/>
      <c r="D150" s="251"/>
      <c r="E150" s="251"/>
      <c r="F150" s="251"/>
      <c r="G150" s="251"/>
      <c r="H150" s="251"/>
      <c r="I150" s="251"/>
      <c r="J150" s="251"/>
      <c r="K150" s="251"/>
      <c r="L150" s="241"/>
    </row>
    <row r="151" spans="1:12">
      <c r="A151" s="552"/>
      <c r="B151" s="159" t="str">
        <f>"Only enter in the Prior Year, Lines "&amp;A24&amp;" to "&amp;A35&amp;", or portion of year formula was in effect in case of Partial Year True Up."</f>
        <v>Only enter in the Prior Year, Lines 11 to 22, or portion of year formula was in effect in case of Partial Year True Up.</v>
      </c>
      <c r="C151" s="251"/>
      <c r="D151" s="251"/>
      <c r="E151" s="251"/>
      <c r="F151" s="251"/>
      <c r="G151" s="251"/>
      <c r="H151" s="251"/>
      <c r="I151" s="251"/>
      <c r="J151" s="251"/>
      <c r="K151" s="251"/>
      <c r="L151" s="241"/>
    </row>
    <row r="152" spans="1:12">
      <c r="A152" s="645"/>
      <c r="B152" s="662" t="s">
        <v>2193</v>
      </c>
      <c r="C152" s="251"/>
      <c r="D152" s="251"/>
      <c r="E152" s="251"/>
      <c r="F152" s="251"/>
      <c r="G152" s="251"/>
      <c r="H152" s="251"/>
      <c r="I152" s="251"/>
      <c r="J152" s="251"/>
      <c r="K152" s="251"/>
      <c r="L152" s="241"/>
    </row>
    <row r="153" spans="1:12">
      <c r="A153" s="2"/>
      <c r="B153" s="154" t="s">
        <v>1175</v>
      </c>
      <c r="C153" s="251"/>
      <c r="D153" s="251"/>
      <c r="E153" s="251"/>
      <c r="F153" s="251"/>
      <c r="G153" s="251"/>
      <c r="H153" s="251"/>
      <c r="I153" s="251"/>
      <c r="J153" s="251"/>
      <c r="K153" s="251"/>
      <c r="L153" s="241"/>
    </row>
    <row r="154" spans="1:12">
      <c r="A154" s="2"/>
      <c r="B154" s="159" t="str">
        <f>"as shown on Lines "&amp;A108&amp;" to"&amp;A119&amp;", Column 1."</f>
        <v>as shown on Lines 95 to106, Column 1.</v>
      </c>
      <c r="C154" s="251"/>
      <c r="D154" s="251"/>
      <c r="E154" s="251"/>
      <c r="F154" s="251"/>
      <c r="G154" s="251"/>
      <c r="H154" s="251"/>
      <c r="I154" s="251"/>
      <c r="J154" s="251"/>
      <c r="K154" s="251"/>
      <c r="L154" s="241"/>
    </row>
    <row r="155" spans="1:12">
      <c r="A155" s="2"/>
      <c r="B155" s="154" t="s">
        <v>1176</v>
      </c>
      <c r="C155" s="251"/>
      <c r="D155" s="251"/>
      <c r="E155" s="251"/>
      <c r="F155" s="251"/>
      <c r="G155" s="251"/>
      <c r="H155" s="251"/>
      <c r="I155" s="251"/>
      <c r="J155" s="251"/>
      <c r="K155" s="251"/>
      <c r="L155" s="241"/>
    </row>
    <row r="156" spans="1:12">
      <c r="A156" s="2"/>
      <c r="B156" s="662" t="s">
        <v>2586</v>
      </c>
      <c r="C156" s="251"/>
      <c r="D156" s="251"/>
      <c r="E156" s="251"/>
      <c r="F156" s="251"/>
      <c r="G156" s="251"/>
      <c r="H156" s="251"/>
      <c r="I156" s="251"/>
      <c r="J156" s="251"/>
      <c r="K156" s="251"/>
      <c r="L156" s="241"/>
    </row>
    <row r="157" spans="1:12">
      <c r="A157" s="2"/>
      <c r="B157" s="662" t="s">
        <v>2587</v>
      </c>
      <c r="C157" s="251"/>
      <c r="D157" s="251"/>
      <c r="E157" s="251"/>
      <c r="F157" s="251"/>
      <c r="G157" s="251"/>
      <c r="H157" s="251"/>
      <c r="I157" s="251"/>
      <c r="J157" s="251"/>
      <c r="K157" s="251"/>
      <c r="L157" s="241"/>
    </row>
    <row r="158" spans="1:12">
      <c r="A158" s="645"/>
      <c r="B158" s="662" t="s">
        <v>2694</v>
      </c>
      <c r="C158" s="251"/>
      <c r="D158" s="251"/>
      <c r="E158" s="251"/>
      <c r="F158" s="251"/>
      <c r="G158" s="251"/>
      <c r="H158" s="251"/>
      <c r="I158" s="251"/>
      <c r="J158" s="251"/>
      <c r="K158" s="251"/>
      <c r="L158" s="241"/>
    </row>
    <row r="159" spans="1:12">
      <c r="A159" s="645"/>
      <c r="B159" s="662" t="s">
        <v>2695</v>
      </c>
      <c r="C159" s="251"/>
      <c r="D159" s="251"/>
      <c r="E159" s="251"/>
      <c r="F159" s="251"/>
      <c r="G159" s="251"/>
      <c r="H159" s="251"/>
      <c r="I159" s="251"/>
      <c r="J159" s="251"/>
      <c r="K159" s="251"/>
      <c r="L159" s="251"/>
    </row>
    <row r="160" spans="1:12">
      <c r="A160" s="2"/>
      <c r="B160" s="662" t="s">
        <v>2824</v>
      </c>
      <c r="C160" s="251"/>
      <c r="D160" s="251"/>
      <c r="E160" s="251"/>
      <c r="F160" s="251"/>
      <c r="G160" s="251"/>
      <c r="H160" s="251"/>
      <c r="I160" s="251"/>
      <c r="J160" s="251"/>
      <c r="K160" s="251"/>
      <c r="L160" s="251"/>
    </row>
    <row r="161" spans="1:12">
      <c r="A161" s="2"/>
      <c r="B161" s="548" t="s">
        <v>1833</v>
      </c>
      <c r="C161" s="251"/>
      <c r="D161" s="251"/>
      <c r="E161" s="251"/>
      <c r="F161" s="251"/>
      <c r="G161" s="251"/>
      <c r="H161" s="251"/>
      <c r="I161" s="251"/>
      <c r="J161" s="251"/>
      <c r="K161" s="251"/>
      <c r="L161" s="241"/>
    </row>
    <row r="162" spans="1:12">
      <c r="A162" s="2"/>
      <c r="B162" s="46" t="s">
        <v>1177</v>
      </c>
      <c r="C162" s="251"/>
      <c r="D162" s="251"/>
      <c r="E162" s="251"/>
      <c r="F162" s="251"/>
      <c r="G162" s="251"/>
      <c r="H162" s="251"/>
      <c r="I162" s="251"/>
      <c r="J162" s="251"/>
      <c r="K162" s="251"/>
      <c r="L162" s="241"/>
    </row>
    <row r="163" spans="1:12">
      <c r="A163" s="2"/>
      <c r="B163" s="388" t="s">
        <v>1178</v>
      </c>
      <c r="C163" s="251"/>
      <c r="D163" s="251"/>
      <c r="E163" s="251"/>
      <c r="F163" s="251"/>
      <c r="G163" s="251"/>
      <c r="H163" s="251"/>
      <c r="I163" s="251"/>
      <c r="J163" s="251"/>
      <c r="K163" s="251"/>
      <c r="L163" s="241"/>
    </row>
    <row r="164" spans="1:12">
      <c r="A164" s="2"/>
      <c r="B164" s="46" t="s">
        <v>1179</v>
      </c>
      <c r="C164" s="251"/>
      <c r="D164" s="251"/>
      <c r="E164" s="251"/>
      <c r="F164" s="251"/>
      <c r="G164" s="251"/>
      <c r="H164" s="251"/>
      <c r="I164" s="251"/>
      <c r="J164" s="251"/>
      <c r="K164" s="251"/>
      <c r="L164" s="241"/>
    </row>
    <row r="165" spans="1:12">
      <c r="A165" s="2"/>
      <c r="B165" s="1027" t="s">
        <v>1180</v>
      </c>
      <c r="C165" s="251"/>
      <c r="D165" s="251"/>
      <c r="E165" s="251"/>
      <c r="F165" s="251"/>
      <c r="G165" s="251"/>
      <c r="H165" s="251"/>
      <c r="I165" s="251"/>
      <c r="J165" s="251"/>
      <c r="K165" s="251"/>
      <c r="L165" s="241"/>
    </row>
    <row r="166" spans="1:12">
      <c r="A166" s="2"/>
      <c r="B166" s="521" t="s">
        <v>2588</v>
      </c>
      <c r="C166" s="251"/>
      <c r="D166" s="251"/>
      <c r="E166" s="251"/>
      <c r="F166" s="251"/>
      <c r="G166" s="251"/>
      <c r="H166" s="251"/>
      <c r="I166" s="251"/>
      <c r="J166" s="251"/>
      <c r="K166" s="251"/>
      <c r="L166" s="241"/>
    </row>
    <row r="167" spans="1:12">
      <c r="A167" s="2"/>
      <c r="B167" s="1028" t="s">
        <v>2589</v>
      </c>
      <c r="C167" s="251"/>
      <c r="D167" s="251"/>
      <c r="E167" s="251"/>
      <c r="F167" s="251"/>
      <c r="G167" s="251"/>
      <c r="H167" s="251"/>
      <c r="I167" s="251"/>
      <c r="J167" s="251"/>
      <c r="K167" s="251"/>
      <c r="L167" s="241"/>
    </row>
    <row r="168" spans="1:12">
      <c r="A168" s="2"/>
      <c r="B168" s="503" t="s">
        <v>2590</v>
      </c>
      <c r="C168" s="251"/>
      <c r="D168" s="251"/>
      <c r="E168" s="251"/>
      <c r="F168" s="251"/>
      <c r="G168" s="251"/>
      <c r="H168" s="251"/>
      <c r="I168" s="251"/>
      <c r="J168" s="251"/>
      <c r="K168" s="251"/>
      <c r="L168" s="241"/>
    </row>
    <row r="169" spans="1:12">
      <c r="A169" s="241"/>
      <c r="B169" s="503" t="s">
        <v>1733</v>
      </c>
      <c r="C169" s="251"/>
      <c r="D169" s="251"/>
      <c r="E169" s="251"/>
      <c r="F169" s="251"/>
      <c r="G169" s="251"/>
      <c r="H169" s="251"/>
      <c r="I169" s="251"/>
      <c r="J169" s="251"/>
      <c r="K169" s="251"/>
      <c r="L169" s="241"/>
    </row>
    <row r="170" spans="1:12">
      <c r="A170" s="241"/>
      <c r="B170" s="46" t="s">
        <v>1411</v>
      </c>
      <c r="C170" s="251"/>
      <c r="D170" s="251"/>
      <c r="E170" s="251"/>
      <c r="F170" s="251"/>
      <c r="G170" s="251"/>
      <c r="H170" s="251"/>
      <c r="I170" s="251"/>
      <c r="J170" s="251"/>
      <c r="K170" s="251"/>
      <c r="L170" s="241"/>
    </row>
    <row r="171" spans="1:12">
      <c r="A171" s="241"/>
      <c r="B171" s="46" t="s">
        <v>1409</v>
      </c>
      <c r="C171" s="251"/>
      <c r="D171" s="251"/>
      <c r="E171" s="251"/>
      <c r="F171" s="251"/>
      <c r="G171" s="251"/>
      <c r="H171" s="251"/>
      <c r="I171" s="251"/>
      <c r="J171" s="251"/>
      <c r="K171" s="251"/>
      <c r="L171" s="241"/>
    </row>
    <row r="172" spans="1:12">
      <c r="A172" s="241"/>
      <c r="B172" s="388" t="s">
        <v>586</v>
      </c>
      <c r="C172" s="251"/>
      <c r="D172" s="251"/>
      <c r="E172" s="251"/>
      <c r="F172" s="251"/>
      <c r="G172" s="251"/>
      <c r="H172" s="251"/>
      <c r="I172" s="251"/>
      <c r="J172" s="251"/>
      <c r="K172" s="251"/>
      <c r="L172" s="241"/>
    </row>
    <row r="173" spans="1:12">
      <c r="A173" s="241"/>
      <c r="B173" s="1022" t="s">
        <v>2270</v>
      </c>
      <c r="C173" s="251"/>
      <c r="D173" s="251"/>
      <c r="E173" s="251"/>
      <c r="F173" s="251"/>
      <c r="G173" s="251"/>
      <c r="H173" s="251"/>
      <c r="I173" s="251"/>
      <c r="J173" s="251"/>
      <c r="K173" s="251"/>
      <c r="L173" s="241"/>
    </row>
    <row r="174" spans="1:12">
      <c r="A174" s="241"/>
      <c r="B174" s="1022" t="s">
        <v>2271</v>
      </c>
      <c r="C174" s="251"/>
      <c r="D174" s="251"/>
      <c r="E174" s="251"/>
      <c r="F174" s="251"/>
      <c r="G174" s="251"/>
      <c r="H174" s="251"/>
      <c r="I174" s="251"/>
      <c r="J174" s="251"/>
      <c r="K174" s="251"/>
      <c r="L174" s="241"/>
    </row>
    <row r="175" spans="1:12">
      <c r="A175" s="241"/>
      <c r="B175" s="46" t="s">
        <v>1410</v>
      </c>
      <c r="C175" s="251"/>
      <c r="D175" s="251"/>
      <c r="E175" s="251"/>
      <c r="F175" s="251"/>
      <c r="G175" s="251"/>
      <c r="H175" s="251"/>
      <c r="I175" s="251"/>
      <c r="J175" s="251"/>
      <c r="K175" s="251"/>
      <c r="L175" s="241"/>
    </row>
    <row r="176" spans="1:12">
      <c r="A176" s="241"/>
      <c r="B176" s="1022" t="s">
        <v>2527</v>
      </c>
      <c r="C176" s="251"/>
      <c r="D176" s="251"/>
      <c r="E176" s="251"/>
      <c r="F176" s="251"/>
      <c r="G176" s="251"/>
      <c r="H176" s="251"/>
      <c r="I176" s="251"/>
      <c r="J176" s="251"/>
      <c r="K176" s="251"/>
      <c r="L176" s="241"/>
    </row>
    <row r="177" spans="1:12">
      <c r="A177" s="241"/>
      <c r="B177" s="1022" t="s">
        <v>2526</v>
      </c>
      <c r="C177" s="251"/>
      <c r="D177" s="251"/>
      <c r="E177" s="251"/>
      <c r="F177" s="251"/>
      <c r="G177" s="251"/>
      <c r="H177" s="251"/>
      <c r="I177" s="251"/>
      <c r="J177" s="251"/>
      <c r="K177" s="251"/>
      <c r="L177" s="241"/>
    </row>
    <row r="178" spans="1:12">
      <c r="A178" s="241"/>
      <c r="B178" s="1022" t="s">
        <v>2525</v>
      </c>
      <c r="C178" s="251"/>
      <c r="D178" s="251"/>
      <c r="E178" s="251"/>
      <c r="F178" s="251"/>
      <c r="G178" s="251"/>
      <c r="H178" s="251"/>
      <c r="I178" s="251"/>
      <c r="J178" s="251"/>
      <c r="K178" s="251"/>
      <c r="L178" s="241"/>
    </row>
    <row r="179" spans="1:12">
      <c r="A179" s="241"/>
      <c r="B179" s="388" t="s">
        <v>1059</v>
      </c>
      <c r="C179" s="251"/>
      <c r="D179" s="251"/>
      <c r="E179" s="251"/>
      <c r="F179" s="251"/>
      <c r="G179" s="251"/>
      <c r="H179" s="251"/>
      <c r="I179" s="251"/>
      <c r="J179" s="251"/>
      <c r="K179" s="251"/>
      <c r="L179" s="241"/>
    </row>
    <row r="180" spans="1:12">
      <c r="A180" s="241"/>
      <c r="C180" s="241"/>
      <c r="D180" s="241"/>
      <c r="E180" s="241"/>
      <c r="F180" s="241"/>
      <c r="G180" s="241"/>
      <c r="H180" s="241"/>
      <c r="I180" s="241"/>
      <c r="J180" s="241"/>
      <c r="K180" s="241"/>
      <c r="L180" s="241"/>
    </row>
    <row r="181" spans="1:12">
      <c r="A181" s="241"/>
      <c r="B181" s="241"/>
      <c r="C181" s="241"/>
      <c r="D181" s="241"/>
      <c r="E181" s="241"/>
      <c r="F181" s="241"/>
      <c r="G181" s="241"/>
      <c r="H181" s="241"/>
      <c r="I181" s="241"/>
      <c r="J181" s="241"/>
      <c r="K181" s="241"/>
      <c r="L181" s="241"/>
    </row>
    <row r="182" spans="1:12">
      <c r="A182" s="241"/>
      <c r="B182" s="241"/>
      <c r="C182" s="241"/>
      <c r="D182" s="241"/>
      <c r="E182" s="241"/>
      <c r="F182" s="241"/>
      <c r="G182" s="241"/>
      <c r="H182" s="241"/>
      <c r="I182" s="241"/>
      <c r="J182" s="241"/>
      <c r="K182" s="241"/>
      <c r="L182" s="241"/>
    </row>
    <row r="183" spans="1:12">
      <c r="A183" s="241"/>
      <c r="B183" s="241"/>
      <c r="C183" s="241"/>
      <c r="D183" s="241"/>
      <c r="E183" s="241"/>
      <c r="F183" s="241"/>
      <c r="G183" s="241"/>
      <c r="H183" s="241"/>
      <c r="I183" s="241"/>
      <c r="J183" s="241"/>
      <c r="K183" s="241"/>
      <c r="L183" s="241"/>
    </row>
    <row r="184" spans="1:12">
      <c r="A184" s="241"/>
      <c r="B184" s="241"/>
      <c r="C184" s="241"/>
      <c r="D184" s="241"/>
      <c r="E184" s="241"/>
      <c r="F184" s="241"/>
      <c r="G184" s="241"/>
      <c r="H184" s="241"/>
      <c r="I184" s="241"/>
      <c r="J184" s="241"/>
      <c r="K184" s="241"/>
      <c r="L184" s="241"/>
    </row>
    <row r="185" spans="1:12">
      <c r="A185" s="241"/>
      <c r="B185" s="241"/>
      <c r="C185" s="241"/>
      <c r="D185" s="241"/>
      <c r="E185" s="241"/>
      <c r="F185" s="241"/>
      <c r="G185" s="241"/>
      <c r="H185" s="241"/>
      <c r="I185" s="241"/>
      <c r="J185" s="241"/>
      <c r="K185" s="241"/>
      <c r="L185" s="241"/>
    </row>
    <row r="186" spans="1:12">
      <c r="A186" s="241"/>
      <c r="B186" s="241"/>
      <c r="C186" s="241"/>
      <c r="D186" s="241"/>
      <c r="E186" s="241"/>
      <c r="F186" s="241"/>
      <c r="G186" s="241"/>
      <c r="H186" s="241"/>
      <c r="I186" s="241"/>
      <c r="J186" s="241"/>
      <c r="K186" s="241"/>
      <c r="L186" s="241"/>
    </row>
    <row r="187" spans="1:12">
      <c r="A187" s="241"/>
      <c r="B187" s="241"/>
      <c r="C187" s="241"/>
      <c r="D187" s="241"/>
      <c r="E187" s="241"/>
      <c r="F187" s="241"/>
      <c r="G187" s="241"/>
      <c r="H187" s="241"/>
      <c r="I187" s="241"/>
      <c r="J187" s="241"/>
      <c r="K187" s="241"/>
      <c r="L187" s="241"/>
    </row>
    <row r="188" spans="1:12">
      <c r="A188" s="241"/>
      <c r="B188" s="241"/>
      <c r="C188" s="241"/>
      <c r="D188" s="241"/>
      <c r="E188" s="241"/>
      <c r="F188" s="241"/>
      <c r="G188" s="241"/>
      <c r="H188" s="241"/>
      <c r="I188" s="241"/>
      <c r="J188" s="241"/>
      <c r="K188" s="241"/>
      <c r="L188" s="241"/>
    </row>
    <row r="189" spans="1:12">
      <c r="A189" s="241"/>
      <c r="B189" s="241"/>
      <c r="C189" s="241"/>
      <c r="D189" s="241"/>
      <c r="E189" s="241"/>
      <c r="F189" s="241"/>
      <c r="G189" s="241"/>
      <c r="H189" s="241"/>
      <c r="I189" s="241"/>
      <c r="J189" s="241"/>
      <c r="K189" s="241"/>
      <c r="L189" s="241"/>
    </row>
    <row r="190" spans="1:12">
      <c r="A190" s="241"/>
      <c r="B190" s="241"/>
      <c r="C190" s="241"/>
      <c r="D190" s="241"/>
      <c r="E190" s="241"/>
      <c r="F190" s="241"/>
      <c r="G190" s="241"/>
      <c r="H190" s="241"/>
      <c r="I190" s="241"/>
      <c r="J190" s="241"/>
      <c r="K190" s="241"/>
      <c r="L190" s="241"/>
    </row>
    <row r="191" spans="1:12">
      <c r="A191" s="241"/>
      <c r="B191" s="241"/>
      <c r="C191" s="241"/>
      <c r="D191" s="241"/>
      <c r="E191" s="241"/>
      <c r="F191" s="241"/>
      <c r="G191" s="241"/>
      <c r="H191" s="241"/>
      <c r="I191" s="241"/>
      <c r="J191" s="241"/>
      <c r="K191" s="241"/>
      <c r="L191" s="241"/>
    </row>
    <row r="192" spans="1:12">
      <c r="A192" s="241"/>
      <c r="B192" s="241"/>
      <c r="C192" s="241"/>
      <c r="D192" s="241"/>
      <c r="E192" s="241"/>
      <c r="F192" s="241"/>
      <c r="G192" s="241"/>
      <c r="H192" s="241"/>
      <c r="I192" s="241"/>
      <c r="J192" s="241"/>
      <c r="K192" s="241"/>
      <c r="L192" s="241"/>
    </row>
    <row r="193" spans="1:12">
      <c r="A193" s="241"/>
      <c r="B193" s="241"/>
      <c r="C193" s="241"/>
      <c r="D193" s="241"/>
      <c r="E193" s="241"/>
      <c r="F193" s="241"/>
      <c r="G193" s="241"/>
      <c r="H193" s="241"/>
      <c r="I193" s="241"/>
      <c r="J193" s="241"/>
      <c r="K193" s="241"/>
      <c r="L193" s="241"/>
    </row>
    <row r="194" spans="1:12">
      <c r="A194" s="241"/>
      <c r="B194" s="241"/>
      <c r="C194" s="241"/>
      <c r="D194" s="241"/>
      <c r="E194" s="241"/>
      <c r="F194" s="241"/>
      <c r="G194" s="241"/>
      <c r="H194" s="241"/>
      <c r="I194" s="241"/>
      <c r="J194" s="241"/>
      <c r="K194" s="241"/>
      <c r="L194" s="241"/>
    </row>
    <row r="195" spans="1:12">
      <c r="A195" s="241"/>
      <c r="B195" s="241"/>
      <c r="C195" s="241"/>
      <c r="D195" s="241"/>
      <c r="E195" s="241"/>
      <c r="F195" s="241"/>
      <c r="G195" s="241"/>
      <c r="H195" s="241"/>
      <c r="I195" s="241"/>
      <c r="J195" s="241"/>
      <c r="K195" s="241"/>
      <c r="L195" s="241"/>
    </row>
    <row r="196" spans="1:12">
      <c r="A196" s="241"/>
      <c r="B196" s="241"/>
      <c r="C196" s="241"/>
      <c r="D196" s="241"/>
      <c r="E196" s="241"/>
      <c r="F196" s="241"/>
      <c r="G196" s="241"/>
      <c r="H196" s="241"/>
      <c r="I196" s="241"/>
      <c r="J196" s="241"/>
      <c r="K196" s="241"/>
      <c r="L196" s="241"/>
    </row>
    <row r="197" spans="1:12">
      <c r="A197" s="241"/>
      <c r="B197" s="241"/>
      <c r="C197" s="241"/>
      <c r="D197" s="241"/>
      <c r="E197" s="241"/>
      <c r="F197" s="241"/>
      <c r="G197" s="241"/>
      <c r="H197" s="241"/>
      <c r="I197" s="241"/>
      <c r="J197" s="241"/>
      <c r="K197" s="241"/>
      <c r="L197" s="241"/>
    </row>
    <row r="198" spans="1:12">
      <c r="A198" s="241"/>
      <c r="B198" s="241"/>
      <c r="C198" s="241"/>
      <c r="D198" s="241"/>
      <c r="E198" s="241"/>
      <c r="F198" s="241"/>
      <c r="G198" s="241"/>
      <c r="H198" s="241"/>
      <c r="I198" s="241"/>
      <c r="J198" s="241"/>
      <c r="K198" s="241"/>
      <c r="L198" s="241"/>
    </row>
    <row r="199" spans="1:12">
      <c r="A199" s="241"/>
      <c r="B199" s="241"/>
      <c r="C199" s="241"/>
      <c r="D199" s="241"/>
      <c r="E199" s="241"/>
      <c r="F199" s="241"/>
      <c r="G199" s="241"/>
      <c r="H199" s="241"/>
      <c r="I199" s="241"/>
      <c r="J199" s="241"/>
      <c r="K199" s="241"/>
      <c r="L199" s="241"/>
    </row>
    <row r="200" spans="1:12">
      <c r="A200" s="241"/>
      <c r="B200" s="241"/>
      <c r="C200" s="241"/>
      <c r="D200" s="241"/>
      <c r="E200" s="241"/>
      <c r="F200" s="241"/>
      <c r="G200" s="241"/>
      <c r="H200" s="241"/>
      <c r="I200" s="241"/>
      <c r="J200" s="241"/>
      <c r="K200" s="241"/>
      <c r="L200" s="241"/>
    </row>
    <row r="201" spans="1:12">
      <c r="A201" s="241"/>
      <c r="B201" s="241"/>
      <c r="C201" s="241"/>
      <c r="D201" s="241"/>
      <c r="E201" s="241"/>
      <c r="F201" s="241"/>
      <c r="G201" s="241"/>
      <c r="H201" s="241"/>
      <c r="I201" s="241"/>
      <c r="J201" s="241"/>
      <c r="K201" s="241"/>
      <c r="L201" s="241"/>
    </row>
    <row r="202" spans="1:12">
      <c r="A202" s="241"/>
      <c r="B202" s="241"/>
      <c r="C202" s="241"/>
      <c r="D202" s="241"/>
      <c r="E202" s="241"/>
      <c r="F202" s="241"/>
      <c r="G202" s="241"/>
      <c r="H202" s="241"/>
      <c r="I202" s="241"/>
      <c r="J202" s="241"/>
      <c r="K202" s="241"/>
      <c r="L202" s="241"/>
    </row>
    <row r="203" spans="1:12">
      <c r="A203" s="241"/>
      <c r="B203" s="241"/>
      <c r="C203" s="241"/>
      <c r="D203" s="241"/>
      <c r="E203" s="241"/>
      <c r="F203" s="241"/>
      <c r="G203" s="241"/>
      <c r="H203" s="241"/>
      <c r="I203" s="241"/>
      <c r="J203" s="241"/>
      <c r="K203" s="241"/>
      <c r="L203" s="241"/>
    </row>
    <row r="204" spans="1:12">
      <c r="A204" s="241"/>
      <c r="B204" s="241"/>
      <c r="C204" s="241"/>
      <c r="D204" s="241"/>
      <c r="E204" s="241"/>
      <c r="F204" s="241"/>
      <c r="G204" s="241"/>
      <c r="H204" s="241"/>
      <c r="I204" s="241"/>
      <c r="J204" s="241"/>
      <c r="K204" s="241"/>
      <c r="L204" s="241"/>
    </row>
  </sheetData>
  <dataConsolidate/>
  <pageMargins left="0.7" right="0.7" top="0.75" bottom="0.75" header="0.3" footer="0.3"/>
  <pageSetup scale="72" orientation="landscape" cellComments="asDisplayed" r:id="rId1"/>
  <headerFooter>
    <oddHeader>&amp;CSchedule 3
True Up Adjustment
&amp;RTO11 Draft Annual Update
Attachment 1</oddHeader>
    <oddFooter>&amp;R3-TrueUpAdjust</oddFooter>
  </headerFooter>
  <rowBreaks count="3" manualBreakCount="3">
    <brk id="48" max="16383" man="1"/>
    <brk id="81" max="16383" man="1"/>
    <brk id="12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zoomScaleNormal="100" workbookViewId="0"/>
  </sheetViews>
  <sheetFormatPr defaultRowHeight="12.75"/>
  <cols>
    <col min="1" max="2" width="4.7109375" customWidth="1"/>
    <col min="3" max="3" width="18.7109375" customWidth="1"/>
    <col min="4" max="4" width="10.28515625" bestFit="1" customWidth="1"/>
    <col min="5" max="7" width="15.7109375" customWidth="1"/>
    <col min="8" max="8" width="24.7109375" customWidth="1"/>
    <col min="9" max="9" width="4.5703125" customWidth="1"/>
    <col min="10" max="10" width="15.7109375" customWidth="1"/>
  </cols>
  <sheetData>
    <row r="1" spans="1:10">
      <c r="A1" s="1" t="s">
        <v>1922</v>
      </c>
    </row>
    <row r="2" spans="1:10">
      <c r="H2" s="14"/>
    </row>
    <row r="3" spans="1:10">
      <c r="B3" s="90" t="s">
        <v>1678</v>
      </c>
    </row>
    <row r="4" spans="1:10">
      <c r="B4" s="75"/>
      <c r="F4" s="2" t="s">
        <v>171</v>
      </c>
      <c r="G4" s="2"/>
      <c r="H4" s="2" t="s">
        <v>188</v>
      </c>
    </row>
    <row r="5" spans="1:10">
      <c r="A5" s="54" t="s">
        <v>350</v>
      </c>
      <c r="B5" s="16"/>
      <c r="C5" s="52" t="s">
        <v>169</v>
      </c>
      <c r="F5" s="3" t="s">
        <v>170</v>
      </c>
      <c r="G5" s="3" t="s">
        <v>187</v>
      </c>
      <c r="H5" s="3" t="s">
        <v>189</v>
      </c>
      <c r="J5" s="3" t="s">
        <v>194</v>
      </c>
    </row>
    <row r="6" spans="1:10">
      <c r="A6" s="117">
        <v>1</v>
      </c>
      <c r="B6" s="14"/>
      <c r="C6" s="116" t="s">
        <v>1146</v>
      </c>
      <c r="D6" s="14"/>
      <c r="E6" s="14"/>
      <c r="F6" s="14" t="s">
        <v>10</v>
      </c>
      <c r="G6" s="14"/>
      <c r="H6" s="116" t="str">
        <f>"6-PlantInService, Line "&amp;'6-PlantInService'!A42&amp;""</f>
        <v>6-PlantInService, Line 18</v>
      </c>
      <c r="I6" s="14"/>
      <c r="J6" s="64">
        <f>'6-PlantInService'!D42</f>
        <v>7336413006.7818251</v>
      </c>
    </row>
    <row r="7" spans="1:10">
      <c r="A7" s="117">
        <f>A6+1</f>
        <v>2</v>
      </c>
      <c r="B7" s="14"/>
      <c r="C7" s="116" t="s">
        <v>1335</v>
      </c>
      <c r="D7" s="14"/>
      <c r="E7" s="14"/>
      <c r="F7" s="14" t="s">
        <v>172</v>
      </c>
      <c r="G7" s="14"/>
      <c r="H7" s="116" t="str">
        <f>"6-PlantInService, Line "&amp;'6-PlantInService'!A58&amp;""</f>
        <v>6-PlantInService, Line 24</v>
      </c>
      <c r="I7" s="14"/>
      <c r="J7" s="64">
        <f>'6-PlantInService'!F58</f>
        <v>271002344.01599061</v>
      </c>
    </row>
    <row r="8" spans="1:10">
      <c r="A8" s="117">
        <f>A7+1</f>
        <v>3</v>
      </c>
      <c r="B8" s="14"/>
      <c r="C8" s="116" t="s">
        <v>174</v>
      </c>
      <c r="D8" s="14"/>
      <c r="E8" s="14"/>
      <c r="F8" s="14" t="s">
        <v>172</v>
      </c>
      <c r="G8" s="14"/>
      <c r="H8" s="14" t="str">
        <f>"11-PHFU, Line "&amp;'11-PHFU'!A41&amp;""</f>
        <v>11-PHFU, Line 9</v>
      </c>
      <c r="I8" s="14"/>
      <c r="J8" s="64">
        <f>'11-PHFU'!D41</f>
        <v>9942155</v>
      </c>
    </row>
    <row r="9" spans="1:10">
      <c r="A9" s="117">
        <f>A8+1</f>
        <v>4</v>
      </c>
      <c r="B9" s="14"/>
      <c r="C9" s="116" t="s">
        <v>343</v>
      </c>
      <c r="D9" s="14"/>
      <c r="E9" s="14"/>
      <c r="F9" s="14" t="s">
        <v>172</v>
      </c>
      <c r="G9" s="14"/>
      <c r="H9" s="15" t="str">
        <f>"12-AbandonedPlant Line "&amp;'12-AbandonedPlant'!A21&amp;""</f>
        <v>12-AbandonedPlant Line 4</v>
      </c>
      <c r="I9" s="14"/>
      <c r="J9" s="64">
        <f>'12-AbandonedPlant'!G21</f>
        <v>0</v>
      </c>
    </row>
    <row r="10" spans="1:10">
      <c r="A10" s="117"/>
      <c r="B10" s="14"/>
      <c r="C10" s="116"/>
      <c r="D10" s="14"/>
      <c r="E10" s="14"/>
      <c r="F10" s="14"/>
      <c r="G10" s="14"/>
      <c r="H10" s="14"/>
      <c r="I10" s="14"/>
      <c r="J10" s="64"/>
    </row>
    <row r="11" spans="1:10">
      <c r="A11" s="117"/>
      <c r="B11" s="14"/>
      <c r="C11" s="45" t="s">
        <v>305</v>
      </c>
      <c r="D11" s="14"/>
      <c r="E11" s="14"/>
      <c r="F11" s="14"/>
      <c r="G11" s="14"/>
      <c r="H11" s="14"/>
      <c r="I11" s="14"/>
      <c r="J11" s="64"/>
    </row>
    <row r="12" spans="1:10">
      <c r="A12" s="117">
        <f>A9+1</f>
        <v>5</v>
      </c>
      <c r="B12" s="14"/>
      <c r="C12" s="46" t="s">
        <v>102</v>
      </c>
      <c r="D12" s="14"/>
      <c r="E12" s="14"/>
      <c r="F12" s="14" t="s">
        <v>10</v>
      </c>
      <c r="G12" s="14"/>
      <c r="H12" s="116" t="str">
        <f>"13-WorkCap, Line "&amp;'13-WorkCap'!A27&amp;""</f>
        <v>13-WorkCap, Line 17</v>
      </c>
      <c r="I12" s="14"/>
      <c r="J12" s="64">
        <f>'13-WorkCap'!F27</f>
        <v>15799394.46928025</v>
      </c>
    </row>
    <row r="13" spans="1:10">
      <c r="A13" s="117">
        <f>A12+1</f>
        <v>6</v>
      </c>
      <c r="B13" s="14"/>
      <c r="C13" s="120" t="s">
        <v>103</v>
      </c>
      <c r="D13" s="14"/>
      <c r="E13" s="14"/>
      <c r="F13" s="14" t="s">
        <v>10</v>
      </c>
      <c r="G13" s="14"/>
      <c r="H13" s="116" t="str">
        <f>"13-WorkCap, Line "&amp;'13-WorkCap'!A51&amp;""</f>
        <v>13-WorkCap, Line 33</v>
      </c>
      <c r="I13" s="14"/>
      <c r="J13" s="64">
        <f>'13-WorkCap'!F51</f>
        <v>5078537.404795289</v>
      </c>
    </row>
    <row r="14" spans="1:10">
      <c r="A14" s="117">
        <f>A13+1</f>
        <v>7</v>
      </c>
      <c r="B14" s="14"/>
      <c r="C14" s="46" t="s">
        <v>191</v>
      </c>
      <c r="D14" s="14"/>
      <c r="E14" s="14"/>
      <c r="F14" s="524" t="s">
        <v>2697</v>
      </c>
      <c r="G14" s="14"/>
      <c r="H14" s="14" t="str">
        <f>"1-Base TRR Line "&amp;'1-BaseTRR'!A17&amp;""</f>
        <v>1-Base TRR Line 7</v>
      </c>
      <c r="I14" s="14"/>
      <c r="J14" s="109">
        <f>'1-BaseTRR'!K17</f>
        <v>8253441.129459911</v>
      </c>
    </row>
    <row r="15" spans="1:10">
      <c r="A15" s="117">
        <f>A14+1</f>
        <v>8</v>
      </c>
      <c r="B15" s="14"/>
      <c r="C15" s="46" t="s">
        <v>101</v>
      </c>
      <c r="D15" s="14"/>
      <c r="E15" s="14"/>
      <c r="F15" s="14"/>
      <c r="G15" s="14"/>
      <c r="H15" s="14" t="str">
        <f>"Line "&amp;A12&amp;" + Line "&amp;A13&amp;" + Line "&amp;A14&amp;""</f>
        <v>Line 5 + Line 6 + Line 7</v>
      </c>
      <c r="I15" s="14"/>
      <c r="J15" s="64">
        <f>SUM(J12:J14)</f>
        <v>29131373.00353545</v>
      </c>
    </row>
    <row r="16" spans="1:10">
      <c r="A16" s="117"/>
      <c r="B16" s="14"/>
      <c r="C16" s="46"/>
      <c r="D16" s="14"/>
      <c r="E16" s="14"/>
      <c r="F16" s="14"/>
      <c r="G16" s="14"/>
      <c r="H16" s="14"/>
      <c r="I16" s="14"/>
      <c r="J16" s="64"/>
    </row>
    <row r="17" spans="1:10">
      <c r="A17" s="117"/>
      <c r="B17" s="14"/>
      <c r="C17" s="1029" t="s">
        <v>306</v>
      </c>
      <c r="D17" s="14"/>
      <c r="E17" s="14"/>
      <c r="F17" s="14"/>
      <c r="G17" s="14"/>
      <c r="H17" s="14"/>
      <c r="I17" s="14"/>
      <c r="J17" s="64"/>
    </row>
    <row r="18" spans="1:10">
      <c r="A18" s="117">
        <f>A15+1</f>
        <v>9</v>
      </c>
      <c r="B18" s="14"/>
      <c r="C18" s="521" t="s">
        <v>1886</v>
      </c>
      <c r="D18" s="14"/>
      <c r="E18" s="14"/>
      <c r="F18" s="14" t="s">
        <v>10</v>
      </c>
      <c r="G18" s="14" t="s">
        <v>168</v>
      </c>
      <c r="H18" s="116" t="str">
        <f>"8-AccDep, Line "&amp;'8-AccDep'!A25&amp;", Col. 12"</f>
        <v>8-AccDep, Line 14, Col. 12</v>
      </c>
      <c r="I18" s="14"/>
      <c r="J18" s="64">
        <f>-'8-AccDep'!N25</f>
        <v>-1246085089.0388751</v>
      </c>
    </row>
    <row r="19" spans="1:10">
      <c r="A19" s="117">
        <f>A18+1</f>
        <v>10</v>
      </c>
      <c r="B19" s="14"/>
      <c r="C19" s="521" t="s">
        <v>1887</v>
      </c>
      <c r="D19" s="14"/>
      <c r="E19" s="14"/>
      <c r="F19" s="14" t="s">
        <v>172</v>
      </c>
      <c r="G19" s="14" t="s">
        <v>168</v>
      </c>
      <c r="H19" s="116" t="str">
        <f>"8-AccDep, Line "&amp;'8-AccDep'!A35&amp;", Col. 5"</f>
        <v>8-AccDep, Line 17, Col. 5</v>
      </c>
      <c r="I19" s="14"/>
      <c r="J19" s="64">
        <f>-'8-AccDep'!G35</f>
        <v>0</v>
      </c>
    </row>
    <row r="20" spans="1:10">
      <c r="A20" s="117">
        <f>A19+1</f>
        <v>11</v>
      </c>
      <c r="B20" s="14"/>
      <c r="C20" s="46" t="s">
        <v>338</v>
      </c>
      <c r="D20" s="22"/>
      <c r="E20" s="14"/>
      <c r="F20" s="14" t="s">
        <v>172</v>
      </c>
      <c r="G20" s="14" t="s">
        <v>168</v>
      </c>
      <c r="H20" s="116" t="str">
        <f>"8-AccDep, Line "&amp;'8-AccDep'!A53&amp;""</f>
        <v>8-AccDep, Line 23</v>
      </c>
      <c r="I20" s="14"/>
      <c r="J20" s="109">
        <f>-'8-AccDep'!F53</f>
        <v>-117688389.16101715</v>
      </c>
    </row>
    <row r="21" spans="1:10">
      <c r="A21" s="117">
        <f>A20+1</f>
        <v>12</v>
      </c>
      <c r="B21" s="14"/>
      <c r="C21" s="1030" t="s">
        <v>181</v>
      </c>
      <c r="D21" s="22"/>
      <c r="E21" s="14"/>
      <c r="F21" s="14"/>
      <c r="G21" s="14"/>
      <c r="H21" s="14" t="str">
        <f>"Line "&amp;A18&amp;" + Line "&amp;A19&amp;" + Line "&amp;A20&amp;""</f>
        <v>Line 9 + Line 10 + Line 11</v>
      </c>
      <c r="I21" s="14"/>
      <c r="J21" s="64">
        <f>SUM(J18:J20)</f>
        <v>-1363773478.1998923</v>
      </c>
    </row>
    <row r="22" spans="1:10">
      <c r="A22" s="117"/>
      <c r="B22" s="14"/>
      <c r="C22" s="15"/>
      <c r="D22" s="14"/>
      <c r="E22" s="14"/>
      <c r="F22" s="14"/>
      <c r="G22" s="14"/>
      <c r="H22" s="14"/>
      <c r="I22" s="14"/>
      <c r="J22" s="64"/>
    </row>
    <row r="23" spans="1:10">
      <c r="A23" s="117">
        <f>A21+1</f>
        <v>13</v>
      </c>
      <c r="B23" s="14"/>
      <c r="C23" s="1017" t="s">
        <v>182</v>
      </c>
      <c r="D23" s="14"/>
      <c r="E23" s="14"/>
      <c r="F23" s="14" t="s">
        <v>172</v>
      </c>
      <c r="G23" s="14"/>
      <c r="H23" s="116" t="str">
        <f>"9-ADIT, Line "&amp;'9-ADIT'!A24&amp;""</f>
        <v>9-ADIT, Line 15</v>
      </c>
      <c r="I23" s="14"/>
      <c r="J23" s="64">
        <f>'9-ADIT'!D24</f>
        <v>-1289560179.1344638</v>
      </c>
    </row>
    <row r="24" spans="1:10">
      <c r="A24" s="117">
        <f>A23+1</f>
        <v>14</v>
      </c>
      <c r="B24" s="14"/>
      <c r="C24" s="116" t="s">
        <v>266</v>
      </c>
      <c r="D24" s="14"/>
      <c r="E24" s="14"/>
      <c r="F24" s="14" t="s">
        <v>10</v>
      </c>
      <c r="G24" s="14"/>
      <c r="H24" s="116" t="str">
        <f>"14-IncentivePlant, L "&amp;'14-IncentivePlant'!A37&amp;", C2"</f>
        <v>14-IncentivePlant, L 12, C2</v>
      </c>
      <c r="I24" s="14"/>
      <c r="J24" s="64">
        <f>'14-IncentivePlant'!F37</f>
        <v>378577965.22230768</v>
      </c>
    </row>
    <row r="25" spans="1:10">
      <c r="A25" s="117">
        <f>A24+1</f>
        <v>15</v>
      </c>
      <c r="B25" s="14"/>
      <c r="C25" s="1017" t="s">
        <v>64</v>
      </c>
      <c r="D25" s="14"/>
      <c r="E25" s="14"/>
      <c r="F25" s="14" t="s">
        <v>172</v>
      </c>
      <c r="G25" s="14" t="s">
        <v>168</v>
      </c>
      <c r="H25" s="116" t="str">
        <f>"22-NUCs, Line "&amp;'22-NUCs'!A17&amp;""</f>
        <v>22-NUCs, Line 9</v>
      </c>
      <c r="I25" s="14"/>
      <c r="J25" s="64">
        <f>-'22-NUCs'!E17</f>
        <v>-32776306</v>
      </c>
    </row>
    <row r="26" spans="1:10">
      <c r="A26" s="117" t="s">
        <v>902</v>
      </c>
      <c r="B26" s="14"/>
      <c r="C26" s="1018" t="s">
        <v>2415</v>
      </c>
      <c r="D26" s="14"/>
      <c r="E26" s="14"/>
      <c r="F26" s="14"/>
      <c r="G26" s="14"/>
      <c r="H26" s="15" t="str">
        <f>"34-UnfundedReserves, Line "&amp;'34-UnfundedReserves'!A10&amp;""</f>
        <v>34-UnfundedReserves, Line 7</v>
      </c>
      <c r="I26" s="14"/>
      <c r="J26" s="64">
        <f>'34-UnfundedReserves'!K10</f>
        <v>-14932517.085769501</v>
      </c>
    </row>
    <row r="27" spans="1:10">
      <c r="A27" s="117">
        <v>16</v>
      </c>
      <c r="B27" s="14"/>
      <c r="C27" s="1017" t="s">
        <v>398</v>
      </c>
      <c r="D27" s="14"/>
      <c r="E27" s="14"/>
      <c r="F27" s="14" t="s">
        <v>172</v>
      </c>
      <c r="G27" s="14"/>
      <c r="H27" s="116" t="str">
        <f>"23-RegAssets, Line "&amp;'23-RegAssets'!A18&amp;""</f>
        <v>23-RegAssets, Line 15</v>
      </c>
      <c r="I27" s="14"/>
      <c r="J27" s="64">
        <f>'23-RegAssets'!E18</f>
        <v>0</v>
      </c>
    </row>
    <row r="28" spans="1:10">
      <c r="A28" s="117"/>
      <c r="B28" s="14"/>
      <c r="C28" s="1017"/>
      <c r="D28" s="14"/>
      <c r="E28" s="14"/>
      <c r="F28" s="14"/>
      <c r="G28" s="14"/>
      <c r="H28" s="14"/>
      <c r="I28" s="14"/>
      <c r="J28" s="14"/>
    </row>
    <row r="29" spans="1:10">
      <c r="A29" s="117">
        <v>17</v>
      </c>
      <c r="B29" s="14"/>
      <c r="C29" s="14" t="s">
        <v>192</v>
      </c>
      <c r="D29" s="14"/>
      <c r="E29" s="14"/>
      <c r="F29" s="14"/>
      <c r="G29" s="14"/>
      <c r="H29" s="14" t="str">
        <f>"L"&amp;A6&amp;"+L"&amp;A7&amp;"+L"&amp;A8&amp;"+L"&amp;A9&amp;"+L"&amp;A15&amp;"+L"&amp;A21&amp;"+"</f>
        <v>L1+L2+L3+L4+L8+L12+</v>
      </c>
      <c r="I29" s="14"/>
      <c r="J29" s="64">
        <f>J6+ J7+J8+J9+J15+J21+J23+J24+J25+J26+J27</f>
        <v>5324024363.6035328</v>
      </c>
    </row>
    <row r="30" spans="1:10">
      <c r="A30" s="117"/>
      <c r="B30" s="14"/>
      <c r="C30" s="14"/>
      <c r="D30" s="14"/>
      <c r="E30" s="14"/>
      <c r="F30" s="14"/>
      <c r="G30" s="14"/>
      <c r="H30" s="14" t="str">
        <f>"L"&amp;A23&amp;"+L"&amp;A24&amp;"+L"&amp;A25&amp;"+L"&amp;A26&amp;"+L"&amp;A27&amp;""</f>
        <v>L13+L14+L15+L15a+L16</v>
      </c>
      <c r="I30" s="14"/>
      <c r="J30" s="64"/>
    </row>
    <row r="31" spans="1:10">
      <c r="A31" s="117"/>
      <c r="B31" s="44" t="s">
        <v>2720</v>
      </c>
      <c r="D31" s="14"/>
      <c r="E31" s="14"/>
      <c r="F31" s="14"/>
      <c r="G31" s="14"/>
      <c r="H31" s="14"/>
      <c r="I31" s="14"/>
      <c r="J31" s="64"/>
    </row>
    <row r="32" spans="1:10">
      <c r="A32" s="619" t="s">
        <v>350</v>
      </c>
      <c r="B32" s="14"/>
      <c r="C32" s="44"/>
      <c r="D32" s="14"/>
      <c r="E32" s="14"/>
      <c r="F32" s="14"/>
      <c r="G32" s="14"/>
      <c r="H32" s="14"/>
      <c r="I32" s="14"/>
      <c r="J32" s="64"/>
    </row>
    <row r="33" spans="1:10">
      <c r="A33" s="117">
        <f>A29+1</f>
        <v>18</v>
      </c>
      <c r="B33" s="14"/>
      <c r="C33" s="14" t="s">
        <v>62</v>
      </c>
      <c r="D33" s="14"/>
      <c r="E33" s="14"/>
      <c r="F33" s="14"/>
      <c r="G33" s="524" t="s">
        <v>2219</v>
      </c>
      <c r="H33" s="524" t="str">
        <f>"Instruction 1, Line "&amp;B98&amp;""</f>
        <v>Instruction 1, Line j</v>
      </c>
      <c r="I33" s="14"/>
      <c r="J33" s="439">
        <f>E98</f>
        <v>7.21576504115925E-2</v>
      </c>
    </row>
    <row r="34" spans="1:10">
      <c r="A34" s="2">
        <f>A33+1</f>
        <v>19</v>
      </c>
      <c r="C34" s="15" t="s">
        <v>63</v>
      </c>
      <c r="D34" s="15"/>
      <c r="E34" s="15"/>
      <c r="F34" s="15"/>
      <c r="G34" s="15"/>
      <c r="H34" t="str">
        <f>"Line "&amp;A29&amp;" * Line "&amp;A33&amp;""</f>
        <v>Line 17 * Line 18</v>
      </c>
      <c r="J34" s="47">
        <f>J29*J33</f>
        <v>384169088.81170493</v>
      </c>
    </row>
    <row r="35" spans="1:10">
      <c r="A35" s="2"/>
      <c r="B35" s="16"/>
      <c r="J35" s="14"/>
    </row>
    <row r="36" spans="1:10">
      <c r="A36" s="2"/>
      <c r="B36" s="1" t="s">
        <v>2721</v>
      </c>
      <c r="J36" s="14"/>
    </row>
    <row r="37" spans="1:10">
      <c r="A37" s="117"/>
      <c r="B37" s="120"/>
      <c r="C37" s="14"/>
      <c r="D37" s="14"/>
      <c r="E37" s="14"/>
      <c r="F37" s="14"/>
      <c r="G37" s="14"/>
      <c r="H37" s="14"/>
      <c r="I37" s="14"/>
      <c r="J37" s="14"/>
    </row>
    <row r="38" spans="1:10">
      <c r="A38" s="117">
        <f>A34+1</f>
        <v>20</v>
      </c>
      <c r="B38" s="14"/>
      <c r="C38" s="524" t="s">
        <v>2700</v>
      </c>
      <c r="D38" s="14"/>
      <c r="E38" s="14"/>
      <c r="F38" s="14"/>
      <c r="G38" s="14"/>
      <c r="H38" s="14"/>
      <c r="I38" s="14"/>
      <c r="J38" s="64">
        <f>(((J29*J42) + J45) *(J43/(1-J43)))+(J44/(1-J43))</f>
        <v>194448609.82201871</v>
      </c>
    </row>
    <row r="39" spans="1:10">
      <c r="A39" s="117"/>
      <c r="B39" s="14"/>
      <c r="C39" s="14"/>
      <c r="D39" s="14"/>
      <c r="E39" s="14"/>
      <c r="F39" s="14"/>
      <c r="G39" s="14"/>
      <c r="H39" s="14"/>
      <c r="I39" s="14"/>
      <c r="J39" s="15"/>
    </row>
    <row r="40" spans="1:10">
      <c r="A40" s="117"/>
      <c r="B40" s="14"/>
      <c r="C40" s="14"/>
      <c r="D40" s="14" t="s">
        <v>240</v>
      </c>
      <c r="E40" s="14"/>
      <c r="F40" s="14"/>
      <c r="G40" s="14"/>
      <c r="H40" s="14"/>
      <c r="I40" s="14"/>
      <c r="J40" s="14"/>
    </row>
    <row r="41" spans="1:10">
      <c r="A41" s="117">
        <f>A38+1</f>
        <v>21</v>
      </c>
      <c r="B41" s="14"/>
      <c r="C41" s="14"/>
      <c r="D41" s="120" t="s">
        <v>241</v>
      </c>
      <c r="E41" s="14"/>
      <c r="F41" s="14"/>
      <c r="G41" s="14"/>
      <c r="H41" s="14" t="str">
        <f>"Line "&amp;A29&amp;""</f>
        <v>Line 17</v>
      </c>
      <c r="I41" s="14"/>
      <c r="J41" s="64">
        <f>J29</f>
        <v>5324024363.6035328</v>
      </c>
    </row>
    <row r="42" spans="1:10">
      <c r="A42" s="117">
        <f>A41+1</f>
        <v>22</v>
      </c>
      <c r="B42" s="14"/>
      <c r="C42" s="14"/>
      <c r="D42" s="521" t="s">
        <v>1982</v>
      </c>
      <c r="E42" s="14"/>
      <c r="F42" s="14"/>
      <c r="G42" s="524" t="s">
        <v>1946</v>
      </c>
      <c r="H42" s="524" t="str">
        <f>"Instruction 1, Line "&amp;B103&amp;""</f>
        <v>Instruction 1, Line k</v>
      </c>
      <c r="I42" s="14"/>
      <c r="J42" s="71">
        <f>E103</f>
        <v>5.1588576161144532E-2</v>
      </c>
    </row>
    <row r="43" spans="1:10">
      <c r="A43" s="117">
        <f>A42+1</f>
        <v>23</v>
      </c>
      <c r="B43" s="14"/>
      <c r="C43" s="14"/>
      <c r="D43" s="120" t="s">
        <v>242</v>
      </c>
      <c r="E43" s="14"/>
      <c r="F43" s="14"/>
      <c r="G43" s="14"/>
      <c r="H43" s="14" t="str">
        <f>"1-Base TRR L "&amp;'1-BaseTRR'!A102&amp;""</f>
        <v>1-Base TRR L 58</v>
      </c>
      <c r="I43" s="14"/>
      <c r="J43" s="71">
        <f>'1-BaseTRR'!K102</f>
        <v>0.40754725118781476</v>
      </c>
    </row>
    <row r="44" spans="1:10">
      <c r="A44" s="117">
        <f>A43+1</f>
        <v>24</v>
      </c>
      <c r="B44" s="14"/>
      <c r="C44" s="14"/>
      <c r="D44" s="120" t="s">
        <v>243</v>
      </c>
      <c r="E44" s="14"/>
      <c r="F44" s="14"/>
      <c r="G44" s="14"/>
      <c r="H44" s="14" t="str">
        <f>"1-Base TRR L "&amp;'1-BaseTRR'!A108&amp;""</f>
        <v>1-Base TRR L 62</v>
      </c>
      <c r="I44" s="14"/>
      <c r="J44" s="64">
        <f>'1-BaseTRR'!K108</f>
        <v>2086200</v>
      </c>
    </row>
    <row r="45" spans="1:10">
      <c r="A45" s="117">
        <f>A44+1</f>
        <v>25</v>
      </c>
      <c r="B45" s="14"/>
      <c r="C45" s="14"/>
      <c r="D45" s="120" t="s">
        <v>1978</v>
      </c>
      <c r="E45" s="14"/>
      <c r="F45" s="14"/>
      <c r="G45" s="14"/>
      <c r="H45" s="14" t="str">
        <f>"1-Base TRR L "&amp;'1-BaseTRR'!A112&amp;""</f>
        <v>1-Base TRR L 64</v>
      </c>
      <c r="I45" s="14"/>
      <c r="J45" s="534">
        <f>'1-BaseTRR'!K119</f>
        <v>2892817</v>
      </c>
    </row>
    <row r="46" spans="1:10">
      <c r="A46" s="117"/>
      <c r="B46" s="120"/>
      <c r="C46" s="14"/>
      <c r="D46" s="14"/>
      <c r="E46" s="14"/>
      <c r="F46" s="14"/>
      <c r="G46" s="14"/>
      <c r="H46" s="14"/>
      <c r="I46" s="14"/>
      <c r="J46" s="14"/>
    </row>
    <row r="47" spans="1:10">
      <c r="A47" s="117"/>
      <c r="B47" s="44" t="s">
        <v>2722</v>
      </c>
      <c r="D47" s="14"/>
      <c r="E47" s="14"/>
      <c r="F47" s="14"/>
      <c r="G47" s="14"/>
      <c r="H47" s="14"/>
      <c r="I47" s="14"/>
      <c r="J47" s="14"/>
    </row>
    <row r="48" spans="1:10">
      <c r="A48" s="117">
        <f>A45+1</f>
        <v>26</v>
      </c>
      <c r="B48" s="120"/>
      <c r="C48" s="14" t="s">
        <v>112</v>
      </c>
      <c r="D48" s="14"/>
      <c r="E48" s="14"/>
      <c r="F48" s="14"/>
      <c r="G48" s="14"/>
      <c r="H48" s="14" t="str">
        <f>"1-Base TRR L "&amp;'1-BaseTRR'!A124&amp;""</f>
        <v>1-Base TRR L 65</v>
      </c>
      <c r="I48" s="14"/>
      <c r="J48" s="64">
        <f>'1-BaseTRR'!K124</f>
        <v>80137735.454664662</v>
      </c>
    </row>
    <row r="49" spans="1:10">
      <c r="A49" s="117">
        <f t="shared" ref="A49:A60" si="0">A48+1</f>
        <v>27</v>
      </c>
      <c r="B49" s="120"/>
      <c r="C49" s="15" t="s">
        <v>290</v>
      </c>
      <c r="D49" s="14"/>
      <c r="E49" s="14"/>
      <c r="F49" s="14"/>
      <c r="G49" s="14"/>
      <c r="H49" s="14" t="str">
        <f>"1-Base TRR L "&amp;'1-BaseTRR'!A125&amp;""</f>
        <v>1-Base TRR L 66</v>
      </c>
      <c r="I49" s="14"/>
      <c r="J49" s="64">
        <f>'1-BaseTRR'!K125</f>
        <v>51917322.616693914</v>
      </c>
    </row>
    <row r="50" spans="1:10" s="1189" customFormat="1">
      <c r="A50" s="611" t="s">
        <v>2819</v>
      </c>
      <c r="B50" s="1259"/>
      <c r="C50" s="606" t="s">
        <v>2820</v>
      </c>
      <c r="D50" s="590"/>
      <c r="E50" s="590"/>
      <c r="F50" s="590"/>
      <c r="G50" s="590"/>
      <c r="H50" s="590" t="str">
        <f>"35-PBOPs L "&amp;'35-PBOPs'!A38&amp;""</f>
        <v>35-PBOPs L 14</v>
      </c>
      <c r="I50" s="590"/>
      <c r="J50" s="820">
        <f>'35-PBOPs'!G38</f>
        <v>-1611976.7747298838</v>
      </c>
    </row>
    <row r="51" spans="1:10">
      <c r="A51" s="117">
        <f>A49+1</f>
        <v>28</v>
      </c>
      <c r="B51" s="120"/>
      <c r="C51" s="14" t="s">
        <v>65</v>
      </c>
      <c r="D51" s="14"/>
      <c r="E51" s="14"/>
      <c r="F51" s="14"/>
      <c r="G51" s="14"/>
      <c r="H51" s="14" t="str">
        <f>"1-Base TRR L "&amp;'1-BaseTRR'!A126&amp;""</f>
        <v>1-Base TRR L 67</v>
      </c>
      <c r="I51" s="14"/>
      <c r="J51" s="64">
        <f>'1-BaseTRR'!K126</f>
        <v>1403660</v>
      </c>
    </row>
    <row r="52" spans="1:10">
      <c r="A52" s="117">
        <f t="shared" si="0"/>
        <v>29</v>
      </c>
      <c r="B52" s="120"/>
      <c r="C52" s="15" t="s">
        <v>276</v>
      </c>
      <c r="D52" s="14"/>
      <c r="E52" s="14"/>
      <c r="F52" s="14"/>
      <c r="G52" s="14"/>
      <c r="H52" s="14" t="str">
        <f>"1-Base TRR L "&amp;'1-BaseTRR'!A127&amp;""</f>
        <v>1-Base TRR L 68</v>
      </c>
      <c r="I52" s="14"/>
      <c r="J52" s="64">
        <f>'1-BaseTRR'!K127</f>
        <v>216844556.70368421</v>
      </c>
    </row>
    <row r="53" spans="1:10">
      <c r="A53" s="117">
        <f t="shared" si="0"/>
        <v>30</v>
      </c>
      <c r="B53" s="120"/>
      <c r="C53" s="15" t="s">
        <v>322</v>
      </c>
      <c r="D53" s="14"/>
      <c r="E53" s="14"/>
      <c r="F53" s="14"/>
      <c r="G53" s="14"/>
      <c r="H53" s="14" t="str">
        <f>"1-Base TRR L "&amp;'1-BaseTRR'!A128&amp;""</f>
        <v>1-Base TRR L 69</v>
      </c>
      <c r="I53" s="14"/>
      <c r="J53" s="64">
        <f>'1-BaseTRR'!K128</f>
        <v>0</v>
      </c>
    </row>
    <row r="54" spans="1:10">
      <c r="A54" s="117">
        <f t="shared" si="0"/>
        <v>31</v>
      </c>
      <c r="B54" s="120"/>
      <c r="C54" s="15" t="s">
        <v>89</v>
      </c>
      <c r="D54" s="14"/>
      <c r="E54" s="14"/>
      <c r="F54" s="14"/>
      <c r="G54" s="14"/>
      <c r="H54" s="14" t="str">
        <f>"1-Base TRR L "&amp;'1-BaseTRR'!A129&amp;""</f>
        <v>1-Base TRR L 70</v>
      </c>
      <c r="I54" s="14"/>
      <c r="J54" s="64">
        <f>'1-BaseTRR'!K129</f>
        <v>53583285.363316134</v>
      </c>
    </row>
    <row r="55" spans="1:10">
      <c r="A55" s="117">
        <f t="shared" si="0"/>
        <v>32</v>
      </c>
      <c r="B55" s="120"/>
      <c r="C55" s="14" t="s">
        <v>11</v>
      </c>
      <c r="D55" s="14"/>
      <c r="E55" s="14"/>
      <c r="F55" s="14"/>
      <c r="G55" s="15"/>
      <c r="H55" s="14" t="str">
        <f>"1-Base TRR L "&amp;'1-BaseTRR'!A130&amp;""</f>
        <v>1-Base TRR L 71</v>
      </c>
      <c r="I55" s="14"/>
      <c r="J55" s="64">
        <f>'1-BaseTRR'!K130</f>
        <v>-55077034.877153262</v>
      </c>
    </row>
    <row r="56" spans="1:10">
      <c r="A56" s="117">
        <f t="shared" si="0"/>
        <v>33</v>
      </c>
      <c r="B56" s="120"/>
      <c r="C56" s="14" t="s">
        <v>97</v>
      </c>
      <c r="D56" s="14"/>
      <c r="E56" s="14"/>
      <c r="F56" s="14"/>
      <c r="G56" s="14"/>
      <c r="H56" s="14" t="str">
        <f>"Line "&amp;A34&amp;""</f>
        <v>Line 19</v>
      </c>
      <c r="I56" s="14"/>
      <c r="J56" s="64">
        <f>J34</f>
        <v>384169088.81170493</v>
      </c>
    </row>
    <row r="57" spans="1:10">
      <c r="A57" s="117">
        <f t="shared" si="0"/>
        <v>34</v>
      </c>
      <c r="B57" s="120"/>
      <c r="C57" s="14" t="s">
        <v>5</v>
      </c>
      <c r="D57" s="14"/>
      <c r="E57" s="14"/>
      <c r="F57" s="14"/>
      <c r="G57" s="14"/>
      <c r="H57" s="14" t="str">
        <f>"Line "&amp;A38&amp;""</f>
        <v>Line 20</v>
      </c>
      <c r="I57" s="14"/>
      <c r="J57" s="47">
        <f>J38</f>
        <v>194448609.82201871</v>
      </c>
    </row>
    <row r="58" spans="1:10">
      <c r="A58" s="117">
        <f t="shared" si="0"/>
        <v>35</v>
      </c>
      <c r="B58" s="120"/>
      <c r="C58" s="15" t="s">
        <v>393</v>
      </c>
      <c r="D58" s="14"/>
      <c r="E58" s="14"/>
      <c r="F58" s="14"/>
      <c r="G58" s="14"/>
      <c r="H58" s="14" t="str">
        <f>"1-Base TRR L "&amp;'1-BaseTRR'!A133&amp;""</f>
        <v>1-Base TRR L 74</v>
      </c>
      <c r="I58" s="14"/>
      <c r="J58" s="47">
        <f>'1-BaseTRR'!K133</f>
        <v>0</v>
      </c>
    </row>
    <row r="59" spans="1:10">
      <c r="A59" s="117">
        <f t="shared" si="0"/>
        <v>36</v>
      </c>
      <c r="B59" s="120"/>
      <c r="C59" s="661" t="s">
        <v>1964</v>
      </c>
      <c r="D59" s="796"/>
      <c r="E59" s="14"/>
      <c r="F59" s="14"/>
      <c r="G59" s="14"/>
      <c r="H59" s="14" t="str">
        <f>"1-Base TRR L "&amp;'1-BaseTRR'!A134&amp;""</f>
        <v>1-Base TRR L 75</v>
      </c>
      <c r="I59" s="14"/>
      <c r="J59" s="109">
        <f>'1-BaseTRR'!K134</f>
        <v>0</v>
      </c>
    </row>
    <row r="60" spans="1:10">
      <c r="A60" s="117">
        <f t="shared" si="0"/>
        <v>37</v>
      </c>
      <c r="B60" s="120"/>
      <c r="C60" s="524" t="s">
        <v>1679</v>
      </c>
      <c r="D60" s="14"/>
      <c r="E60" s="14"/>
      <c r="F60" s="14"/>
      <c r="G60" s="14"/>
      <c r="H60" s="14" t="str">
        <f>"Sum Line "&amp;A48&amp;" to Line "&amp;A59&amp;""</f>
        <v>Sum Line 26 to Line 36</v>
      </c>
      <c r="I60" s="14"/>
      <c r="J60" s="820">
        <f>SUM(J48:J59)</f>
        <v>925815247.12019944</v>
      </c>
    </row>
    <row r="61" spans="1:10">
      <c r="A61" s="117"/>
      <c r="B61" s="120"/>
      <c r="C61" s="14"/>
      <c r="D61" s="14"/>
      <c r="E61" s="14"/>
      <c r="F61" s="14"/>
      <c r="G61" s="14"/>
      <c r="H61" s="14"/>
      <c r="I61" s="14"/>
      <c r="J61" s="64"/>
    </row>
    <row r="62" spans="1:10" ht="12.75" customHeight="1">
      <c r="A62" s="117">
        <f>A60+1</f>
        <v>38</v>
      </c>
      <c r="B62" s="120"/>
      <c r="C62" s="524" t="s">
        <v>1654</v>
      </c>
      <c r="D62" s="14"/>
      <c r="E62" s="14"/>
      <c r="F62" s="14"/>
      <c r="G62" s="14"/>
      <c r="H62" s="14" t="str">
        <f>"15-IncentiveAdder L "&amp;'15-IncentiveAdder'!A59&amp;""</f>
        <v>15-IncentiveAdder L 20</v>
      </c>
      <c r="I62" s="14"/>
      <c r="J62" s="64">
        <f>'15-IncentiveAdder'!G59</f>
        <v>33446143.44548244</v>
      </c>
    </row>
    <row r="63" spans="1:10">
      <c r="A63" s="117"/>
      <c r="B63" s="120"/>
      <c r="C63" s="15"/>
      <c r="D63" s="14"/>
      <c r="E63" s="14"/>
      <c r="F63" s="14"/>
      <c r="G63" s="14"/>
      <c r="H63" s="14"/>
      <c r="I63" s="14"/>
      <c r="J63" s="64"/>
    </row>
    <row r="64" spans="1:10">
      <c r="A64" s="117">
        <f>A62+1</f>
        <v>39</v>
      </c>
      <c r="B64" s="120"/>
      <c r="C64" s="524" t="s">
        <v>2706</v>
      </c>
      <c r="D64" s="14"/>
      <c r="E64" s="14"/>
      <c r="F64" s="14"/>
      <c r="G64" s="14"/>
      <c r="H64" s="14" t="str">
        <f>"Line "&amp;A60&amp;" + Line "&amp;A62&amp;""</f>
        <v>Line 37 + Line 38</v>
      </c>
      <c r="I64" s="14"/>
      <c r="J64" s="64">
        <f>J60+J62</f>
        <v>959261390.56568193</v>
      </c>
    </row>
    <row r="65" spans="1:10">
      <c r="A65" s="117"/>
      <c r="B65" s="120"/>
      <c r="C65" s="15"/>
      <c r="D65" s="14"/>
      <c r="E65" s="14"/>
      <c r="F65" s="14"/>
      <c r="G65" s="14"/>
      <c r="H65" s="14"/>
      <c r="I65" s="14"/>
      <c r="J65" s="64"/>
    </row>
    <row r="66" spans="1:10">
      <c r="A66" s="117"/>
      <c r="B66" s="419" t="s">
        <v>2723</v>
      </c>
      <c r="C66" s="15"/>
      <c r="D66" s="14"/>
      <c r="E66" s="14"/>
      <c r="F66" s="14"/>
      <c r="G66" s="14"/>
      <c r="H66" s="14"/>
      <c r="I66" s="14"/>
      <c r="J66" s="64"/>
    </row>
    <row r="67" spans="1:10">
      <c r="A67" s="54" t="s">
        <v>350</v>
      </c>
      <c r="B67" s="66"/>
      <c r="G67" s="52" t="s">
        <v>1262</v>
      </c>
    </row>
    <row r="68" spans="1:10">
      <c r="A68" s="117">
        <f>A64+1</f>
        <v>40</v>
      </c>
      <c r="B68" s="1017"/>
      <c r="C68" s="14"/>
      <c r="D68" s="1019" t="s">
        <v>1680</v>
      </c>
      <c r="E68" s="64">
        <f>J64</f>
        <v>959261390.56568193</v>
      </c>
      <c r="F68" s="14"/>
      <c r="G68" s="14" t="str">
        <f>"Line "&amp;A64&amp;""</f>
        <v>Line 39</v>
      </c>
      <c r="H68" s="14"/>
      <c r="I68" s="14"/>
      <c r="J68" s="14"/>
    </row>
    <row r="69" spans="1:10">
      <c r="A69" s="117">
        <f>A68+1</f>
        <v>41</v>
      </c>
      <c r="B69" s="1017"/>
      <c r="C69" s="14"/>
      <c r="D69" s="374" t="s">
        <v>1261</v>
      </c>
      <c r="E69" s="1021">
        <f>'28-FFU'!D22</f>
        <v>9.1000000000000004E-3</v>
      </c>
      <c r="F69" s="14"/>
      <c r="G69" s="14" t="str">
        <f>"28-FFU, L "&amp;'28-FFU'!A22&amp;""</f>
        <v>28-FFU, L 5</v>
      </c>
      <c r="H69" s="14"/>
      <c r="I69" s="14"/>
      <c r="J69" s="14"/>
    </row>
    <row r="70" spans="1:10">
      <c r="A70" s="117">
        <f>A69+1</f>
        <v>42</v>
      </c>
      <c r="B70" s="1017"/>
      <c r="C70" s="14"/>
      <c r="D70" s="85" t="s">
        <v>257</v>
      </c>
      <c r="E70" s="64">
        <f>E68*'28-FFU'!D22</f>
        <v>8729278.6541477069</v>
      </c>
      <c r="F70" s="14"/>
      <c r="G70" s="14" t="str">
        <f>"Line "&amp;A68&amp;" * Line "&amp;A69&amp;""</f>
        <v>Line 40 * Line 41</v>
      </c>
      <c r="H70" s="14"/>
      <c r="I70" s="14"/>
      <c r="J70" s="14"/>
    </row>
    <row r="71" spans="1:10">
      <c r="A71" s="117">
        <f>A70+1</f>
        <v>43</v>
      </c>
      <c r="B71" s="1017"/>
      <c r="C71" s="14"/>
      <c r="D71" s="1019" t="s">
        <v>1975</v>
      </c>
      <c r="E71" s="1021">
        <f>'28-FFU'!E22</f>
        <v>2.3800000000000002E-3</v>
      </c>
      <c r="F71" s="14"/>
      <c r="G71" s="14" t="str">
        <f>"28-FFU, L "&amp;'28-FFU'!A22&amp;""</f>
        <v>28-FFU, L 5</v>
      </c>
      <c r="H71" s="14"/>
      <c r="I71" s="14"/>
      <c r="J71" s="14"/>
    </row>
    <row r="72" spans="1:10">
      <c r="A72" s="117">
        <f>A71+1</f>
        <v>44</v>
      </c>
      <c r="B72" s="1017"/>
      <c r="C72" s="14"/>
      <c r="D72" s="1019" t="s">
        <v>1632</v>
      </c>
      <c r="E72" s="64">
        <f>E68*'28-FFU'!E22</f>
        <v>2283042.1095463233</v>
      </c>
      <c r="F72" s="14"/>
      <c r="G72" s="14" t="str">
        <f>"Line "&amp;A70&amp;" * Line "&amp;A71&amp;""</f>
        <v>Line 42 * Line 43</v>
      </c>
      <c r="H72" s="14"/>
      <c r="I72" s="14"/>
      <c r="J72" s="14"/>
    </row>
    <row r="73" spans="1:10">
      <c r="A73" s="117">
        <f>A72+1</f>
        <v>45</v>
      </c>
      <c r="B73" s="1017"/>
      <c r="C73" s="14"/>
      <c r="D73" s="1019" t="s">
        <v>1681</v>
      </c>
      <c r="E73" s="64">
        <f>E68+E70+E72</f>
        <v>970273711.32937598</v>
      </c>
      <c r="F73" s="14"/>
      <c r="G73" s="14" t="str">
        <f>"L "&amp;A68&amp;" + L "&amp;A70&amp;" + L "&amp;A72&amp;""</f>
        <v>L 40 + L 42 + L 44</v>
      </c>
      <c r="H73" s="14"/>
      <c r="I73" s="14"/>
      <c r="J73" s="14"/>
    </row>
    <row r="74" spans="1:10">
      <c r="A74" s="14"/>
      <c r="B74" s="1031" t="s">
        <v>420</v>
      </c>
      <c r="C74" s="14"/>
      <c r="D74" s="85"/>
      <c r="E74" s="64"/>
      <c r="F74" s="14"/>
      <c r="G74" s="14"/>
      <c r="H74" s="678"/>
      <c r="I74" s="14"/>
      <c r="J74" s="14"/>
    </row>
    <row r="75" spans="1:10">
      <c r="A75" s="117"/>
      <c r="B75" s="524" t="s">
        <v>1947</v>
      </c>
      <c r="C75" s="419"/>
      <c r="D75" s="85"/>
      <c r="E75" s="64"/>
      <c r="F75" s="14"/>
      <c r="G75" s="14"/>
      <c r="H75" s="14"/>
      <c r="I75" s="14"/>
      <c r="J75" s="14"/>
    </row>
    <row r="76" spans="1:10">
      <c r="A76" s="117"/>
      <c r="B76" s="524" t="s">
        <v>1948</v>
      </c>
      <c r="C76" s="419"/>
      <c r="D76" s="85"/>
      <c r="E76" s="64"/>
      <c r="F76" s="14"/>
      <c r="G76" s="14"/>
      <c r="H76" s="14"/>
      <c r="I76" s="14"/>
      <c r="J76" s="14"/>
    </row>
    <row r="77" spans="1:10">
      <c r="A77" s="117"/>
      <c r="B77" s="1018" t="s">
        <v>1949</v>
      </c>
      <c r="C77" s="15"/>
      <c r="D77" s="85"/>
      <c r="E77" s="64"/>
      <c r="F77" s="14"/>
      <c r="G77" s="14"/>
      <c r="H77" s="14"/>
      <c r="I77" s="14"/>
      <c r="J77" s="14"/>
    </row>
    <row r="78" spans="1:10">
      <c r="A78" s="117"/>
      <c r="B78" s="1018" t="s">
        <v>2014</v>
      </c>
      <c r="C78" s="14"/>
      <c r="D78" s="85"/>
      <c r="E78" s="64"/>
      <c r="F78" s="14"/>
      <c r="G78" s="14"/>
      <c r="H78" s="14"/>
      <c r="I78" s="14"/>
      <c r="J78" s="14"/>
    </row>
    <row r="79" spans="1:10">
      <c r="A79" s="117"/>
      <c r="B79" s="14"/>
      <c r="C79" s="14"/>
      <c r="D79" s="14"/>
      <c r="E79" s="14"/>
      <c r="F79" s="14"/>
      <c r="G79" s="14"/>
      <c r="H79" s="14"/>
      <c r="I79" s="14"/>
      <c r="J79" s="14"/>
    </row>
    <row r="80" spans="1:10">
      <c r="A80" s="117"/>
      <c r="B80" s="524" t="s">
        <v>2214</v>
      </c>
      <c r="C80" s="14"/>
      <c r="D80" s="14"/>
      <c r="E80" s="14"/>
      <c r="F80" s="14"/>
      <c r="G80" s="14"/>
      <c r="H80" s="14"/>
      <c r="I80" s="14"/>
      <c r="J80" s="14"/>
    </row>
    <row r="81" spans="1:12">
      <c r="A81" s="117"/>
      <c r="B81" s="524"/>
      <c r="C81" s="524" t="s">
        <v>2220</v>
      </c>
      <c r="D81" s="14"/>
      <c r="E81" s="14"/>
      <c r="F81" s="14"/>
      <c r="G81" s="14"/>
      <c r="H81" s="14"/>
      <c r="I81" s="14"/>
      <c r="J81" s="14"/>
    </row>
    <row r="82" spans="1:12">
      <c r="A82" s="117"/>
      <c r="B82" s="524"/>
      <c r="C82" s="14"/>
      <c r="D82" s="14"/>
      <c r="E82" s="14"/>
      <c r="F82" s="14"/>
      <c r="G82" s="14"/>
      <c r="H82" s="14"/>
      <c r="I82" s="14"/>
      <c r="J82" s="117" t="s">
        <v>2211</v>
      </c>
    </row>
    <row r="83" spans="1:12">
      <c r="A83" s="117"/>
      <c r="B83" s="14"/>
      <c r="C83" s="14"/>
      <c r="D83" s="14"/>
      <c r="E83" s="131" t="s">
        <v>1623</v>
      </c>
      <c r="F83" s="1008" t="s">
        <v>1262</v>
      </c>
      <c r="G83" s="131" t="s">
        <v>258</v>
      </c>
      <c r="H83" s="131" t="s">
        <v>259</v>
      </c>
      <c r="I83" s="14"/>
      <c r="J83" s="131" t="s">
        <v>2210</v>
      </c>
    </row>
    <row r="84" spans="1:12">
      <c r="B84" s="1033" t="s">
        <v>1928</v>
      </c>
      <c r="C84" s="524" t="s">
        <v>2209</v>
      </c>
      <c r="D84" s="14"/>
      <c r="E84" s="84">
        <f>'1-BaseTRR'!K85</f>
        <v>9.8000000000000004E-2</v>
      </c>
      <c r="F84" s="14" t="str">
        <f>"1-Base TRR L "&amp;'1-BaseTRR'!A85&amp;""</f>
        <v>1-Base TRR L 49</v>
      </c>
      <c r="G84" s="675" t="s">
        <v>2914</v>
      </c>
      <c r="H84" s="598" t="s">
        <v>2915</v>
      </c>
      <c r="I84" s="15"/>
      <c r="J84" s="122">
        <v>365</v>
      </c>
      <c r="K84" s="15"/>
      <c r="L84" s="15"/>
    </row>
    <row r="85" spans="1:12">
      <c r="B85" s="1033" t="s">
        <v>1929</v>
      </c>
      <c r="C85" s="524" t="s">
        <v>2237</v>
      </c>
      <c r="D85" s="14"/>
      <c r="E85" s="1136">
        <v>9.8000000000000004E-2</v>
      </c>
      <c r="F85" s="1032" t="s">
        <v>2213</v>
      </c>
      <c r="G85" s="675"/>
      <c r="H85" s="598"/>
      <c r="I85" s="15"/>
      <c r="J85" s="122"/>
      <c r="K85" s="15"/>
      <c r="L85" s="15"/>
    </row>
    <row r="86" spans="1:12">
      <c r="B86" s="1033" t="s">
        <v>1930</v>
      </c>
      <c r="C86" s="524"/>
      <c r="D86" s="14"/>
      <c r="E86" s="1034"/>
      <c r="F86" s="1032"/>
      <c r="G86" s="599"/>
      <c r="H86" s="599"/>
      <c r="I86" s="1019" t="s">
        <v>2464</v>
      </c>
      <c r="J86" s="15">
        <f>SUM(J84:J85)</f>
        <v>365</v>
      </c>
      <c r="K86" s="15"/>
      <c r="L86" s="15"/>
    </row>
    <row r="87" spans="1:12">
      <c r="A87" s="14"/>
      <c r="B87" s="1033" t="s">
        <v>1931</v>
      </c>
      <c r="C87" s="524" t="s">
        <v>2222</v>
      </c>
      <c r="D87" s="14"/>
      <c r="E87" s="84">
        <f>((E84*J84) + (E85* J85)) / J86</f>
        <v>9.8000000000000004E-2</v>
      </c>
      <c r="F87" s="524" t="s">
        <v>2465</v>
      </c>
      <c r="G87" s="14"/>
      <c r="H87" s="15"/>
      <c r="I87" s="15"/>
      <c r="J87" s="15"/>
      <c r="K87" s="15"/>
      <c r="L87" s="15"/>
    </row>
    <row r="88" spans="1:12">
      <c r="A88" s="117"/>
      <c r="B88" s="524"/>
      <c r="C88" s="14"/>
      <c r="D88" s="14"/>
      <c r="E88" s="14"/>
      <c r="F88" s="14"/>
      <c r="G88" s="14"/>
      <c r="H88" s="15"/>
      <c r="I88" s="15"/>
      <c r="J88" s="15"/>
      <c r="K88" s="15"/>
      <c r="L88" s="15"/>
    </row>
    <row r="89" spans="1:12">
      <c r="A89" s="117"/>
      <c r="B89" s="524" t="s">
        <v>2212</v>
      </c>
      <c r="C89" s="14"/>
      <c r="D89" s="14"/>
      <c r="E89" s="14"/>
      <c r="F89" s="14"/>
      <c r="G89" s="14"/>
      <c r="H89" s="15"/>
      <c r="I89" s="15"/>
      <c r="J89" s="15"/>
      <c r="K89" s="15"/>
      <c r="L89" s="15"/>
    </row>
    <row r="90" spans="1:12">
      <c r="A90" s="117"/>
      <c r="B90" s="524"/>
      <c r="C90" s="14"/>
      <c r="D90" s="14"/>
      <c r="E90" s="1008" t="s">
        <v>1262</v>
      </c>
      <c r="F90" s="14"/>
      <c r="G90" s="14"/>
      <c r="H90" s="15"/>
      <c r="I90" s="15"/>
      <c r="J90" s="15"/>
      <c r="K90" s="15"/>
      <c r="L90" s="15"/>
    </row>
    <row r="91" spans="1:12">
      <c r="A91" s="14"/>
      <c r="B91" s="1033" t="s">
        <v>1932</v>
      </c>
      <c r="C91" s="524" t="s">
        <v>2239</v>
      </c>
      <c r="D91" s="14"/>
      <c r="E91" s="102" t="s">
        <v>2834</v>
      </c>
      <c r="F91" s="102"/>
      <c r="G91" s="102"/>
      <c r="H91" s="122"/>
      <c r="I91" s="122"/>
      <c r="J91" s="122"/>
      <c r="K91" s="15"/>
      <c r="L91" s="15"/>
    </row>
    <row r="92" spans="1:12">
      <c r="B92" s="1033" t="s">
        <v>1933</v>
      </c>
      <c r="C92" s="524" t="s">
        <v>2238</v>
      </c>
      <c r="D92" s="14"/>
      <c r="E92" s="102" t="s">
        <v>2834</v>
      </c>
      <c r="F92" s="102"/>
      <c r="G92" s="102"/>
      <c r="H92" s="122"/>
      <c r="I92" s="122"/>
      <c r="J92" s="122"/>
      <c r="K92" s="15"/>
      <c r="L92" s="15"/>
    </row>
    <row r="93" spans="1:12">
      <c r="B93" s="14"/>
      <c r="C93" s="524"/>
      <c r="D93" s="14"/>
      <c r="E93" s="599"/>
      <c r="F93" s="14"/>
      <c r="G93" s="14"/>
      <c r="H93" s="14"/>
      <c r="I93" s="15"/>
      <c r="J93" s="15"/>
      <c r="K93" s="15"/>
      <c r="L93" s="15"/>
    </row>
    <row r="94" spans="1:12">
      <c r="B94" s="14"/>
      <c r="C94" s="14"/>
      <c r="D94" s="14"/>
      <c r="E94" s="131" t="s">
        <v>1623</v>
      </c>
      <c r="F94" s="1008" t="s">
        <v>1262</v>
      </c>
      <c r="G94" s="14"/>
      <c r="H94" s="15"/>
      <c r="I94" s="15"/>
      <c r="J94" s="14"/>
    </row>
    <row r="95" spans="1:12">
      <c r="B95" s="1033" t="s">
        <v>1935</v>
      </c>
      <c r="C95" s="524" t="s">
        <v>2223</v>
      </c>
      <c r="D95" s="15"/>
      <c r="E95" s="71">
        <f>'1-BaseTRR'!K88</f>
        <v>2.0569074250447964E-2</v>
      </c>
      <c r="F95" s="14" t="str">
        <f>"1-Base TRR L "&amp;'1-BaseTRR'!A88&amp;""</f>
        <v>1-Base TRR L 50</v>
      </c>
      <c r="G95" s="14"/>
      <c r="H95" s="15"/>
      <c r="I95" s="15"/>
      <c r="J95" s="14"/>
    </row>
    <row r="96" spans="1:12">
      <c r="B96" s="1033" t="s">
        <v>2215</v>
      </c>
      <c r="C96" s="524" t="s">
        <v>2224</v>
      </c>
      <c r="D96" s="14"/>
      <c r="E96" s="71">
        <f>'1-BaseTRR'!K89</f>
        <v>4.7419162997158065E-3</v>
      </c>
      <c r="F96" s="14" t="str">
        <f>"1-Base TRR L "&amp;'1-BaseTRR'!A89&amp;""</f>
        <v>1-Base TRR L 51</v>
      </c>
      <c r="G96" s="14"/>
      <c r="H96" s="15"/>
      <c r="I96" s="15"/>
      <c r="J96" s="14"/>
    </row>
    <row r="97" spans="1:10">
      <c r="B97" s="1033" t="s">
        <v>2216</v>
      </c>
      <c r="C97" s="524" t="s">
        <v>2225</v>
      </c>
      <c r="D97" s="14"/>
      <c r="E97" s="49">
        <f>('1-BaseTRR'!K80) * E87</f>
        <v>4.6846659861428726E-2</v>
      </c>
      <c r="F97" s="14" t="str">
        <f>"1-Base TRR L "&amp;'1-BaseTRR'!A80&amp;" * Line d"</f>
        <v>1-Base TRR L 46 * Line d</v>
      </c>
      <c r="G97" s="15"/>
      <c r="H97" s="15"/>
      <c r="I97" s="14"/>
      <c r="J97" s="14"/>
    </row>
    <row r="98" spans="1:10">
      <c r="A98" s="14"/>
      <c r="B98" s="117" t="s">
        <v>2217</v>
      </c>
      <c r="C98" s="46" t="s">
        <v>62</v>
      </c>
      <c r="D98" s="14"/>
      <c r="E98" s="48">
        <f>SUM(E95:E97)</f>
        <v>7.21576504115925E-2</v>
      </c>
      <c r="F98" s="64" t="str">
        <f>"Sum of Lines "&amp;B92&amp;" to "&amp;B96&amp;""</f>
        <v>Sum of Lines f to h</v>
      </c>
      <c r="G98" s="113"/>
      <c r="H98" s="14"/>
      <c r="I98" s="14"/>
      <c r="J98" s="1035"/>
    </row>
    <row r="99" spans="1:10">
      <c r="A99" s="117"/>
      <c r="B99" s="14"/>
      <c r="C99" s="21"/>
      <c r="D99" s="24"/>
      <c r="E99" s="64"/>
      <c r="F99" s="64"/>
      <c r="G99" s="113"/>
      <c r="H99" s="64"/>
      <c r="I99" s="14"/>
      <c r="J99" s="1035"/>
    </row>
    <row r="100" spans="1:10">
      <c r="A100" s="117"/>
      <c r="B100" s="524" t="s">
        <v>2218</v>
      </c>
      <c r="C100" s="14"/>
      <c r="D100" s="14"/>
      <c r="E100" s="14"/>
      <c r="F100" s="14"/>
      <c r="G100" s="14"/>
      <c r="H100" s="14"/>
      <c r="I100" s="14"/>
      <c r="J100" s="14"/>
    </row>
    <row r="101" spans="1:10">
      <c r="A101" s="117"/>
      <c r="B101" s="14"/>
      <c r="C101" s="14"/>
      <c r="D101" s="14"/>
      <c r="E101" s="14"/>
      <c r="F101" s="14"/>
      <c r="G101" s="14"/>
      <c r="H101" s="14"/>
      <c r="I101" s="14"/>
      <c r="J101" s="14"/>
    </row>
    <row r="102" spans="1:10">
      <c r="A102" s="117"/>
      <c r="B102" s="14"/>
      <c r="C102" s="14"/>
      <c r="D102" s="14"/>
      <c r="E102" s="131" t="s">
        <v>1623</v>
      </c>
      <c r="F102" s="1008" t="s">
        <v>1262</v>
      </c>
      <c r="G102" s="14"/>
      <c r="H102" s="14"/>
      <c r="I102" s="14"/>
      <c r="J102" s="14"/>
    </row>
    <row r="103" spans="1:10">
      <c r="A103" s="14"/>
      <c r="B103" s="1033" t="s">
        <v>2707</v>
      </c>
      <c r="C103" s="14"/>
      <c r="D103" s="14"/>
      <c r="E103" s="71">
        <f>E96+E97</f>
        <v>5.1588576161144532E-2</v>
      </c>
      <c r="F103" s="64" t="str">
        <f>"Sum of Lines "&amp;B95&amp;" to "&amp;B96&amp;""</f>
        <v>Sum of Lines g to h</v>
      </c>
      <c r="G103" s="14"/>
      <c r="H103" s="14"/>
      <c r="I103" s="14"/>
      <c r="J103" s="14"/>
    </row>
    <row r="104" spans="1:10">
      <c r="A104" s="117"/>
      <c r="B104" s="14"/>
      <c r="C104" s="14"/>
      <c r="D104" s="14"/>
      <c r="E104" s="71"/>
      <c r="F104" s="64"/>
      <c r="G104" s="14"/>
      <c r="H104" s="14"/>
      <c r="I104" s="14"/>
      <c r="J104" s="14"/>
    </row>
    <row r="105" spans="1:10">
      <c r="A105" s="117"/>
      <c r="B105" s="1018" t="s">
        <v>2194</v>
      </c>
      <c r="C105" s="14"/>
      <c r="D105" s="14"/>
      <c r="E105" s="113"/>
      <c r="F105" s="113"/>
      <c r="G105" s="113"/>
      <c r="H105" s="64"/>
      <c r="I105" s="14"/>
      <c r="J105" s="14"/>
    </row>
    <row r="106" spans="1:10">
      <c r="A106" s="117"/>
      <c r="B106" s="1032" t="s">
        <v>2203</v>
      </c>
      <c r="C106" s="14"/>
      <c r="D106" s="14"/>
      <c r="E106" s="14"/>
      <c r="F106" s="14"/>
      <c r="G106" s="14"/>
      <c r="H106" s="14"/>
      <c r="I106" s="14"/>
      <c r="J106" s="14"/>
    </row>
    <row r="107" spans="1:10">
      <c r="A107" s="2"/>
      <c r="B107" s="1032" t="s">
        <v>2204</v>
      </c>
      <c r="C107" s="14"/>
      <c r="D107" s="117"/>
      <c r="E107" s="117"/>
      <c r="F107" s="117"/>
      <c r="G107" s="117"/>
      <c r="H107" s="117"/>
      <c r="I107" s="14"/>
      <c r="J107" s="14"/>
    </row>
    <row r="108" spans="1:10">
      <c r="A108" s="2"/>
      <c r="B108" s="1018" t="s">
        <v>2206</v>
      </c>
      <c r="C108" s="14"/>
      <c r="D108" s="117"/>
      <c r="E108" s="117"/>
      <c r="F108" s="117"/>
      <c r="G108" s="117"/>
      <c r="H108" s="117"/>
      <c r="I108" s="14"/>
      <c r="J108" s="14"/>
    </row>
    <row r="109" spans="1:10">
      <c r="A109" s="2"/>
      <c r="B109" s="14" t="s">
        <v>2205</v>
      </c>
      <c r="C109" s="29"/>
      <c r="D109" s="29"/>
      <c r="E109" s="131"/>
      <c r="F109" s="131"/>
      <c r="G109" s="131"/>
      <c r="H109" s="131"/>
      <c r="I109" s="14"/>
      <c r="J109" s="14"/>
    </row>
    <row r="110" spans="1:10">
      <c r="A110" s="2"/>
    </row>
    <row r="111" spans="1:10">
      <c r="A111" s="2"/>
    </row>
    <row r="112" spans="1:10">
      <c r="A112" s="2"/>
    </row>
    <row r="113" spans="1:10">
      <c r="A113" s="2"/>
      <c r="C113" s="21"/>
      <c r="E113" s="64"/>
      <c r="F113" s="64"/>
      <c r="H113" s="7"/>
      <c r="J113" s="89"/>
    </row>
    <row r="114" spans="1:10">
      <c r="A114" s="2"/>
      <c r="C114" s="21"/>
      <c r="E114" s="64"/>
      <c r="F114" s="64"/>
      <c r="H114" s="7"/>
      <c r="J114" s="89"/>
    </row>
    <row r="115" spans="1:10">
      <c r="A115" s="54"/>
      <c r="C115" s="21"/>
      <c r="E115" s="64"/>
      <c r="F115" s="64"/>
      <c r="H115" s="7"/>
      <c r="J115" s="89"/>
    </row>
    <row r="116" spans="1:10">
      <c r="A116" s="2"/>
      <c r="D116" s="34"/>
      <c r="E116" s="64"/>
      <c r="F116" s="64"/>
      <c r="G116" s="12"/>
      <c r="H116" s="7"/>
      <c r="J116" s="89"/>
    </row>
    <row r="117" spans="1:10">
      <c r="A117" s="2"/>
      <c r="C117" s="21"/>
      <c r="D117" s="99"/>
      <c r="E117" s="98"/>
      <c r="F117" s="7"/>
      <c r="G117" s="12"/>
      <c r="H117" s="7"/>
      <c r="J117" s="89"/>
    </row>
    <row r="118" spans="1:10">
      <c r="A118" s="2"/>
      <c r="C118" s="21"/>
      <c r="D118" s="99"/>
      <c r="E118" s="7"/>
      <c r="F118" s="7"/>
      <c r="G118" s="12"/>
      <c r="H118" s="7"/>
      <c r="J118" s="89"/>
    </row>
    <row r="119" spans="1:10">
      <c r="A119" s="2"/>
    </row>
    <row r="120" spans="1:10">
      <c r="A120" s="2"/>
      <c r="B120" s="1"/>
    </row>
    <row r="121" spans="1:10">
      <c r="A121" s="2"/>
    </row>
    <row r="122" spans="1:10">
      <c r="A122" s="2"/>
    </row>
    <row r="123" spans="1:10">
      <c r="A123" s="2"/>
      <c r="F123" s="2"/>
    </row>
    <row r="124" spans="1:10">
      <c r="A124" s="2"/>
      <c r="F124" s="2"/>
    </row>
    <row r="125" spans="1:10">
      <c r="A125" s="2"/>
      <c r="D125" s="2"/>
      <c r="E125" s="2"/>
      <c r="F125" s="2"/>
      <c r="H125" s="2"/>
    </row>
    <row r="126" spans="1:10">
      <c r="A126" s="2"/>
      <c r="D126" s="2"/>
      <c r="E126" s="2"/>
      <c r="F126" s="2"/>
      <c r="G126" s="2"/>
      <c r="H126" s="4"/>
    </row>
    <row r="127" spans="1:10">
      <c r="A127" s="54"/>
      <c r="C127" s="25"/>
      <c r="D127" s="25"/>
      <c r="E127" s="3"/>
      <c r="F127" s="91"/>
      <c r="G127" s="3"/>
      <c r="H127" s="4"/>
    </row>
    <row r="128" spans="1:10">
      <c r="A128" s="2"/>
      <c r="C128" s="20"/>
      <c r="D128" s="24"/>
      <c r="E128" s="64"/>
      <c r="F128" s="64"/>
      <c r="G128" s="84"/>
      <c r="H128" s="7"/>
    </row>
    <row r="129" spans="1:8">
      <c r="A129" s="2"/>
      <c r="C129" s="21"/>
      <c r="D129" s="24"/>
      <c r="E129" s="64"/>
      <c r="F129" s="64"/>
      <c r="G129" s="84"/>
      <c r="H129" s="7"/>
    </row>
    <row r="130" spans="1:8">
      <c r="A130" s="2"/>
      <c r="C130" s="21"/>
      <c r="D130" s="24"/>
      <c r="E130" s="64"/>
      <c r="F130" s="64"/>
      <c r="G130" s="84"/>
      <c r="H130" s="7"/>
    </row>
    <row r="131" spans="1:8">
      <c r="A131" s="2"/>
      <c r="C131" s="20"/>
      <c r="D131" s="24"/>
      <c r="E131" s="64"/>
      <c r="F131" s="64"/>
      <c r="G131" s="84"/>
      <c r="H131" s="7"/>
    </row>
    <row r="132" spans="1:8">
      <c r="A132" s="2"/>
      <c r="C132" s="21"/>
      <c r="D132" s="24"/>
      <c r="E132" s="64"/>
      <c r="F132" s="64"/>
      <c r="G132" s="84"/>
      <c r="H132" s="7"/>
    </row>
    <row r="133" spans="1:8">
      <c r="A133" s="2"/>
      <c r="C133" s="21"/>
      <c r="D133" s="24"/>
      <c r="E133" s="64"/>
      <c r="F133" s="64"/>
      <c r="G133" s="84"/>
      <c r="H133" s="7"/>
    </row>
    <row r="134" spans="1:8">
      <c r="A134" s="2"/>
      <c r="C134" s="20"/>
      <c r="D134" s="24"/>
      <c r="E134" s="64"/>
      <c r="F134" s="64"/>
      <c r="G134" s="84"/>
      <c r="H134" s="7"/>
    </row>
    <row r="135" spans="1:8">
      <c r="A135" s="2"/>
      <c r="C135" s="21"/>
      <c r="D135" s="24"/>
      <c r="E135" s="64"/>
      <c r="F135" s="64"/>
      <c r="G135" s="84"/>
      <c r="H135" s="7"/>
    </row>
    <row r="136" spans="1:8">
      <c r="A136" s="2"/>
      <c r="C136" s="21"/>
      <c r="D136" s="24"/>
      <c r="E136" s="64"/>
      <c r="F136" s="64"/>
      <c r="G136" s="84"/>
      <c r="H136" s="7"/>
    </row>
    <row r="137" spans="1:8">
      <c r="A137" s="2"/>
      <c r="C137" s="20"/>
      <c r="D137" s="24"/>
      <c r="E137" s="64"/>
      <c r="F137" s="64"/>
      <c r="G137" s="84"/>
      <c r="H137" s="7"/>
    </row>
    <row r="138" spans="1:8">
      <c r="A138" s="2"/>
      <c r="C138" s="20"/>
      <c r="D138" s="24"/>
      <c r="E138" s="64"/>
      <c r="F138" s="64"/>
      <c r="G138" s="84"/>
      <c r="H138" s="7"/>
    </row>
    <row r="139" spans="1:8">
      <c r="A139" s="2"/>
      <c r="C139" s="21"/>
      <c r="D139" s="24"/>
      <c r="E139" s="64"/>
      <c r="F139" s="64"/>
      <c r="G139" s="84"/>
      <c r="H139" s="58"/>
    </row>
    <row r="140" spans="1:8">
      <c r="A140" s="2"/>
      <c r="E140" s="14"/>
      <c r="F140" s="14"/>
      <c r="G140" s="14"/>
      <c r="H140" s="7"/>
    </row>
    <row r="141" spans="1:8">
      <c r="A141" s="2"/>
      <c r="C141" s="21"/>
      <c r="D141" s="24"/>
      <c r="E141" s="14"/>
      <c r="F141" s="151"/>
      <c r="G141" s="84"/>
      <c r="H141" s="76"/>
    </row>
    <row r="142" spans="1:8">
      <c r="A142" s="2"/>
      <c r="B142" s="1"/>
      <c r="C142" s="21"/>
      <c r="D142" s="24"/>
      <c r="E142" s="14"/>
      <c r="F142" s="151"/>
      <c r="G142" s="84"/>
      <c r="H142" s="76"/>
    </row>
    <row r="143" spans="1:8">
      <c r="A143" s="54"/>
      <c r="B143" s="1"/>
      <c r="C143" s="21"/>
      <c r="D143" s="24"/>
      <c r="E143" s="14"/>
      <c r="F143" s="151"/>
      <c r="G143" s="84"/>
      <c r="H143" s="76"/>
    </row>
    <row r="144" spans="1:8">
      <c r="A144" s="2"/>
      <c r="C144" s="21"/>
      <c r="D144" s="92"/>
      <c r="E144" s="64"/>
      <c r="F144" s="152"/>
      <c r="G144" s="84"/>
      <c r="H144" s="76"/>
    </row>
    <row r="145" spans="1:10">
      <c r="A145" s="2"/>
      <c r="C145" s="21"/>
      <c r="D145" s="36"/>
      <c r="E145" s="64"/>
      <c r="F145" s="152"/>
      <c r="G145" s="84"/>
      <c r="H145" s="76"/>
    </row>
    <row r="146" spans="1:10">
      <c r="A146" s="2"/>
      <c r="C146" s="21"/>
      <c r="D146" s="36"/>
      <c r="E146" s="58"/>
      <c r="F146" s="124"/>
      <c r="G146" s="84"/>
      <c r="H146" s="76"/>
    </row>
    <row r="147" spans="1:10">
      <c r="A147" s="2"/>
      <c r="C147" s="21"/>
      <c r="D147" s="92"/>
      <c r="E147" s="7"/>
      <c r="F147" s="76"/>
      <c r="G147" s="84"/>
      <c r="H147" s="76"/>
    </row>
    <row r="148" spans="1:10">
      <c r="A148" s="2"/>
      <c r="C148" s="21"/>
      <c r="D148" s="24"/>
      <c r="F148" s="76"/>
      <c r="G148" s="84"/>
      <c r="H148" s="76"/>
    </row>
    <row r="149" spans="1:10">
      <c r="A149" s="2"/>
    </row>
    <row r="150" spans="1:10">
      <c r="A150" s="2"/>
    </row>
    <row r="151" spans="1:10">
      <c r="A151" s="2"/>
    </row>
    <row r="152" spans="1:10">
      <c r="A152" s="2"/>
      <c r="B152" s="1"/>
    </row>
    <row r="153" spans="1:10">
      <c r="A153" s="2"/>
      <c r="B153" s="12"/>
    </row>
    <row r="154" spans="1:10">
      <c r="A154" s="2"/>
      <c r="B154" s="12"/>
    </row>
    <row r="155" spans="1:10">
      <c r="A155" s="2"/>
      <c r="B155" s="12"/>
    </row>
    <row r="156" spans="1:10">
      <c r="A156" s="2"/>
    </row>
    <row r="157" spans="1:10">
      <c r="A157" s="2"/>
      <c r="B157" s="1"/>
    </row>
    <row r="158" spans="1:10">
      <c r="A158" s="2"/>
    </row>
    <row r="159" spans="1:10">
      <c r="A159" s="54"/>
      <c r="C159" s="25"/>
      <c r="D159" s="3"/>
      <c r="G159" s="14"/>
      <c r="H159" s="14"/>
      <c r="I159" s="14"/>
      <c r="J159" s="14"/>
    </row>
    <row r="160" spans="1:10">
      <c r="A160" s="2"/>
      <c r="C160" s="20"/>
      <c r="D160" s="149"/>
      <c r="F160" s="8"/>
      <c r="G160" s="14"/>
      <c r="H160" s="14"/>
      <c r="I160" s="14"/>
      <c r="J160" s="14"/>
    </row>
    <row r="161" spans="1:10">
      <c r="A161" s="2"/>
      <c r="C161" s="21"/>
      <c r="D161" s="149"/>
      <c r="F161" s="8"/>
      <c r="G161" s="14"/>
      <c r="H161" s="14"/>
      <c r="I161" s="14"/>
      <c r="J161" s="14"/>
    </row>
    <row r="162" spans="1:10">
      <c r="A162" s="2"/>
      <c r="C162" s="21"/>
      <c r="D162" s="149"/>
      <c r="F162" s="8"/>
      <c r="G162" s="14"/>
      <c r="H162" s="14"/>
      <c r="I162" s="14"/>
      <c r="J162" s="14"/>
    </row>
    <row r="163" spans="1:10">
      <c r="A163" s="2"/>
      <c r="C163" s="20"/>
      <c r="D163" s="149"/>
      <c r="F163" s="8"/>
      <c r="G163" s="14"/>
      <c r="H163" s="14"/>
      <c r="I163" s="14"/>
      <c r="J163" s="14"/>
    </row>
    <row r="164" spans="1:10">
      <c r="A164" s="2"/>
      <c r="C164" s="21"/>
      <c r="D164" s="149"/>
      <c r="F164" s="8"/>
      <c r="G164" s="14"/>
      <c r="H164" s="14"/>
      <c r="I164" s="14"/>
      <c r="J164" s="14"/>
    </row>
    <row r="165" spans="1:10">
      <c r="A165" s="2"/>
      <c r="C165" s="21"/>
      <c r="D165" s="149"/>
      <c r="F165" s="8"/>
      <c r="G165" s="14"/>
      <c r="H165" s="14"/>
      <c r="I165" s="14"/>
      <c r="J165" s="14"/>
    </row>
    <row r="166" spans="1:10">
      <c r="A166" s="2"/>
      <c r="C166" s="20"/>
      <c r="D166" s="149"/>
      <c r="F166" s="8"/>
      <c r="G166" s="14"/>
      <c r="H166" s="14"/>
      <c r="I166" s="14"/>
      <c r="J166" s="14"/>
    </row>
    <row r="167" spans="1:10">
      <c r="A167" s="2"/>
      <c r="C167" s="21"/>
      <c r="D167" s="149"/>
      <c r="F167" s="8"/>
      <c r="G167" s="14"/>
      <c r="H167" s="14"/>
      <c r="I167" s="14"/>
      <c r="J167" s="14"/>
    </row>
    <row r="168" spans="1:10">
      <c r="A168" s="2"/>
      <c r="C168" s="21"/>
      <c r="D168" s="149"/>
      <c r="F168" s="8"/>
      <c r="G168" s="14"/>
      <c r="H168" s="14"/>
      <c r="I168" s="14"/>
      <c r="J168" s="14"/>
    </row>
    <row r="169" spans="1:10">
      <c r="A169" s="2"/>
      <c r="C169" s="20"/>
      <c r="D169" s="149"/>
      <c r="F169" s="8"/>
      <c r="G169" s="14"/>
      <c r="H169" s="14"/>
      <c r="I169" s="14"/>
      <c r="J169" s="14"/>
    </row>
    <row r="170" spans="1:10">
      <c r="A170" s="2"/>
      <c r="C170" s="20"/>
      <c r="D170" s="149"/>
      <c r="F170" s="8"/>
    </row>
    <row r="171" spans="1:10">
      <c r="A171" s="2"/>
      <c r="C171" s="21"/>
      <c r="D171" s="150"/>
      <c r="F171" s="88"/>
    </row>
    <row r="172" spans="1:10">
      <c r="A172" s="2"/>
      <c r="C172" s="34"/>
      <c r="D172" s="149"/>
    </row>
  </sheetData>
  <phoneticPr fontId="25" type="noConversion"/>
  <pageMargins left="0.75" right="0.75" top="1" bottom="1" header="0.5" footer="0.5"/>
  <pageSetup scale="80" orientation="landscape" cellComments="asDisplayed" r:id="rId1"/>
  <headerFooter alignWithMargins="0">
    <oddHeader>&amp;CSchedule 4
True Up TRR
&amp;RTO11 Draft Annual Update
Attachment 1</oddHeader>
    <oddFooter>&amp;R&amp;A</oddFooter>
  </headerFooter>
  <rowBreaks count="4" manualBreakCount="4">
    <brk id="46" max="9" man="1"/>
    <brk id="73" max="16383" man="1"/>
    <brk id="119" max="9" man="1"/>
    <brk id="15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zoomScaleNormal="100" zoomScalePageLayoutView="90" workbookViewId="0"/>
  </sheetViews>
  <sheetFormatPr defaultRowHeight="12.75"/>
  <cols>
    <col min="1" max="1" width="4.7109375" customWidth="1"/>
    <col min="2" max="2" width="3.7109375" customWidth="1"/>
    <col min="4" max="4" width="13.7109375" customWidth="1"/>
    <col min="6" max="7" width="10.7109375" customWidth="1"/>
    <col min="9" max="9" width="27.7109375" customWidth="1"/>
    <col min="10" max="10" width="30.7109375" customWidth="1"/>
    <col min="11" max="11" width="2.7109375" customWidth="1"/>
    <col min="12" max="12" width="16.7109375" customWidth="1"/>
    <col min="13" max="13" width="1.7109375" customWidth="1"/>
    <col min="14" max="14" width="4.7109375" style="14" customWidth="1"/>
    <col min="15" max="27" width="14.7109375" style="14" customWidth="1"/>
  </cols>
  <sheetData>
    <row r="1" spans="1:27">
      <c r="A1" s="1" t="s">
        <v>24</v>
      </c>
      <c r="J1" s="102" t="s">
        <v>332</v>
      </c>
      <c r="K1" s="14"/>
      <c r="L1" s="14"/>
    </row>
    <row r="2" spans="1:27">
      <c r="B2" s="1"/>
      <c r="I2" s="610"/>
      <c r="J2" s="610" t="s">
        <v>188</v>
      </c>
      <c r="L2" s="264">
        <v>2015</v>
      </c>
    </row>
    <row r="3" spans="1:27">
      <c r="I3" s="3" t="s">
        <v>187</v>
      </c>
      <c r="J3" s="3" t="s">
        <v>189</v>
      </c>
      <c r="L3" s="3" t="s">
        <v>190</v>
      </c>
    </row>
    <row r="5" spans="1:27">
      <c r="A5" s="10" t="s">
        <v>196</v>
      </c>
      <c r="B5" s="127"/>
      <c r="C5" s="11"/>
      <c r="D5" s="11"/>
      <c r="E5" s="11"/>
      <c r="F5" s="11"/>
      <c r="G5" s="11"/>
      <c r="H5" s="11"/>
      <c r="I5" s="9"/>
      <c r="J5" s="9"/>
      <c r="K5" s="9"/>
      <c r="L5" s="9"/>
      <c r="N5" s="617"/>
      <c r="O5" s="618"/>
      <c r="P5" s="618"/>
      <c r="Q5" s="618"/>
      <c r="R5" s="618"/>
      <c r="S5" s="618"/>
    </row>
    <row r="6" spans="1:27">
      <c r="B6" s="44"/>
      <c r="C6" s="524"/>
      <c r="D6" s="524"/>
      <c r="E6" s="524"/>
      <c r="F6" s="524"/>
      <c r="G6" s="524"/>
      <c r="H6" s="524"/>
      <c r="I6" s="524"/>
      <c r="J6" s="524"/>
      <c r="K6" s="524"/>
      <c r="L6" s="524"/>
      <c r="O6" s="369"/>
      <c r="P6" s="369"/>
      <c r="Q6" s="369"/>
      <c r="R6" s="369"/>
      <c r="S6" s="369"/>
      <c r="T6" s="369"/>
      <c r="U6" s="369"/>
      <c r="V6" s="369"/>
      <c r="W6" s="369"/>
      <c r="X6" s="369"/>
      <c r="Y6" s="369"/>
      <c r="Z6" s="369"/>
      <c r="AA6" s="369"/>
    </row>
    <row r="7" spans="1:27">
      <c r="A7" s="54" t="s">
        <v>350</v>
      </c>
      <c r="B7" s="44"/>
      <c r="C7" s="45" t="s">
        <v>294</v>
      </c>
      <c r="D7" s="524"/>
      <c r="E7" s="524"/>
      <c r="F7" s="524"/>
      <c r="G7" s="524"/>
      <c r="H7" s="524"/>
      <c r="I7" s="524"/>
      <c r="J7" s="522"/>
      <c r="K7" s="524"/>
      <c r="L7" s="524"/>
      <c r="N7" s="619"/>
      <c r="O7" s="620"/>
      <c r="P7" s="599"/>
      <c r="Q7" s="599"/>
      <c r="R7" s="599"/>
      <c r="S7" s="599"/>
      <c r="T7" s="599"/>
      <c r="U7" s="599"/>
      <c r="V7" s="599"/>
      <c r="W7" s="599"/>
      <c r="X7" s="599"/>
      <c r="Y7" s="599"/>
      <c r="Z7" s="599"/>
      <c r="AA7" s="599"/>
    </row>
    <row r="8" spans="1:27">
      <c r="A8" s="117">
        <v>1</v>
      </c>
      <c r="B8" s="44"/>
      <c r="C8" s="524" t="s">
        <v>225</v>
      </c>
      <c r="D8" s="524"/>
      <c r="E8" s="524"/>
      <c r="F8" s="524"/>
      <c r="G8" s="524"/>
      <c r="H8" s="524"/>
      <c r="I8" s="524" t="s">
        <v>1840</v>
      </c>
      <c r="J8" s="521" t="str">
        <f>"5-ROR-2, Line "&amp;'5-ROR-2'!A8&amp;""</f>
        <v>5-ROR-2, Line 1</v>
      </c>
      <c r="K8" s="524"/>
      <c r="L8" s="534">
        <f>'5-ROR-2'!C8</f>
        <v>10487314725.295382</v>
      </c>
      <c r="N8" s="117"/>
      <c r="O8" s="534"/>
      <c r="P8" s="534"/>
      <c r="Q8" s="534"/>
      <c r="R8" s="534"/>
      <c r="S8" s="534"/>
      <c r="T8" s="534"/>
      <c r="U8" s="534"/>
      <c r="V8" s="534"/>
      <c r="W8" s="534"/>
      <c r="X8" s="534"/>
      <c r="Y8" s="534"/>
      <c r="Z8" s="534"/>
      <c r="AA8" s="534"/>
    </row>
    <row r="9" spans="1:27">
      <c r="A9" s="117">
        <f>A8+1</f>
        <v>2</v>
      </c>
      <c r="B9" s="44"/>
      <c r="C9" s="524" t="s">
        <v>226</v>
      </c>
      <c r="D9" s="524"/>
      <c r="E9" s="524"/>
      <c r="F9" s="524"/>
      <c r="G9" s="524"/>
      <c r="H9" s="524"/>
      <c r="I9" s="524" t="s">
        <v>1840</v>
      </c>
      <c r="J9" s="521" t="str">
        <f>"5-ROR-2, Line "&amp;'5-ROR-2'!A10&amp;""</f>
        <v>5-ROR-2, Line 2</v>
      </c>
      <c r="K9" s="524"/>
      <c r="L9" s="534">
        <f>'5-ROR-2'!C10</f>
        <v>-70166153.84615384</v>
      </c>
      <c r="N9" s="117"/>
      <c r="O9" s="534"/>
      <c r="P9" s="534"/>
      <c r="Q9" s="534"/>
      <c r="R9" s="534"/>
      <c r="S9" s="534"/>
      <c r="T9" s="534"/>
      <c r="U9" s="534"/>
      <c r="V9" s="534"/>
      <c r="W9" s="534"/>
      <c r="X9" s="534"/>
      <c r="Y9" s="534"/>
      <c r="Z9" s="534"/>
      <c r="AA9" s="534"/>
    </row>
    <row r="10" spans="1:27">
      <c r="A10" s="117" t="s">
        <v>568</v>
      </c>
      <c r="B10" s="44"/>
      <c r="C10" s="524" t="s">
        <v>2199</v>
      </c>
      <c r="D10" s="1036"/>
      <c r="E10" s="1036"/>
      <c r="F10" s="1036"/>
      <c r="G10" s="1036"/>
      <c r="H10" s="1036"/>
      <c r="I10" s="524" t="s">
        <v>1840</v>
      </c>
      <c r="J10" s="521" t="str">
        <f>"5-ROR-2, Line "&amp;'5-ROR-2'!A12&amp;""</f>
        <v>5-ROR-2, Line 2a</v>
      </c>
      <c r="K10" s="524"/>
      <c r="L10" s="534">
        <f>'5-ROR-2'!C12</f>
        <v>0</v>
      </c>
      <c r="N10" s="117"/>
      <c r="O10" s="534"/>
      <c r="P10" s="534"/>
      <c r="Q10" s="534"/>
      <c r="R10" s="534"/>
      <c r="S10" s="534"/>
      <c r="T10" s="534"/>
      <c r="U10" s="534"/>
      <c r="V10" s="534"/>
      <c r="W10" s="534"/>
      <c r="X10" s="534"/>
      <c r="Y10" s="534"/>
      <c r="Z10" s="534"/>
      <c r="AA10" s="534"/>
    </row>
    <row r="11" spans="1:27">
      <c r="A11" s="117">
        <f>A9+1</f>
        <v>3</v>
      </c>
      <c r="B11" s="44"/>
      <c r="C11" s="524" t="s">
        <v>227</v>
      </c>
      <c r="D11" s="524"/>
      <c r="E11" s="524"/>
      <c r="F11" s="524"/>
      <c r="G11" s="524"/>
      <c r="H11" s="524"/>
      <c r="I11" s="524" t="s">
        <v>1840</v>
      </c>
      <c r="J11" s="521" t="str">
        <f>"5-ROR-2, Line "&amp;'5-ROR-2'!A14&amp;""</f>
        <v>5-ROR-2, Line 3</v>
      </c>
      <c r="K11" s="524"/>
      <c r="L11" s="534">
        <f>'5-ROR-2'!C14</f>
        <v>226379011.00615385</v>
      </c>
      <c r="N11" s="117"/>
      <c r="O11" s="534"/>
      <c r="P11" s="534"/>
      <c r="Q11" s="534"/>
      <c r="R11" s="534"/>
      <c r="S11" s="534"/>
      <c r="T11" s="534"/>
      <c r="U11" s="534"/>
      <c r="V11" s="534"/>
      <c r="W11" s="534"/>
      <c r="X11" s="534"/>
      <c r="Y11" s="534"/>
      <c r="Z11" s="534"/>
      <c r="AA11" s="534"/>
    </row>
    <row r="12" spans="1:27">
      <c r="A12" s="117">
        <f>A11+1</f>
        <v>4</v>
      </c>
      <c r="B12" s="44"/>
      <c r="C12" s="524" t="s">
        <v>2468</v>
      </c>
      <c r="D12" s="524"/>
      <c r="E12" s="524"/>
      <c r="F12" s="524"/>
      <c r="G12" s="524"/>
      <c r="H12" s="524"/>
      <c r="I12" s="524"/>
      <c r="J12" s="521"/>
      <c r="K12" s="524"/>
      <c r="L12" s="534"/>
      <c r="N12" s="117"/>
      <c r="O12" s="534"/>
      <c r="P12" s="534"/>
      <c r="Q12" s="534"/>
      <c r="R12" s="534"/>
      <c r="S12" s="534"/>
      <c r="T12" s="534"/>
      <c r="U12" s="534"/>
      <c r="V12" s="534"/>
      <c r="W12" s="534"/>
      <c r="X12" s="534"/>
      <c r="Y12" s="534"/>
      <c r="Z12" s="534"/>
      <c r="AA12" s="534"/>
    </row>
    <row r="13" spans="1:27">
      <c r="A13" s="117">
        <f>A12+1</f>
        <v>5</v>
      </c>
      <c r="B13" s="44"/>
      <c r="C13" s="524" t="s">
        <v>2468</v>
      </c>
      <c r="D13" s="524"/>
      <c r="E13" s="524"/>
      <c r="F13" s="524"/>
      <c r="G13" s="524"/>
      <c r="H13" s="524"/>
      <c r="I13" s="524"/>
      <c r="J13" s="521"/>
      <c r="K13" s="524"/>
      <c r="L13" s="534"/>
      <c r="N13" s="117"/>
      <c r="O13" s="534"/>
      <c r="P13" s="534"/>
      <c r="Q13" s="534"/>
      <c r="R13" s="534"/>
      <c r="S13" s="534"/>
      <c r="T13" s="534"/>
      <c r="U13" s="534"/>
      <c r="V13" s="534"/>
      <c r="W13" s="534"/>
      <c r="X13" s="534"/>
      <c r="Y13" s="534"/>
      <c r="Z13" s="534"/>
      <c r="AA13" s="534"/>
    </row>
    <row r="14" spans="1:27">
      <c r="A14" s="117">
        <f>A13+1</f>
        <v>6</v>
      </c>
      <c r="B14" s="44"/>
      <c r="C14" s="524" t="s">
        <v>2468</v>
      </c>
      <c r="D14" s="524"/>
      <c r="E14" s="524"/>
      <c r="F14" s="524"/>
      <c r="G14" s="524"/>
      <c r="H14" s="524"/>
      <c r="I14" s="524"/>
      <c r="J14" s="521"/>
      <c r="K14" s="524"/>
      <c r="L14" s="534"/>
      <c r="N14" s="117"/>
      <c r="O14" s="534"/>
      <c r="P14" s="534"/>
      <c r="Q14" s="534"/>
      <c r="R14" s="534"/>
      <c r="S14" s="534"/>
      <c r="T14" s="534"/>
      <c r="U14" s="534"/>
      <c r="V14" s="534"/>
      <c r="W14" s="534"/>
      <c r="X14" s="534"/>
      <c r="Y14" s="534"/>
      <c r="Z14" s="534"/>
      <c r="AA14" s="534"/>
    </row>
    <row r="15" spans="1:27">
      <c r="A15" s="117">
        <f t="shared" ref="A15:A16" si="0">A14+1</f>
        <v>7</v>
      </c>
      <c r="B15" s="44"/>
      <c r="C15" s="524" t="s">
        <v>2468</v>
      </c>
      <c r="D15" s="524"/>
      <c r="E15" s="524"/>
      <c r="F15" s="524"/>
      <c r="G15" s="524"/>
      <c r="H15" s="524"/>
      <c r="I15" s="524"/>
      <c r="J15" s="521"/>
      <c r="K15" s="524"/>
      <c r="L15" s="534"/>
      <c r="N15" s="117"/>
      <c r="O15" s="534"/>
      <c r="P15" s="534"/>
      <c r="Q15" s="534"/>
      <c r="R15" s="534"/>
      <c r="S15" s="534"/>
      <c r="T15" s="534"/>
      <c r="U15" s="534"/>
      <c r="V15" s="534"/>
      <c r="W15" s="534"/>
      <c r="X15" s="534"/>
      <c r="Y15" s="534"/>
      <c r="Z15" s="534"/>
      <c r="AA15" s="534"/>
    </row>
    <row r="16" spans="1:27">
      <c r="A16" s="117">
        <f t="shared" si="0"/>
        <v>8</v>
      </c>
      <c r="B16" s="44"/>
      <c r="C16" s="521" t="s">
        <v>228</v>
      </c>
      <c r="D16" s="524"/>
      <c r="E16" s="524"/>
      <c r="F16" s="524"/>
      <c r="G16" s="524"/>
      <c r="H16" s="524"/>
      <c r="I16" s="14"/>
      <c r="J16" s="521" t="str">
        <f>"L"&amp;A8&amp;" + L"&amp;A9&amp;" + L"&amp;A10&amp;" + L"&amp;A11&amp;""</f>
        <v>L1 + L2 + L2a + L3</v>
      </c>
      <c r="K16" s="524"/>
      <c r="L16" s="536">
        <f>SUM(L8:L11)</f>
        <v>10643527582.455381</v>
      </c>
    </row>
    <row r="17" spans="1:27">
      <c r="A17" s="14"/>
      <c r="B17" s="44"/>
      <c r="C17" s="524"/>
      <c r="D17" s="524"/>
      <c r="E17" s="524"/>
      <c r="F17" s="524"/>
      <c r="G17" s="524" t="s">
        <v>359</v>
      </c>
      <c r="H17" s="524"/>
      <c r="I17" s="524"/>
      <c r="J17" s="521"/>
      <c r="K17" s="524"/>
      <c r="L17" s="524"/>
    </row>
    <row r="18" spans="1:27">
      <c r="A18" s="117"/>
      <c r="B18" s="44"/>
      <c r="C18" s="45" t="s">
        <v>295</v>
      </c>
      <c r="D18" s="524"/>
      <c r="E18" s="524"/>
      <c r="F18" s="524"/>
      <c r="G18" s="524"/>
      <c r="H18" s="524"/>
      <c r="I18" s="524"/>
      <c r="J18" s="521"/>
      <c r="K18" s="524"/>
      <c r="L18" s="524"/>
    </row>
    <row r="19" spans="1:27">
      <c r="A19" s="117">
        <f>A16+1</f>
        <v>9</v>
      </c>
      <c r="B19" s="44"/>
      <c r="C19" s="524" t="s">
        <v>230</v>
      </c>
      <c r="D19" s="524"/>
      <c r="E19" s="524"/>
      <c r="F19" s="524"/>
      <c r="G19" s="524"/>
      <c r="H19" s="524"/>
      <c r="I19" s="524"/>
      <c r="J19" s="521" t="s">
        <v>402</v>
      </c>
      <c r="K19" s="524"/>
      <c r="L19" s="535">
        <v>472179700</v>
      </c>
    </row>
    <row r="20" spans="1:27">
      <c r="A20" s="117">
        <f>A19+1</f>
        <v>10</v>
      </c>
      <c r="B20" s="44"/>
      <c r="C20" s="524" t="s">
        <v>229</v>
      </c>
      <c r="D20" s="524"/>
      <c r="E20" s="524"/>
      <c r="F20" s="524"/>
      <c r="G20" s="524"/>
      <c r="H20" s="524"/>
      <c r="I20" s="524"/>
      <c r="J20" s="521" t="s">
        <v>403</v>
      </c>
      <c r="K20" s="524"/>
      <c r="L20" s="535">
        <v>27997794</v>
      </c>
    </row>
    <row r="21" spans="1:27">
      <c r="A21" s="117">
        <f t="shared" ref="A21:A27" si="1">A20+1</f>
        <v>11</v>
      </c>
      <c r="B21" s="44"/>
      <c r="C21" s="524" t="s">
        <v>231</v>
      </c>
      <c r="D21" s="524"/>
      <c r="E21" s="524"/>
      <c r="F21" s="524"/>
      <c r="G21" s="524"/>
      <c r="H21" s="524"/>
      <c r="I21" s="524"/>
      <c r="J21" s="521" t="s">
        <v>404</v>
      </c>
      <c r="K21" s="524"/>
      <c r="L21" s="535">
        <v>0</v>
      </c>
    </row>
    <row r="22" spans="1:27">
      <c r="A22" s="117">
        <f t="shared" si="1"/>
        <v>12</v>
      </c>
      <c r="B22" s="44"/>
      <c r="C22" s="524" t="s">
        <v>297</v>
      </c>
      <c r="D22" s="524"/>
      <c r="E22" s="524"/>
      <c r="F22" s="524"/>
      <c r="G22" s="524"/>
      <c r="H22" s="524"/>
      <c r="I22" s="524" t="s">
        <v>232</v>
      </c>
      <c r="J22" s="521" t="s">
        <v>405</v>
      </c>
      <c r="K22" s="524"/>
      <c r="L22" s="535">
        <v>0</v>
      </c>
    </row>
    <row r="23" spans="1:27">
      <c r="A23" s="117">
        <f t="shared" si="1"/>
        <v>13</v>
      </c>
      <c r="B23" s="44"/>
      <c r="C23" s="524" t="s">
        <v>233</v>
      </c>
      <c r="D23" s="524"/>
      <c r="E23" s="524"/>
      <c r="F23" s="524"/>
      <c r="G23" s="524"/>
      <c r="H23" s="524"/>
      <c r="I23" s="524" t="s">
        <v>232</v>
      </c>
      <c r="J23" s="521" t="s">
        <v>406</v>
      </c>
      <c r="K23" s="524"/>
      <c r="L23" s="535">
        <v>0</v>
      </c>
    </row>
    <row r="24" spans="1:27">
      <c r="A24" s="117" t="s">
        <v>1313</v>
      </c>
      <c r="B24" s="44"/>
      <c r="C24" s="524" t="s">
        <v>2200</v>
      </c>
      <c r="D24" s="524"/>
      <c r="E24" s="524"/>
      <c r="F24" s="524"/>
      <c r="G24" s="524"/>
      <c r="H24" s="524"/>
      <c r="I24" s="524"/>
      <c r="J24" s="521" t="s">
        <v>2201</v>
      </c>
      <c r="K24" s="524"/>
      <c r="L24" s="535">
        <v>0</v>
      </c>
    </row>
    <row r="25" spans="1:27">
      <c r="A25" s="117">
        <f>A23+1</f>
        <v>14</v>
      </c>
      <c r="B25" s="44"/>
      <c r="C25" s="524" t="s">
        <v>2468</v>
      </c>
      <c r="D25" s="524"/>
      <c r="E25" s="524"/>
      <c r="F25" s="524"/>
      <c r="G25" s="524"/>
      <c r="H25" s="524"/>
      <c r="I25" s="524"/>
      <c r="J25" s="521"/>
      <c r="K25" s="524"/>
      <c r="L25" s="534"/>
    </row>
    <row r="26" spans="1:27">
      <c r="A26" s="117">
        <f t="shared" si="1"/>
        <v>15</v>
      </c>
      <c r="B26" s="44"/>
      <c r="C26" s="524" t="s">
        <v>2468</v>
      </c>
      <c r="D26" s="524"/>
      <c r="E26" s="524"/>
      <c r="F26" s="524"/>
      <c r="G26" s="524"/>
      <c r="H26" s="524"/>
      <c r="I26" s="524"/>
      <c r="J26" s="521"/>
      <c r="K26" s="524"/>
      <c r="L26" s="1037"/>
    </row>
    <row r="27" spans="1:27">
      <c r="A27" s="117">
        <f t="shared" si="1"/>
        <v>16</v>
      </c>
      <c r="B27" s="44"/>
      <c r="C27" s="521" t="s">
        <v>279</v>
      </c>
      <c r="D27" s="524"/>
      <c r="E27" s="524"/>
      <c r="F27" s="524"/>
      <c r="G27" s="524"/>
      <c r="H27" s="524"/>
      <c r="I27" s="14"/>
      <c r="J27" s="521" t="str">
        <f>"Sum of Lines "&amp;A19&amp;" to "&amp;A24&amp;""</f>
        <v>Sum of Lines 9 to 13a</v>
      </c>
      <c r="K27" s="524"/>
      <c r="L27" s="536">
        <f>SUM(L19:L24)</f>
        <v>500177494</v>
      </c>
    </row>
    <row r="28" spans="1:27">
      <c r="A28" s="14"/>
      <c r="B28" s="44"/>
      <c r="C28" s="524"/>
      <c r="D28" s="524"/>
      <c r="E28" s="524"/>
      <c r="F28" s="524"/>
      <c r="G28" s="524"/>
      <c r="H28" s="524"/>
      <c r="I28" s="524"/>
      <c r="J28" s="521"/>
      <c r="K28" s="524"/>
      <c r="L28" s="524"/>
    </row>
    <row r="29" spans="1:27">
      <c r="A29" s="117">
        <f>A27+1</f>
        <v>17</v>
      </c>
      <c r="B29" s="44"/>
      <c r="C29" s="524" t="s">
        <v>49</v>
      </c>
      <c r="D29" s="524"/>
      <c r="E29" s="524"/>
      <c r="F29" s="524"/>
      <c r="G29" s="524"/>
      <c r="H29" s="524"/>
      <c r="I29" s="14"/>
      <c r="J29" s="521" t="str">
        <f>"Line "&amp;A27&amp;" / Line "&amp;A16&amp;""</f>
        <v>Line 16 / Line 8</v>
      </c>
      <c r="K29" s="524"/>
      <c r="L29" s="439">
        <f>L27/L16</f>
        <v>4.6993582731394853E-2</v>
      </c>
    </row>
    <row r="30" spans="1:27">
      <c r="A30" s="117"/>
      <c r="B30" s="44"/>
      <c r="C30" s="524"/>
      <c r="D30" s="524"/>
      <c r="E30" s="524"/>
      <c r="F30" s="524"/>
      <c r="G30" s="524"/>
      <c r="H30" s="524"/>
      <c r="I30" s="14"/>
      <c r="J30" s="521"/>
      <c r="K30" s="524"/>
      <c r="L30" s="439"/>
    </row>
    <row r="31" spans="1:27">
      <c r="A31" s="14"/>
      <c r="B31" s="44"/>
      <c r="C31" s="45" t="s">
        <v>1661</v>
      </c>
      <c r="D31" s="524"/>
      <c r="E31" s="524"/>
      <c r="F31" s="524"/>
      <c r="G31" s="524"/>
      <c r="H31" s="524"/>
      <c r="I31" s="524"/>
      <c r="J31" s="521"/>
      <c r="K31" s="524"/>
      <c r="L31" s="524"/>
    </row>
    <row r="32" spans="1:27">
      <c r="A32" s="117">
        <f>A29+1</f>
        <v>18</v>
      </c>
      <c r="B32" s="44"/>
      <c r="C32" s="524" t="s">
        <v>50</v>
      </c>
      <c r="D32" s="524"/>
      <c r="E32" s="524"/>
      <c r="F32" s="524"/>
      <c r="G32" s="524"/>
      <c r="H32" s="524"/>
      <c r="I32" s="524" t="s">
        <v>1840</v>
      </c>
      <c r="J32" s="521" t="str">
        <f>"5-ROR-2, Line "&amp;'5-ROR-2'!A24&amp;""</f>
        <v>5-ROR-2, Line 18</v>
      </c>
      <c r="K32" s="524"/>
      <c r="L32" s="534">
        <f>'5-ROR-2'!C24</f>
        <v>2095038796.1538463</v>
      </c>
      <c r="N32" s="117"/>
      <c r="O32" s="534"/>
      <c r="P32" s="534"/>
      <c r="Q32" s="534"/>
      <c r="R32" s="534"/>
      <c r="S32" s="534"/>
      <c r="T32" s="534"/>
      <c r="U32" s="534"/>
      <c r="V32" s="534"/>
      <c r="W32" s="534"/>
      <c r="X32" s="534"/>
      <c r="Y32" s="534"/>
      <c r="Z32" s="534"/>
      <c r="AA32" s="534"/>
    </row>
    <row r="33" spans="1:27">
      <c r="A33" s="117">
        <f t="shared" ref="A33:A34" si="2">A32+1</f>
        <v>19</v>
      </c>
      <c r="B33" s="44"/>
      <c r="C33" s="524" t="s">
        <v>1657</v>
      </c>
      <c r="D33" s="524"/>
      <c r="E33" s="524"/>
      <c r="F33" s="524"/>
      <c r="G33" s="524"/>
      <c r="H33" s="524"/>
      <c r="I33" s="524" t="s">
        <v>1840</v>
      </c>
      <c r="J33" s="521" t="str">
        <f>"5-ROR-2, Line "&amp;'5-ROR-2'!A26&amp;""</f>
        <v>5-ROR-2, Line 19</v>
      </c>
      <c r="K33" s="524"/>
      <c r="L33" s="534">
        <f>'5-ROR-2'!C26</f>
        <v>-44825914.507741518</v>
      </c>
      <c r="N33" s="117"/>
      <c r="O33" s="534"/>
      <c r="P33" s="534"/>
      <c r="Q33" s="534"/>
      <c r="R33" s="534"/>
      <c r="S33" s="534"/>
      <c r="T33" s="534"/>
      <c r="U33" s="534"/>
      <c r="V33" s="534"/>
      <c r="W33" s="534"/>
      <c r="X33" s="534"/>
      <c r="Y33" s="534"/>
      <c r="Z33" s="534"/>
      <c r="AA33" s="534"/>
    </row>
    <row r="34" spans="1:27">
      <c r="A34" s="117">
        <f t="shared" si="2"/>
        <v>20</v>
      </c>
      <c r="B34" s="44"/>
      <c r="C34" s="524" t="s">
        <v>1288</v>
      </c>
      <c r="D34" s="524"/>
      <c r="E34" s="524"/>
      <c r="F34" s="524"/>
      <c r="G34" s="524"/>
      <c r="H34" s="524"/>
      <c r="I34" s="524" t="s">
        <v>1840</v>
      </c>
      <c r="J34" s="521" t="str">
        <f>"5-ROR-2, Line "&amp;'5-ROR-2'!A28&amp;""</f>
        <v>5-ROR-2, Line 20</v>
      </c>
      <c r="K34" s="524"/>
      <c r="L34" s="537">
        <f>'5-ROR-2'!C28</f>
        <v>-943834.06862745073</v>
      </c>
      <c r="N34" s="117"/>
      <c r="O34" s="534"/>
      <c r="P34" s="534"/>
      <c r="Q34" s="534"/>
      <c r="R34" s="534"/>
      <c r="S34" s="534"/>
      <c r="T34" s="534"/>
      <c r="U34" s="534"/>
      <c r="V34" s="534"/>
      <c r="W34" s="534"/>
      <c r="X34" s="534"/>
      <c r="Y34" s="534"/>
      <c r="Z34" s="534"/>
      <c r="AA34" s="534"/>
    </row>
    <row r="35" spans="1:27">
      <c r="A35" s="117">
        <f>A34+1</f>
        <v>21</v>
      </c>
      <c r="B35" s="44"/>
      <c r="C35" s="521" t="s">
        <v>56</v>
      </c>
      <c r="D35" s="524"/>
      <c r="E35" s="524"/>
      <c r="F35" s="524"/>
      <c r="G35" s="524"/>
      <c r="H35" s="524"/>
      <c r="I35" s="524"/>
      <c r="J35" s="521" t="str">
        <f>"Sum of Lines "&amp;A32&amp;" to "&amp;A34&amp;""</f>
        <v>Sum of Lines 18 to 20</v>
      </c>
      <c r="K35" s="524"/>
      <c r="L35" s="534">
        <f>SUM(L32:L34)</f>
        <v>2049269047.5774775</v>
      </c>
    </row>
    <row r="36" spans="1:27">
      <c r="A36" s="117"/>
      <c r="B36" s="44"/>
      <c r="C36" s="524"/>
      <c r="D36" s="524"/>
      <c r="E36" s="524"/>
      <c r="F36" s="524"/>
      <c r="G36" s="524"/>
      <c r="H36" s="524"/>
      <c r="I36" s="524"/>
      <c r="J36" s="521"/>
      <c r="K36" s="524"/>
      <c r="L36" s="534"/>
    </row>
    <row r="37" spans="1:27">
      <c r="A37" s="117"/>
      <c r="B37" s="44"/>
      <c r="C37" s="45" t="s">
        <v>1662</v>
      </c>
      <c r="D37" s="524"/>
      <c r="E37" s="524"/>
      <c r="F37" s="524"/>
      <c r="G37" s="524"/>
      <c r="H37" s="524"/>
      <c r="I37" s="524"/>
      <c r="J37" s="521"/>
      <c r="K37" s="524"/>
      <c r="L37" s="534"/>
    </row>
    <row r="38" spans="1:27">
      <c r="A38" s="117">
        <f>A35+1</f>
        <v>22</v>
      </c>
      <c r="B38" s="44"/>
      <c r="C38" s="524" t="s">
        <v>51</v>
      </c>
      <c r="D38" s="524"/>
      <c r="E38" s="524"/>
      <c r="F38" s="524"/>
      <c r="G38" s="524"/>
      <c r="H38" s="524"/>
      <c r="I38" s="524" t="s">
        <v>98</v>
      </c>
      <c r="J38" s="521" t="s">
        <v>407</v>
      </c>
      <c r="K38" s="524"/>
      <c r="L38" s="535">
        <v>112634891</v>
      </c>
    </row>
    <row r="39" spans="1:27">
      <c r="A39" s="117">
        <f>A38+1</f>
        <v>23</v>
      </c>
      <c r="B39" s="44"/>
      <c r="C39" s="524" t="s">
        <v>1289</v>
      </c>
      <c r="D39" s="524"/>
      <c r="E39" s="524"/>
      <c r="F39" s="524"/>
      <c r="G39" s="524"/>
      <c r="H39" s="524"/>
      <c r="I39" s="524"/>
      <c r="J39" s="521" t="s">
        <v>311</v>
      </c>
      <c r="K39" s="524"/>
      <c r="L39" s="534">
        <f>'5-ROR-2'!H74</f>
        <v>205467.64705882355</v>
      </c>
    </row>
    <row r="40" spans="1:27">
      <c r="A40" s="117">
        <f>A39+1</f>
        <v>24</v>
      </c>
      <c r="B40" s="44"/>
      <c r="C40" s="524" t="s">
        <v>1290</v>
      </c>
      <c r="D40" s="524"/>
      <c r="E40" s="524"/>
      <c r="F40" s="524"/>
      <c r="G40" s="524"/>
      <c r="H40" s="524"/>
      <c r="I40" s="524"/>
      <c r="J40" s="521" t="s">
        <v>1047</v>
      </c>
      <c r="K40" s="524"/>
      <c r="L40" s="534">
        <f>'5-ROR-2'!I64</f>
        <v>2468662.2000000002</v>
      </c>
    </row>
    <row r="41" spans="1:27">
      <c r="A41" s="117">
        <f t="shared" ref="A41" si="3">A40+1</f>
        <v>25</v>
      </c>
      <c r="B41" s="44"/>
      <c r="C41" s="521" t="s">
        <v>51</v>
      </c>
      <c r="D41" s="524"/>
      <c r="E41" s="524"/>
      <c r="F41" s="524"/>
      <c r="G41" s="524"/>
      <c r="H41" s="524"/>
      <c r="I41" s="14"/>
      <c r="J41" s="521" t="str">
        <f>"Sum of Lines "&amp;A38&amp;" to "&amp;A40&amp;""</f>
        <v>Sum of Lines 22 to 24</v>
      </c>
      <c r="K41" s="524"/>
      <c r="L41" s="536">
        <f>SUM(L38:L40)</f>
        <v>115309020.84705883</v>
      </c>
    </row>
    <row r="42" spans="1:27">
      <c r="A42" s="14"/>
      <c r="B42" s="44"/>
      <c r="C42" s="524"/>
      <c r="D42" s="524"/>
      <c r="E42" s="524"/>
      <c r="F42" s="524"/>
      <c r="G42" s="524"/>
      <c r="H42" s="524"/>
      <c r="I42" s="524"/>
      <c r="J42" s="521"/>
      <c r="K42" s="524"/>
      <c r="L42" s="534"/>
    </row>
    <row r="43" spans="1:27">
      <c r="A43" s="117">
        <f>A41+1</f>
        <v>26</v>
      </c>
      <c r="B43" s="44"/>
      <c r="C43" s="524" t="s">
        <v>52</v>
      </c>
      <c r="D43" s="524"/>
      <c r="E43" s="524"/>
      <c r="F43" s="524"/>
      <c r="G43" s="524"/>
      <c r="H43" s="524"/>
      <c r="I43" s="14"/>
      <c r="J43" s="521" t="str">
        <f>"Line "&amp;A41&amp;" / Line "&amp;A35&amp;""</f>
        <v>Line 25 / Line 21</v>
      </c>
      <c r="K43" s="524"/>
      <c r="L43" s="439">
        <f>L41/L35</f>
        <v>5.6268366022202025E-2</v>
      </c>
    </row>
    <row r="44" spans="1:27">
      <c r="A44" s="14"/>
      <c r="B44" s="44"/>
      <c r="C44" s="524"/>
      <c r="D44" s="524"/>
      <c r="E44" s="524"/>
      <c r="F44" s="524"/>
      <c r="G44" s="524"/>
      <c r="H44" s="524"/>
      <c r="I44" s="524"/>
      <c r="J44" s="521"/>
      <c r="K44" s="524"/>
      <c r="L44" s="524"/>
    </row>
    <row r="45" spans="1:27">
      <c r="A45" s="14"/>
      <c r="B45" s="44"/>
      <c r="C45" s="45" t="s">
        <v>296</v>
      </c>
      <c r="D45" s="524"/>
      <c r="E45" s="524"/>
      <c r="F45" s="524"/>
      <c r="G45" s="524"/>
      <c r="H45" s="524"/>
      <c r="I45" s="538"/>
      <c r="J45" s="521"/>
      <c r="K45" s="524"/>
      <c r="L45" s="524"/>
    </row>
    <row r="46" spans="1:27">
      <c r="A46" s="117">
        <f>A43+1</f>
        <v>27</v>
      </c>
      <c r="B46" s="44"/>
      <c r="C46" s="524" t="s">
        <v>234</v>
      </c>
      <c r="D46" s="524"/>
      <c r="E46" s="524"/>
      <c r="F46" s="524"/>
      <c r="G46" s="524"/>
      <c r="H46" s="524"/>
      <c r="I46" s="524" t="s">
        <v>1840</v>
      </c>
      <c r="J46" s="521" t="str">
        <f>"5-ROR-2, Line "&amp;'5-ROR-2'!A30&amp;""</f>
        <v>5-ROR-2, Line 27</v>
      </c>
      <c r="K46" s="524"/>
      <c r="L46" s="534">
        <f>'5-ROR-2'!C30</f>
        <v>13696414266.026154</v>
      </c>
      <c r="N46" s="117"/>
      <c r="O46" s="534"/>
      <c r="P46" s="534"/>
      <c r="Q46" s="534"/>
      <c r="R46" s="534"/>
      <c r="S46" s="534"/>
      <c r="T46" s="534"/>
      <c r="U46" s="534"/>
      <c r="V46" s="534"/>
      <c r="W46" s="534"/>
      <c r="X46" s="534"/>
      <c r="Y46" s="534"/>
      <c r="Z46" s="534"/>
      <c r="AA46" s="534"/>
    </row>
    <row r="47" spans="1:27">
      <c r="A47" s="117">
        <f>A46+1</f>
        <v>28</v>
      </c>
      <c r="B47" s="44"/>
      <c r="C47" s="524" t="s">
        <v>54</v>
      </c>
      <c r="D47" s="524"/>
      <c r="E47" s="524"/>
      <c r="F47" s="524"/>
      <c r="G47" s="524"/>
      <c r="H47" s="524"/>
      <c r="I47" s="524" t="str">
        <f>"Same as L "&amp;A32&amp;", but negative"</f>
        <v>Same as L 18, but negative</v>
      </c>
      <c r="J47" s="521" t="str">
        <f>"5-ROR-2, Line "&amp;'5-ROR-2'!A24&amp;""</f>
        <v>5-ROR-2, Line 18</v>
      </c>
      <c r="K47" s="524"/>
      <c r="L47" s="534">
        <f>-'5-ROR-2'!C24</f>
        <v>-2095038796.1538463</v>
      </c>
      <c r="N47" s="117"/>
      <c r="O47" s="534"/>
      <c r="P47" s="534"/>
      <c r="Q47" s="534"/>
      <c r="R47" s="534"/>
      <c r="S47" s="534"/>
      <c r="T47" s="534"/>
      <c r="U47" s="534"/>
      <c r="V47" s="534"/>
      <c r="W47" s="534"/>
      <c r="X47" s="534"/>
      <c r="Y47" s="534"/>
      <c r="Z47" s="534"/>
      <c r="AA47" s="534"/>
    </row>
    <row r="48" spans="1:27">
      <c r="A48" s="117">
        <f t="shared" ref="A48:A50" si="4">A47+1</f>
        <v>29</v>
      </c>
      <c r="B48" s="44"/>
      <c r="C48" s="524" t="s">
        <v>1658</v>
      </c>
      <c r="D48" s="524"/>
      <c r="E48" s="524"/>
      <c r="F48" s="524"/>
      <c r="G48" s="524"/>
      <c r="H48" s="524"/>
      <c r="I48" s="524" t="str">
        <f>"Same as L "&amp;A34&amp;", but reverse sign"</f>
        <v>Same as L 20, but reverse sign</v>
      </c>
      <c r="J48" s="521" t="s">
        <v>1048</v>
      </c>
      <c r="K48" s="524"/>
      <c r="L48" s="534">
        <f>-L34</f>
        <v>943834.06862745073</v>
      </c>
      <c r="N48" s="117"/>
      <c r="O48" s="534"/>
      <c r="P48" s="534"/>
      <c r="Q48" s="534"/>
      <c r="R48" s="534"/>
      <c r="S48" s="534"/>
      <c r="T48" s="534"/>
      <c r="U48" s="534"/>
      <c r="V48" s="534"/>
      <c r="W48" s="534"/>
      <c r="X48" s="534"/>
      <c r="Y48" s="534"/>
      <c r="Z48" s="534"/>
      <c r="AA48" s="534"/>
    </row>
    <row r="49" spans="1:27">
      <c r="A49" s="117">
        <f t="shared" si="4"/>
        <v>30</v>
      </c>
      <c r="B49" s="44"/>
      <c r="C49" s="524" t="s">
        <v>1659</v>
      </c>
      <c r="D49" s="524"/>
      <c r="E49" s="524"/>
      <c r="F49" s="524"/>
      <c r="G49" s="524"/>
      <c r="H49" s="524"/>
      <c r="I49" s="524" t="s">
        <v>1840</v>
      </c>
      <c r="J49" s="521" t="str">
        <f>"5-ROR-2, Line "&amp;'5-ROR-2'!A32&amp;""</f>
        <v>5-ROR-2, Line 30</v>
      </c>
      <c r="K49" s="524"/>
      <c r="L49" s="534">
        <f>'5-ROR-2'!C32</f>
        <v>-3390875.6599999992</v>
      </c>
      <c r="N49" s="117"/>
      <c r="O49" s="534"/>
      <c r="P49" s="534"/>
      <c r="Q49" s="534"/>
      <c r="R49" s="534"/>
      <c r="S49" s="534"/>
      <c r="T49" s="534"/>
      <c r="U49" s="534"/>
      <c r="V49" s="534"/>
      <c r="W49" s="534"/>
      <c r="X49" s="534"/>
      <c r="Y49" s="534"/>
      <c r="Z49" s="534"/>
      <c r="AA49" s="534"/>
    </row>
    <row r="50" spans="1:27">
      <c r="A50" s="117">
        <f t="shared" si="4"/>
        <v>31</v>
      </c>
      <c r="B50" s="44"/>
      <c r="C50" s="524" t="s">
        <v>1660</v>
      </c>
      <c r="D50" s="524"/>
      <c r="E50" s="524"/>
      <c r="F50" s="524"/>
      <c r="G50" s="524"/>
      <c r="H50" s="524"/>
      <c r="I50" s="524" t="s">
        <v>1840</v>
      </c>
      <c r="J50" s="521" t="str">
        <f>"5-ROR-2, Line "&amp;'5-ROR-2'!A34&amp;""</f>
        <v>5-ROR-2, Line 31</v>
      </c>
      <c r="K50" s="524"/>
      <c r="L50" s="534">
        <f>'5-ROR-2'!C34</f>
        <v>25241661.231538467</v>
      </c>
      <c r="N50" s="117"/>
      <c r="O50" s="534"/>
      <c r="P50" s="534"/>
      <c r="Q50" s="534"/>
      <c r="R50" s="534"/>
      <c r="S50" s="534"/>
      <c r="T50" s="534"/>
      <c r="U50" s="534"/>
      <c r="V50" s="534"/>
      <c r="W50" s="534"/>
      <c r="X50" s="534"/>
      <c r="Y50" s="534"/>
      <c r="Z50" s="534"/>
      <c r="AA50" s="534"/>
    </row>
    <row r="51" spans="1:27">
      <c r="A51" s="117">
        <f>A50+1</f>
        <v>32</v>
      </c>
      <c r="B51" s="44"/>
      <c r="C51" s="524" t="s">
        <v>53</v>
      </c>
      <c r="D51" s="524"/>
      <c r="E51" s="524"/>
      <c r="F51" s="524"/>
      <c r="G51" s="524"/>
      <c r="H51" s="524"/>
      <c r="I51" s="524"/>
      <c r="J51" s="521" t="str">
        <f>"Sum of Lines "&amp;A46&amp;" to "&amp;A50&amp;""</f>
        <v>Sum of Lines 27 to 31</v>
      </c>
      <c r="K51" s="524"/>
      <c r="L51" s="536">
        <f>SUM(L46:L50)</f>
        <v>11624170089.512474</v>
      </c>
    </row>
    <row r="52" spans="1:27">
      <c r="B52" s="52" t="s">
        <v>256</v>
      </c>
      <c r="C52" s="524"/>
      <c r="D52" s="524"/>
      <c r="E52" s="524"/>
      <c r="F52" s="524"/>
      <c r="G52" s="524"/>
      <c r="H52" s="524"/>
      <c r="I52" s="524"/>
      <c r="J52" s="524"/>
      <c r="K52" s="522"/>
      <c r="L52" s="522"/>
    </row>
    <row r="53" spans="1:27">
      <c r="B53" s="524" t="s">
        <v>2528</v>
      </c>
      <c r="C53" s="14"/>
      <c r="D53" s="14"/>
      <c r="E53" s="14"/>
      <c r="F53" s="14"/>
      <c r="G53" s="14"/>
      <c r="H53" s="14"/>
      <c r="I53" s="14"/>
      <c r="J53" s="524"/>
    </row>
    <row r="54" spans="1:27">
      <c r="B54" s="524" t="s">
        <v>2529</v>
      </c>
      <c r="C54" s="14"/>
      <c r="D54" s="14"/>
      <c r="E54" s="14"/>
      <c r="F54" s="14"/>
      <c r="G54" s="14"/>
      <c r="H54" s="14"/>
      <c r="I54" s="14"/>
      <c r="J54" s="524"/>
    </row>
    <row r="55" spans="1:27">
      <c r="B55" s="524" t="s">
        <v>2540</v>
      </c>
      <c r="C55" s="14"/>
      <c r="D55" s="14"/>
      <c r="E55" s="14"/>
      <c r="F55" s="14"/>
      <c r="G55" s="14"/>
      <c r="H55" s="14"/>
      <c r="I55" s="14"/>
      <c r="J55" s="524"/>
    </row>
    <row r="56" spans="1:27">
      <c r="B56" s="524" t="s">
        <v>2541</v>
      </c>
      <c r="C56" s="14"/>
      <c r="D56" s="14"/>
      <c r="E56" s="14"/>
      <c r="F56" s="14"/>
      <c r="G56" s="14"/>
      <c r="H56" s="14"/>
      <c r="I56" s="14"/>
      <c r="J56" s="14"/>
    </row>
    <row r="57" spans="1:27">
      <c r="B57" s="539" t="str">
        <f>"5) Negative of Line "&amp;A34&amp;""&amp;", charge to common equity reversed for ratemaking."</f>
        <v>5) Negative of Line 20, charge to common equity reversed for ratemaking.</v>
      </c>
      <c r="C57" s="14"/>
      <c r="D57" s="14"/>
      <c r="E57" s="14"/>
      <c r="F57" s="14"/>
      <c r="G57" s="14"/>
      <c r="H57" s="14"/>
      <c r="I57" s="14"/>
      <c r="J57" s="14"/>
    </row>
    <row r="58" spans="1:27">
      <c r="B58" s="522"/>
    </row>
    <row r="59" spans="1:27">
      <c r="B59" s="526"/>
    </row>
    <row r="60" spans="1:27">
      <c r="B60" s="522"/>
    </row>
    <row r="61" spans="1:27">
      <c r="B61" s="526"/>
    </row>
  </sheetData>
  <phoneticPr fontId="25" type="noConversion"/>
  <pageMargins left="0.75" right="0.75" top="1" bottom="1" header="0.5" footer="0.5"/>
  <pageSetup scale="55" orientation="landscape" cellComments="asDisplayed" r:id="rId1"/>
  <headerFooter alignWithMargins="0">
    <oddHeader>&amp;CSchedule 5 ROR-1
Return and Capitalization
&amp;RTO11 Draft Annual Update
Attachment 1</oddHeader>
    <oddFooter>&amp;R&amp;A</oddFooter>
  </headerFooter>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8"/>
  <sheetViews>
    <sheetView zoomScaleNormal="100" workbookViewId="0"/>
  </sheetViews>
  <sheetFormatPr defaultRowHeight="12.75"/>
  <cols>
    <col min="1" max="1" width="4.7109375" customWidth="1"/>
    <col min="2" max="2" width="6.42578125" customWidth="1"/>
    <col min="3" max="3" width="14.7109375" customWidth="1"/>
    <col min="4" max="4" width="15.42578125" bestFit="1" customWidth="1"/>
    <col min="5" max="15" width="14.7109375" customWidth="1"/>
    <col min="16" max="16" width="15.42578125" bestFit="1" customWidth="1"/>
  </cols>
  <sheetData>
    <row r="1" spans="1:17">
      <c r="A1" s="1" t="s">
        <v>1867</v>
      </c>
      <c r="B1" s="1"/>
    </row>
    <row r="2" spans="1:17">
      <c r="A2" s="117" t="s">
        <v>2726</v>
      </c>
      <c r="B2" s="1260">
        <v>2015</v>
      </c>
    </row>
    <row r="3" spans="1:17">
      <c r="C3" s="91" t="s">
        <v>394</v>
      </c>
      <c r="D3" s="91" t="s">
        <v>378</v>
      </c>
      <c r="E3" s="91" t="s">
        <v>379</v>
      </c>
      <c r="F3" s="91" t="s">
        <v>380</v>
      </c>
      <c r="G3" s="91" t="s">
        <v>381</v>
      </c>
      <c r="H3" s="91" t="s">
        <v>382</v>
      </c>
      <c r="I3" s="91" t="s">
        <v>383</v>
      </c>
      <c r="J3" s="91" t="s">
        <v>596</v>
      </c>
      <c r="K3" s="91" t="s">
        <v>1045</v>
      </c>
      <c r="L3" s="91" t="s">
        <v>1061</v>
      </c>
      <c r="M3" s="91" t="s">
        <v>1064</v>
      </c>
      <c r="N3" s="91" t="s">
        <v>1082</v>
      </c>
      <c r="O3" s="91" t="s">
        <v>1664</v>
      </c>
      <c r="P3" s="91" t="s">
        <v>1665</v>
      </c>
    </row>
    <row r="4" spans="1:17">
      <c r="A4" s="3" t="s">
        <v>350</v>
      </c>
      <c r="B4" s="3" t="s">
        <v>1868</v>
      </c>
      <c r="C4" s="36" t="s">
        <v>10</v>
      </c>
      <c r="D4" s="540" t="s">
        <v>199</v>
      </c>
      <c r="E4" s="528" t="s">
        <v>200</v>
      </c>
      <c r="F4" s="528" t="s">
        <v>201</v>
      </c>
      <c r="G4" s="528" t="s">
        <v>214</v>
      </c>
      <c r="H4" s="528" t="s">
        <v>202</v>
      </c>
      <c r="I4" s="528" t="s">
        <v>203</v>
      </c>
      <c r="J4" s="528" t="s">
        <v>1663</v>
      </c>
      <c r="K4" s="528" t="s">
        <v>205</v>
      </c>
      <c r="L4" s="528" t="s">
        <v>206</v>
      </c>
      <c r="M4" s="528" t="s">
        <v>207</v>
      </c>
      <c r="N4" s="528" t="s">
        <v>210</v>
      </c>
      <c r="O4" s="528" t="s">
        <v>209</v>
      </c>
      <c r="P4" s="528" t="s">
        <v>199</v>
      </c>
    </row>
    <row r="5" spans="1:17">
      <c r="A5" s="3"/>
      <c r="B5" s="131"/>
      <c r="C5" s="599" t="s">
        <v>2727</v>
      </c>
      <c r="D5" s="620"/>
      <c r="E5" s="528"/>
      <c r="F5" s="528"/>
      <c r="G5" s="528"/>
      <c r="H5" s="528"/>
      <c r="I5" s="528"/>
      <c r="J5" s="528"/>
      <c r="K5" s="528"/>
      <c r="L5" s="528"/>
      <c r="M5" s="528"/>
      <c r="N5" s="528"/>
      <c r="O5" s="528"/>
      <c r="P5" s="528"/>
    </row>
    <row r="6" spans="1:17">
      <c r="A6" s="54"/>
      <c r="B6" s="54"/>
      <c r="C6" s="36"/>
      <c r="D6" s="540"/>
      <c r="E6" s="528"/>
      <c r="F6" s="528"/>
      <c r="G6" s="528"/>
      <c r="H6" s="528"/>
      <c r="I6" s="528"/>
      <c r="J6" s="528"/>
      <c r="K6" s="528"/>
      <c r="L6" s="528"/>
      <c r="M6" s="528"/>
      <c r="N6" s="528"/>
      <c r="O6" s="528"/>
      <c r="P6" s="528"/>
    </row>
    <row r="7" spans="1:17">
      <c r="B7" s="44" t="s">
        <v>1869</v>
      </c>
      <c r="D7" s="620"/>
      <c r="E7" s="528"/>
      <c r="F7" s="528"/>
      <c r="G7" s="528"/>
      <c r="H7" s="528"/>
      <c r="I7" s="528"/>
      <c r="J7" s="528"/>
      <c r="K7" s="528"/>
      <c r="L7" s="528"/>
      <c r="M7" s="528"/>
      <c r="N7" s="528"/>
      <c r="O7" s="528"/>
      <c r="P7" s="599"/>
    </row>
    <row r="8" spans="1:17">
      <c r="A8" s="117">
        <v>1</v>
      </c>
      <c r="B8" s="117"/>
      <c r="C8" s="534">
        <f>SUM(D8:P8)/13</f>
        <v>10487314725.295382</v>
      </c>
      <c r="D8" s="1218">
        <v>9814400000</v>
      </c>
      <c r="E8" s="1214">
        <v>10814400000</v>
      </c>
      <c r="F8" s="1214">
        <v>10414400000</v>
      </c>
      <c r="G8" s="1214">
        <v>10714400000</v>
      </c>
      <c r="H8" s="1214">
        <v>10544940000</v>
      </c>
      <c r="I8" s="1214">
        <v>10544940000</v>
      </c>
      <c r="J8" s="1214">
        <v>10544940000</v>
      </c>
      <c r="K8" s="1214">
        <v>10544940000</v>
      </c>
      <c r="L8" s="1214">
        <v>10505654285.709999</v>
      </c>
      <c r="M8" s="1214">
        <v>10505654285.709999</v>
      </c>
      <c r="N8" s="1214">
        <v>10505654285.709999</v>
      </c>
      <c r="O8" s="1214">
        <v>10505654285.709999</v>
      </c>
      <c r="P8" s="1218">
        <v>10375114286</v>
      </c>
      <c r="Q8" s="522"/>
    </row>
    <row r="9" spans="1:17">
      <c r="A9" s="117"/>
      <c r="B9" s="44" t="s">
        <v>2728</v>
      </c>
      <c r="C9" s="7"/>
      <c r="D9" s="534"/>
      <c r="E9" s="534"/>
      <c r="F9" s="534"/>
      <c r="G9" s="534"/>
      <c r="H9" s="534"/>
      <c r="I9" s="534"/>
      <c r="J9" s="534"/>
      <c r="K9" s="534"/>
      <c r="L9" s="534"/>
      <c r="M9" s="534"/>
      <c r="N9" s="534"/>
      <c r="O9" s="534"/>
      <c r="P9" s="534"/>
    </row>
    <row r="10" spans="1:17">
      <c r="A10" s="117">
        <f>A8+1</f>
        <v>2</v>
      </c>
      <c r="B10" s="117"/>
      <c r="C10" s="534">
        <f t="shared" ref="C10:C14" si="0">SUM(D10:P10)/13</f>
        <v>-70166153.84615384</v>
      </c>
      <c r="D10" s="1218">
        <f>-160540000</f>
        <v>-160540000</v>
      </c>
      <c r="E10" s="1215">
        <v>-160540000</v>
      </c>
      <c r="F10" s="1215">
        <v>-160540000</v>
      </c>
      <c r="G10" s="1215">
        <v>-160540000</v>
      </c>
      <c r="H10" s="1215">
        <v>-30000000</v>
      </c>
      <c r="I10" s="1215">
        <v>-30000000</v>
      </c>
      <c r="J10" s="1215">
        <v>-30000000</v>
      </c>
      <c r="K10" s="1215">
        <v>-30000000</v>
      </c>
      <c r="L10" s="1215">
        <v>-30000000</v>
      </c>
      <c r="M10" s="1215">
        <v>-30000000</v>
      </c>
      <c r="N10" s="1215">
        <v>-30000000</v>
      </c>
      <c r="O10" s="1215">
        <v>-30000000</v>
      </c>
      <c r="P10" s="1218">
        <f>-30000000</f>
        <v>-30000000</v>
      </c>
      <c r="Q10" s="522"/>
    </row>
    <row r="11" spans="1:17">
      <c r="A11" s="117"/>
      <c r="B11" s="44" t="s">
        <v>2198</v>
      </c>
      <c r="C11" s="14"/>
      <c r="D11" s="534"/>
      <c r="E11" s="534"/>
      <c r="F11" s="534"/>
      <c r="G11" s="534"/>
      <c r="H11" s="534"/>
      <c r="I11" s="534"/>
      <c r="J11" s="534"/>
      <c r="K11" s="534"/>
      <c r="L11" s="534"/>
      <c r="M11" s="534"/>
      <c r="N11" s="534"/>
      <c r="O11" s="534"/>
      <c r="P11" s="534"/>
    </row>
    <row r="12" spans="1:17">
      <c r="A12" s="117" t="s">
        <v>568</v>
      </c>
      <c r="B12" s="44"/>
      <c r="C12" s="534">
        <f>SUM(D12:P12)/13</f>
        <v>0</v>
      </c>
      <c r="D12" s="557">
        <v>0</v>
      </c>
      <c r="E12" s="557">
        <v>0</v>
      </c>
      <c r="F12" s="557">
        <v>0</v>
      </c>
      <c r="G12" s="557">
        <v>0</v>
      </c>
      <c r="H12" s="557">
        <v>0</v>
      </c>
      <c r="I12" s="557">
        <v>0</v>
      </c>
      <c r="J12" s="557">
        <v>0</v>
      </c>
      <c r="K12" s="557">
        <v>0</v>
      </c>
      <c r="L12" s="557">
        <v>0</v>
      </c>
      <c r="M12" s="557">
        <v>0</v>
      </c>
      <c r="N12" s="557">
        <v>0</v>
      </c>
      <c r="O12" s="557">
        <v>0</v>
      </c>
      <c r="P12" s="557">
        <v>0</v>
      </c>
      <c r="Q12" s="522"/>
    </row>
    <row r="13" spans="1:17">
      <c r="A13" s="117"/>
      <c r="B13" s="44" t="s">
        <v>1870</v>
      </c>
      <c r="D13" s="534"/>
      <c r="E13" s="534"/>
      <c r="F13" s="534"/>
      <c r="G13" s="534"/>
      <c r="H13" s="534"/>
      <c r="I13" s="534"/>
      <c r="J13" s="534"/>
      <c r="K13" s="534"/>
      <c r="L13" s="534"/>
      <c r="M13" s="534"/>
      <c r="N13" s="534"/>
      <c r="O13" s="534"/>
      <c r="P13" s="534"/>
    </row>
    <row r="14" spans="1:17">
      <c r="A14" s="117">
        <f>A10+1</f>
        <v>3</v>
      </c>
      <c r="B14" s="117"/>
      <c r="C14" s="534">
        <f t="shared" si="0"/>
        <v>226379011.00615385</v>
      </c>
      <c r="D14" s="1218">
        <v>306739959</v>
      </c>
      <c r="E14" s="1216">
        <v>306735258.25999999</v>
      </c>
      <c r="F14" s="1216">
        <v>306730537.55000001</v>
      </c>
      <c r="G14" s="1216">
        <v>306725796.93000001</v>
      </c>
      <c r="H14" s="1216">
        <v>176181036.31999999</v>
      </c>
      <c r="I14" s="1216">
        <v>176176255.63999999</v>
      </c>
      <c r="J14" s="1216">
        <v>176171454.80000001</v>
      </c>
      <c r="K14" s="1216">
        <v>176166645.84999999</v>
      </c>
      <c r="L14" s="1216">
        <v>176161804.44</v>
      </c>
      <c r="M14" s="1216">
        <v>176156942.62</v>
      </c>
      <c r="N14" s="1216">
        <v>176152060.28999999</v>
      </c>
      <c r="O14" s="1216">
        <v>176147157.38</v>
      </c>
      <c r="P14" s="1218">
        <v>306682234</v>
      </c>
      <c r="Q14" s="522"/>
    </row>
    <row r="15" spans="1:17">
      <c r="A15" s="117"/>
      <c r="B15" s="44"/>
      <c r="C15" s="14"/>
      <c r="D15" s="534"/>
      <c r="E15" s="534"/>
      <c r="F15" s="534"/>
      <c r="G15" s="534"/>
      <c r="H15" s="534"/>
      <c r="I15" s="534"/>
      <c r="J15" s="534"/>
      <c r="K15" s="534"/>
      <c r="L15" s="534"/>
      <c r="M15" s="534"/>
      <c r="N15" s="534"/>
      <c r="O15" s="534"/>
      <c r="P15" s="534"/>
    </row>
    <row r="16" spans="1:17">
      <c r="A16" s="117">
        <f>A14+1</f>
        <v>4</v>
      </c>
      <c r="B16" s="419" t="s">
        <v>2469</v>
      </c>
      <c r="C16" s="534"/>
      <c r="D16" s="534"/>
      <c r="E16" s="534"/>
      <c r="F16" s="534"/>
      <c r="G16" s="534"/>
      <c r="H16" s="534"/>
      <c r="I16" s="534"/>
      <c r="J16" s="534"/>
      <c r="K16" s="534"/>
      <c r="L16" s="534"/>
      <c r="M16" s="534"/>
      <c r="N16" s="534"/>
      <c r="O16" s="534"/>
      <c r="P16" s="534"/>
    </row>
    <row r="17" spans="1:17">
      <c r="A17" s="117"/>
      <c r="B17" s="44"/>
      <c r="C17" s="14"/>
      <c r="D17" s="534"/>
      <c r="E17" s="534"/>
      <c r="F17" s="534"/>
      <c r="G17" s="534"/>
      <c r="H17" s="534"/>
      <c r="I17" s="534"/>
      <c r="J17" s="534"/>
      <c r="K17" s="534"/>
      <c r="L17" s="534"/>
      <c r="M17" s="534"/>
      <c r="N17" s="534"/>
      <c r="O17" s="534"/>
      <c r="P17" s="534"/>
    </row>
    <row r="18" spans="1:17">
      <c r="A18" s="117">
        <f>A16+1</f>
        <v>5</v>
      </c>
      <c r="B18" s="419" t="s">
        <v>2469</v>
      </c>
      <c r="C18" s="534"/>
      <c r="D18" s="534"/>
      <c r="E18" s="534"/>
      <c r="F18" s="534"/>
      <c r="G18" s="534"/>
      <c r="H18" s="534"/>
      <c r="I18" s="534"/>
      <c r="J18" s="534"/>
      <c r="K18" s="534"/>
      <c r="L18" s="534"/>
      <c r="M18" s="534"/>
      <c r="N18" s="534"/>
      <c r="O18" s="534"/>
      <c r="P18" s="534"/>
    </row>
    <row r="19" spans="1:17">
      <c r="A19" s="14"/>
      <c r="B19" s="44"/>
      <c r="C19" s="14"/>
      <c r="D19" s="14"/>
      <c r="E19" s="14"/>
      <c r="F19" s="14"/>
      <c r="G19" s="14"/>
      <c r="H19" s="14"/>
      <c r="I19" s="14"/>
      <c r="J19" s="14"/>
      <c r="K19" s="14"/>
      <c r="L19" s="14"/>
      <c r="M19" s="14"/>
      <c r="N19" s="14"/>
      <c r="O19" s="14"/>
      <c r="P19" s="14"/>
    </row>
    <row r="20" spans="1:17">
      <c r="A20" s="117">
        <v>6</v>
      </c>
      <c r="B20" s="419" t="s">
        <v>2469</v>
      </c>
      <c r="C20" s="534"/>
      <c r="D20" s="534"/>
      <c r="E20" s="534"/>
      <c r="F20" s="534"/>
      <c r="G20" s="534"/>
      <c r="H20" s="534"/>
      <c r="I20" s="534"/>
      <c r="J20" s="534"/>
      <c r="K20" s="534"/>
      <c r="L20" s="534"/>
      <c r="M20" s="534"/>
      <c r="N20" s="534"/>
      <c r="O20" s="534"/>
      <c r="P20" s="534"/>
    </row>
    <row r="21" spans="1:17">
      <c r="A21" s="117"/>
      <c r="B21" s="44"/>
      <c r="C21" s="14"/>
      <c r="D21" s="534"/>
      <c r="E21" s="534"/>
      <c r="F21" s="534"/>
      <c r="G21" s="534"/>
      <c r="H21" s="534"/>
      <c r="I21" s="534"/>
      <c r="J21" s="534"/>
      <c r="K21" s="534"/>
      <c r="L21" s="534"/>
      <c r="M21" s="534"/>
      <c r="N21" s="534"/>
      <c r="O21" s="534"/>
      <c r="P21" s="534"/>
    </row>
    <row r="22" spans="1:17">
      <c r="A22" s="117">
        <f>A20+1</f>
        <v>7</v>
      </c>
      <c r="B22" s="419" t="s">
        <v>2469</v>
      </c>
      <c r="C22" s="534"/>
      <c r="D22" s="534"/>
      <c r="E22" s="534"/>
      <c r="F22" s="534"/>
      <c r="G22" s="534"/>
      <c r="H22" s="534"/>
      <c r="I22" s="534"/>
      <c r="J22" s="534"/>
      <c r="K22" s="534"/>
      <c r="L22" s="534"/>
      <c r="M22" s="534"/>
      <c r="N22" s="534"/>
      <c r="O22" s="534"/>
      <c r="P22" s="534"/>
    </row>
    <row r="23" spans="1:17">
      <c r="A23" s="14"/>
      <c r="B23" s="44" t="s">
        <v>2447</v>
      </c>
      <c r="D23" s="14"/>
      <c r="P23" s="14"/>
    </row>
    <row r="24" spans="1:17">
      <c r="A24" s="117">
        <v>18</v>
      </c>
      <c r="B24" s="117"/>
      <c r="C24" s="534">
        <f t="shared" ref="C24:C28" si="1">SUM(D24:P24)/13</f>
        <v>2095038796.1538463</v>
      </c>
      <c r="D24" s="1218">
        <v>2070034950</v>
      </c>
      <c r="E24" s="1218">
        <v>2070034950</v>
      </c>
      <c r="F24" s="1218">
        <v>2070034950</v>
      </c>
      <c r="G24" s="1218">
        <v>2070034950</v>
      </c>
      <c r="H24" s="1218">
        <v>2070034950</v>
      </c>
      <c r="I24" s="1218">
        <v>2070034950</v>
      </c>
      <c r="J24" s="1218">
        <v>2070034950</v>
      </c>
      <c r="K24" s="1218">
        <v>2070034950</v>
      </c>
      <c r="L24" s="1218">
        <v>2395044950</v>
      </c>
      <c r="M24" s="1218">
        <v>2070044950</v>
      </c>
      <c r="N24" s="1218">
        <v>2070044950</v>
      </c>
      <c r="O24" s="1218">
        <v>2070044950</v>
      </c>
      <c r="P24" s="1218">
        <v>2070044950</v>
      </c>
      <c r="Q24" s="522"/>
    </row>
    <row r="25" spans="1:17">
      <c r="A25" s="117"/>
      <c r="B25" s="44" t="s">
        <v>2729</v>
      </c>
      <c r="D25" s="534"/>
      <c r="E25" s="534"/>
      <c r="F25" s="534"/>
      <c r="G25" s="534"/>
      <c r="H25" s="534"/>
      <c r="I25" s="534"/>
      <c r="J25" s="534"/>
      <c r="K25" s="534"/>
      <c r="L25" s="534"/>
      <c r="M25" s="534"/>
      <c r="N25" s="534"/>
      <c r="O25" s="534"/>
      <c r="P25" s="534"/>
    </row>
    <row r="26" spans="1:17">
      <c r="A26" s="117">
        <f>A24+1</f>
        <v>19</v>
      </c>
      <c r="B26" s="117"/>
      <c r="C26" s="534">
        <f t="shared" si="1"/>
        <v>-44825914.507741518</v>
      </c>
      <c r="D26" s="1261">
        <v>-43556069.485138945</v>
      </c>
      <c r="E26" s="1261">
        <v>-43347432.394888952</v>
      </c>
      <c r="F26" s="1261">
        <v>-43138795.304638952</v>
      </c>
      <c r="G26" s="1261">
        <v>-42930158.214388952</v>
      </c>
      <c r="H26" s="1261">
        <v>-42721521.124138959</v>
      </c>
      <c r="I26" s="1261">
        <v>-42512884.033888958</v>
      </c>
      <c r="J26" s="1261">
        <v>-42304246.943638958</v>
      </c>
      <c r="K26" s="1261">
        <v>-42095609.853388958</v>
      </c>
      <c r="L26" s="1261">
        <v>-48554432.763138957</v>
      </c>
      <c r="M26" s="1261">
        <v>-48290233.5062223</v>
      </c>
      <c r="N26" s="1261">
        <v>-48026034.249305628</v>
      </c>
      <c r="O26" s="1261">
        <v>-47761834.992388971</v>
      </c>
      <c r="P26" s="1261">
        <v>-47497635.735472299</v>
      </c>
    </row>
    <row r="27" spans="1:17">
      <c r="A27" s="117"/>
      <c r="B27" s="44" t="s">
        <v>2451</v>
      </c>
      <c r="D27" s="534"/>
      <c r="E27" s="534"/>
      <c r="F27" s="534"/>
      <c r="G27" s="534"/>
      <c r="H27" s="534"/>
      <c r="I27" s="534"/>
      <c r="J27" s="534"/>
      <c r="K27" s="534"/>
      <c r="L27" s="534"/>
      <c r="M27" s="534"/>
      <c r="N27" s="534"/>
      <c r="O27" s="534"/>
      <c r="P27" s="534"/>
    </row>
    <row r="28" spans="1:17">
      <c r="A28" s="117">
        <f>A26+1</f>
        <v>20</v>
      </c>
      <c r="B28" s="117"/>
      <c r="C28" s="534">
        <f t="shared" si="1"/>
        <v>-943834.06862745073</v>
      </c>
      <c r="D28" s="535">
        <v>-1046567.89215686</v>
      </c>
      <c r="E28" s="535">
        <v>-1029445.58823529</v>
      </c>
      <c r="F28" s="535">
        <v>-1012323.28431373</v>
      </c>
      <c r="G28" s="535">
        <v>-995200.98039215698</v>
      </c>
      <c r="H28" s="535">
        <v>-978078.67647058796</v>
      </c>
      <c r="I28" s="535">
        <v>-960956.37254901999</v>
      </c>
      <c r="J28" s="535">
        <v>-943834.06862745096</v>
      </c>
      <c r="K28" s="535">
        <v>-926711.76470588194</v>
      </c>
      <c r="L28" s="535">
        <v>-909589.46078431397</v>
      </c>
      <c r="M28" s="535">
        <v>-892467.15686274495</v>
      </c>
      <c r="N28" s="535">
        <v>-875344.85294117604</v>
      </c>
      <c r="O28" s="535">
        <v>-858222.54901960795</v>
      </c>
      <c r="P28" s="535">
        <v>-841100.24509803904</v>
      </c>
    </row>
    <row r="29" spans="1:17">
      <c r="A29" s="14"/>
      <c r="B29" s="44" t="s">
        <v>2452</v>
      </c>
      <c r="D29" s="14"/>
      <c r="P29" s="14"/>
    </row>
    <row r="30" spans="1:17">
      <c r="A30" s="117">
        <v>27</v>
      </c>
      <c r="B30" s="117"/>
      <c r="C30" s="534">
        <f>SUM(D30:P30)/13</f>
        <v>13696414266.026154</v>
      </c>
      <c r="D30" s="1218">
        <v>13282111033</v>
      </c>
      <c r="E30" s="535">
        <v>13390752146.51</v>
      </c>
      <c r="F30" s="535">
        <v>13324957398.040001</v>
      </c>
      <c r="G30" s="535">
        <v>13431880995.52</v>
      </c>
      <c r="H30" s="535">
        <v>13522584718.66</v>
      </c>
      <c r="I30" s="535">
        <v>13631784009.459999</v>
      </c>
      <c r="J30" s="535">
        <v>13669018307.4</v>
      </c>
      <c r="K30" s="535">
        <v>13795555584.370001</v>
      </c>
      <c r="L30" s="535">
        <v>14162231950.73</v>
      </c>
      <c r="M30" s="535">
        <v>13924242647.6</v>
      </c>
      <c r="N30" s="535">
        <v>14061829926.15</v>
      </c>
      <c r="O30" s="535">
        <v>14184437500.9</v>
      </c>
      <c r="P30" s="1218">
        <v>13671999240</v>
      </c>
      <c r="Q30" s="522"/>
    </row>
    <row r="31" spans="1:17">
      <c r="A31" s="117"/>
      <c r="B31" s="44" t="s">
        <v>2730</v>
      </c>
      <c r="D31" s="534"/>
      <c r="E31" s="534"/>
      <c r="F31" s="534"/>
      <c r="G31" s="534"/>
      <c r="H31" s="534"/>
      <c r="I31" s="534"/>
      <c r="J31" s="534"/>
      <c r="K31" s="534"/>
      <c r="L31" s="534"/>
      <c r="M31" s="534"/>
      <c r="N31" s="534"/>
      <c r="O31" s="534"/>
      <c r="P31" s="534"/>
    </row>
    <row r="32" spans="1:17">
      <c r="A32" s="117">
        <v>30</v>
      </c>
      <c r="B32" s="117"/>
      <c r="C32" s="534">
        <f t="shared" ref="C32:C34" si="2">SUM(D32:P32)/13</f>
        <v>-3390875.6599999992</v>
      </c>
      <c r="D32" s="1218">
        <f>-5697001</f>
        <v>-5697001</v>
      </c>
      <c r="E32" s="535">
        <v>-5697279.1099999994</v>
      </c>
      <c r="F32" s="535">
        <v>-5697879.9899999993</v>
      </c>
      <c r="G32" s="535">
        <v>-5697756.3999999994</v>
      </c>
      <c r="H32" s="535">
        <v>-5697886.4899999993</v>
      </c>
      <c r="I32" s="535">
        <v>-5931243.6999999993</v>
      </c>
      <c r="J32" s="535">
        <v>-5842320.3300000001</v>
      </c>
      <c r="K32" s="535">
        <v>-5962986.6499999994</v>
      </c>
      <c r="L32" s="535">
        <v>-5963653</v>
      </c>
      <c r="M32" s="535">
        <v>2026219.0299999998</v>
      </c>
      <c r="N32" s="535">
        <v>2026801.5299999998</v>
      </c>
      <c r="O32" s="535">
        <v>2026801.5299999998</v>
      </c>
      <c r="P32" s="1218">
        <f>--2026801</f>
        <v>2026801</v>
      </c>
      <c r="Q32" s="522"/>
    </row>
    <row r="33" spans="1:17">
      <c r="A33" s="117"/>
      <c r="B33" s="44" t="s">
        <v>2731</v>
      </c>
      <c r="D33" s="534"/>
      <c r="E33" s="534"/>
      <c r="F33" s="534"/>
      <c r="G33" s="534"/>
      <c r="H33" s="534"/>
      <c r="I33" s="534"/>
      <c r="J33" s="534"/>
      <c r="K33" s="534"/>
      <c r="L33" s="534"/>
      <c r="M33" s="534"/>
      <c r="N33" s="534"/>
      <c r="O33" s="534"/>
      <c r="P33" s="534"/>
    </row>
    <row r="34" spans="1:17">
      <c r="A34" s="117">
        <f>A32+1</f>
        <v>31</v>
      </c>
      <c r="B34" s="117"/>
      <c r="C34" s="534">
        <f t="shared" si="2"/>
        <v>25241661.231538467</v>
      </c>
      <c r="D34" s="1218">
        <f>--28166048</f>
        <v>28166048</v>
      </c>
      <c r="E34" s="535">
        <v>27581544.140000001</v>
      </c>
      <c r="F34" s="535">
        <v>26128513.280000001</v>
      </c>
      <c r="G34" s="535">
        <v>26732687</v>
      </c>
      <c r="H34" s="535">
        <v>25930978.940000001</v>
      </c>
      <c r="I34" s="535">
        <v>25295714.940000001</v>
      </c>
      <c r="J34" s="535">
        <v>25504801.940000001</v>
      </c>
      <c r="K34" s="535">
        <v>24688774.149999999</v>
      </c>
      <c r="L34" s="535">
        <v>24833065.329999998</v>
      </c>
      <c r="M34" s="535">
        <v>24904359.18</v>
      </c>
      <c r="N34" s="535">
        <v>23463248.850000001</v>
      </c>
      <c r="O34" s="535">
        <v>22779004.260000002</v>
      </c>
      <c r="P34" s="1218">
        <f>--22132856</f>
        <v>22132856</v>
      </c>
      <c r="Q34" s="522"/>
    </row>
    <row r="35" spans="1:17">
      <c r="A35" s="117"/>
      <c r="B35" s="117"/>
      <c r="C35" s="534"/>
      <c r="D35" s="534"/>
      <c r="E35" s="534"/>
      <c r="F35" s="534"/>
      <c r="G35" s="534"/>
      <c r="H35" s="534"/>
      <c r="I35" s="534"/>
      <c r="J35" s="534"/>
      <c r="K35" s="534"/>
      <c r="L35" s="534"/>
      <c r="M35" s="534"/>
      <c r="N35" s="534"/>
      <c r="O35" s="534"/>
      <c r="P35" s="534"/>
    </row>
    <row r="36" spans="1:17">
      <c r="A36" s="117"/>
      <c r="B36" s="52" t="s">
        <v>420</v>
      </c>
      <c r="C36" s="534"/>
      <c r="D36" s="534"/>
      <c r="E36" s="534"/>
      <c r="F36" s="534"/>
      <c r="G36" s="534"/>
      <c r="H36" s="534"/>
      <c r="I36" s="534"/>
      <c r="J36" s="534"/>
      <c r="K36" s="534"/>
      <c r="L36" s="534"/>
      <c r="M36" s="534"/>
      <c r="N36" s="534"/>
      <c r="O36" s="534"/>
      <c r="P36" s="534"/>
    </row>
    <row r="37" spans="1:17">
      <c r="A37" s="117"/>
      <c r="B37" s="522" t="s">
        <v>1871</v>
      </c>
      <c r="C37" s="534"/>
      <c r="D37" s="534"/>
      <c r="E37" s="534"/>
      <c r="F37" s="534"/>
      <c r="G37" s="534"/>
      <c r="H37" s="534"/>
      <c r="I37" s="534"/>
      <c r="J37" s="534"/>
      <c r="K37" s="534"/>
      <c r="L37" s="534"/>
      <c r="M37" s="534"/>
      <c r="N37" s="534"/>
      <c r="O37" s="534"/>
      <c r="P37" s="534"/>
    </row>
    <row r="38" spans="1:17">
      <c r="A38" s="117"/>
      <c r="B38" s="526" t="s">
        <v>1888</v>
      </c>
      <c r="C38" s="534"/>
      <c r="D38" s="534"/>
      <c r="E38" s="534"/>
      <c r="F38" s="534"/>
      <c r="G38" s="534"/>
      <c r="H38" s="534"/>
      <c r="I38" s="534"/>
      <c r="J38" s="534"/>
      <c r="K38" s="534"/>
      <c r="L38" s="534"/>
      <c r="M38" s="534"/>
      <c r="N38" s="534"/>
      <c r="O38" s="534"/>
      <c r="P38" s="534"/>
    </row>
    <row r="39" spans="1:17">
      <c r="A39" s="117"/>
      <c r="B39" s="524" t="s">
        <v>2532</v>
      </c>
      <c r="C39" s="419" t="s">
        <v>2469</v>
      </c>
      <c r="D39" s="534"/>
      <c r="E39" s="534"/>
      <c r="F39" s="534"/>
      <c r="G39" s="534"/>
      <c r="H39" s="534"/>
      <c r="I39" s="534"/>
      <c r="J39" s="534"/>
      <c r="K39" s="534"/>
      <c r="L39" s="534"/>
      <c r="M39" s="534"/>
      <c r="N39" s="534"/>
      <c r="O39" s="534"/>
      <c r="P39" s="534"/>
    </row>
    <row r="40" spans="1:17">
      <c r="A40" s="14"/>
      <c r="B40" s="1032" t="s">
        <v>2533</v>
      </c>
      <c r="C40" s="14"/>
      <c r="D40" s="14"/>
      <c r="E40" s="14"/>
      <c r="F40" s="14"/>
      <c r="G40" s="14"/>
      <c r="H40" s="14"/>
      <c r="I40" s="14"/>
      <c r="J40" s="14"/>
      <c r="K40" s="14"/>
      <c r="L40" s="14"/>
    </row>
    <row r="41" spans="1:17">
      <c r="A41" s="14"/>
      <c r="B41" s="521"/>
      <c r="C41" s="14"/>
      <c r="D41" s="14"/>
      <c r="E41" s="14"/>
      <c r="F41" s="14"/>
      <c r="G41" s="14"/>
      <c r="H41" s="14"/>
      <c r="I41" s="14"/>
      <c r="J41" s="14"/>
      <c r="K41" s="14"/>
      <c r="L41" s="14"/>
    </row>
    <row r="42" spans="1:17">
      <c r="A42" s="14"/>
      <c r="B42" s="44" t="s">
        <v>256</v>
      </c>
      <c r="C42" s="14"/>
      <c r="D42" s="14"/>
      <c r="E42" s="14"/>
      <c r="F42" s="14"/>
      <c r="G42" s="14"/>
      <c r="H42" s="14"/>
      <c r="I42" s="14"/>
      <c r="J42" s="14"/>
      <c r="K42" s="14"/>
      <c r="L42" s="14"/>
    </row>
    <row r="43" spans="1:17">
      <c r="A43" s="14"/>
      <c r="B43" s="524" t="s">
        <v>2030</v>
      </c>
      <c r="C43" s="14"/>
      <c r="D43" s="14"/>
      <c r="E43" s="14"/>
      <c r="F43" s="14"/>
      <c r="G43" s="14"/>
      <c r="H43" s="14"/>
      <c r="I43" s="14"/>
      <c r="J43" s="14"/>
      <c r="K43" s="14"/>
      <c r="L43" s="14"/>
    </row>
    <row r="44" spans="1:17">
      <c r="A44" s="14"/>
      <c r="B44" s="524" t="s">
        <v>2031</v>
      </c>
      <c r="C44" s="14"/>
      <c r="D44" s="14"/>
      <c r="E44" s="14"/>
      <c r="F44" s="14"/>
      <c r="G44" s="14"/>
      <c r="H44" s="14"/>
      <c r="I44" s="14"/>
      <c r="J44" s="14"/>
      <c r="K44" s="14"/>
      <c r="L44" s="14"/>
    </row>
    <row r="45" spans="1:17">
      <c r="A45" s="14"/>
      <c r="B45" s="524" t="s">
        <v>2202</v>
      </c>
      <c r="C45" s="14"/>
      <c r="D45" s="14"/>
      <c r="E45" s="14"/>
      <c r="F45" s="14"/>
      <c r="G45" s="14"/>
      <c r="H45" s="14"/>
      <c r="I45" s="14"/>
      <c r="J45" s="14"/>
      <c r="K45" s="14"/>
      <c r="L45" s="14"/>
    </row>
    <row r="46" spans="1:17">
      <c r="A46" s="14"/>
      <c r="B46" s="524" t="s">
        <v>2032</v>
      </c>
      <c r="C46" s="14"/>
      <c r="D46" s="14"/>
      <c r="E46" s="14"/>
      <c r="F46" s="14"/>
      <c r="G46" s="14"/>
      <c r="H46" s="14"/>
      <c r="I46" s="14"/>
      <c r="J46" s="14"/>
      <c r="K46" s="14"/>
      <c r="L46" s="14"/>
    </row>
    <row r="47" spans="1:17">
      <c r="A47" s="14"/>
      <c r="B47" s="524" t="s">
        <v>2470</v>
      </c>
      <c r="C47" s="419" t="s">
        <v>2469</v>
      </c>
      <c r="D47" s="14"/>
      <c r="E47" s="14"/>
      <c r="F47" s="14"/>
      <c r="G47" s="14"/>
      <c r="H47" s="14"/>
      <c r="I47" s="14"/>
      <c r="J47" s="14"/>
      <c r="K47" s="14"/>
      <c r="L47" s="14"/>
    </row>
    <row r="48" spans="1:17">
      <c r="A48" s="14"/>
      <c r="B48" s="524" t="s">
        <v>2467</v>
      </c>
      <c r="C48" s="419" t="s">
        <v>2469</v>
      </c>
      <c r="D48" s="14"/>
      <c r="E48" s="14"/>
      <c r="F48" s="14"/>
      <c r="G48" s="14"/>
      <c r="H48" s="14"/>
      <c r="I48" s="14"/>
      <c r="J48" s="14"/>
      <c r="K48" s="14"/>
      <c r="L48" s="14"/>
    </row>
    <row r="49" spans="1:13">
      <c r="A49" s="14"/>
      <c r="B49" s="524" t="s">
        <v>2530</v>
      </c>
      <c r="C49" s="419" t="s">
        <v>2469</v>
      </c>
      <c r="D49" s="14"/>
      <c r="E49" s="14"/>
      <c r="F49" s="14"/>
      <c r="G49" s="14"/>
      <c r="H49" s="14"/>
      <c r="I49" s="14"/>
      <c r="J49" s="14"/>
      <c r="K49" s="14"/>
      <c r="L49" s="14"/>
    </row>
    <row r="50" spans="1:13">
      <c r="A50" s="14"/>
      <c r="B50" s="524" t="s">
        <v>2531</v>
      </c>
      <c r="C50" s="419" t="s">
        <v>2469</v>
      </c>
      <c r="D50" s="14"/>
      <c r="E50" s="14"/>
      <c r="F50" s="14"/>
      <c r="G50" s="14"/>
      <c r="H50" s="14"/>
      <c r="I50" s="14"/>
      <c r="J50" s="14"/>
      <c r="K50" s="14"/>
      <c r="L50" s="14"/>
    </row>
    <row r="51" spans="1:13">
      <c r="A51" s="14"/>
      <c r="B51" s="524" t="s">
        <v>2448</v>
      </c>
      <c r="C51" s="14"/>
      <c r="D51" s="14"/>
      <c r="E51" s="14"/>
      <c r="F51" s="14"/>
      <c r="G51" s="14"/>
      <c r="H51" s="14"/>
      <c r="I51" s="14"/>
      <c r="J51" s="14"/>
      <c r="K51" s="14"/>
      <c r="L51" s="14"/>
    </row>
    <row r="52" spans="1:13">
      <c r="A52" s="14"/>
      <c r="B52" s="524" t="s">
        <v>2449</v>
      </c>
      <c r="C52" s="14"/>
      <c r="D52" s="14"/>
      <c r="E52" s="14"/>
      <c r="F52" s="14"/>
      <c r="G52" s="14"/>
      <c r="H52" s="14"/>
      <c r="I52" s="14"/>
      <c r="J52" s="14"/>
      <c r="K52" s="14"/>
      <c r="L52" s="14"/>
    </row>
    <row r="53" spans="1:13">
      <c r="A53" s="14"/>
      <c r="B53" s="521" t="s">
        <v>2084</v>
      </c>
      <c r="C53" s="14"/>
      <c r="D53" s="14"/>
      <c r="E53" s="14"/>
      <c r="F53" s="14"/>
      <c r="G53" s="14"/>
      <c r="H53" s="14"/>
      <c r="I53" s="14"/>
      <c r="J53" s="14"/>
      <c r="K53" s="14"/>
      <c r="L53" s="14"/>
    </row>
    <row r="54" spans="1:13">
      <c r="A54" s="14"/>
      <c r="B54" s="14"/>
      <c r="C54" s="14"/>
      <c r="D54" s="14"/>
      <c r="E54" s="14"/>
      <c r="F54" s="14"/>
      <c r="G54" s="14"/>
      <c r="H54" s="117" t="s">
        <v>1166</v>
      </c>
      <c r="I54" s="14"/>
      <c r="J54" s="14"/>
      <c r="K54" s="14"/>
      <c r="L54" s="14"/>
    </row>
    <row r="55" spans="1:13">
      <c r="A55" s="14"/>
      <c r="B55" s="14"/>
      <c r="C55" s="117"/>
      <c r="D55" s="14"/>
      <c r="E55" s="117" t="s">
        <v>1841</v>
      </c>
      <c r="F55" s="117" t="s">
        <v>1842</v>
      </c>
      <c r="G55" s="117" t="s">
        <v>1842</v>
      </c>
      <c r="H55" s="117" t="s">
        <v>218</v>
      </c>
      <c r="I55" s="117" t="s">
        <v>1526</v>
      </c>
      <c r="J55" s="14"/>
      <c r="K55" s="14"/>
      <c r="L55" s="14"/>
    </row>
    <row r="56" spans="1:13">
      <c r="A56" s="14"/>
      <c r="B56" s="14"/>
      <c r="C56" s="131" t="s">
        <v>1843</v>
      </c>
      <c r="D56" s="14"/>
      <c r="E56" s="131" t="s">
        <v>194</v>
      </c>
      <c r="F56" s="131" t="s">
        <v>1844</v>
      </c>
      <c r="G56" s="131" t="s">
        <v>1913</v>
      </c>
      <c r="H56" s="369" t="s">
        <v>2080</v>
      </c>
      <c r="I56" s="131" t="s">
        <v>1166</v>
      </c>
      <c r="J56" s="131" t="s">
        <v>187</v>
      </c>
      <c r="K56" s="14"/>
      <c r="L56" s="14"/>
    </row>
    <row r="57" spans="1:13">
      <c r="A57" s="14"/>
      <c r="B57" s="14"/>
      <c r="C57" s="635" t="s">
        <v>2838</v>
      </c>
      <c r="D57" s="588"/>
      <c r="E57" s="1262">
        <v>125000000</v>
      </c>
      <c r="F57" s="636">
        <v>40612</v>
      </c>
      <c r="G57" s="1262">
        <v>2577363</v>
      </c>
      <c r="H57" s="158">
        <v>30</v>
      </c>
      <c r="I57" s="584">
        <v>85912.1</v>
      </c>
      <c r="J57" s="416"/>
      <c r="K57" s="102"/>
      <c r="L57" s="102"/>
      <c r="M57" s="102"/>
    </row>
    <row r="58" spans="1:13">
      <c r="A58" s="14"/>
      <c r="B58" s="14"/>
      <c r="C58" s="635" t="s">
        <v>2839</v>
      </c>
      <c r="D58" s="588"/>
      <c r="E58" s="114">
        <v>350000000</v>
      </c>
      <c r="F58" s="636">
        <v>40925</v>
      </c>
      <c r="G58" s="114">
        <v>5957289</v>
      </c>
      <c r="H58" s="158">
        <v>10</v>
      </c>
      <c r="I58" s="1217">
        <v>595728.9</v>
      </c>
      <c r="J58" s="416"/>
      <c r="K58" s="102"/>
      <c r="L58" s="102"/>
      <c r="M58" s="102"/>
    </row>
    <row r="59" spans="1:13">
      <c r="A59" s="14"/>
      <c r="B59" s="14"/>
      <c r="C59" s="635" t="s">
        <v>2840</v>
      </c>
      <c r="D59" s="588"/>
      <c r="E59" s="114">
        <v>475000000</v>
      </c>
      <c r="F59" s="636">
        <v>41046</v>
      </c>
      <c r="G59" s="114">
        <v>15401698</v>
      </c>
      <c r="H59" s="158">
        <v>30</v>
      </c>
      <c r="I59" s="114">
        <v>513389.93333333335</v>
      </c>
      <c r="J59" s="416"/>
      <c r="K59" s="102"/>
      <c r="L59" s="102"/>
      <c r="M59" s="102"/>
    </row>
    <row r="60" spans="1:13">
      <c r="A60" s="14"/>
      <c r="B60" s="14"/>
      <c r="C60" s="1132" t="s">
        <v>2841</v>
      </c>
      <c r="D60" s="1131"/>
      <c r="E60" s="1129">
        <v>400000000</v>
      </c>
      <c r="F60" s="1133">
        <v>41303</v>
      </c>
      <c r="G60" s="1129">
        <v>12972286</v>
      </c>
      <c r="H60" s="1130">
        <v>30</v>
      </c>
      <c r="I60" s="114">
        <v>432409.53333333333</v>
      </c>
      <c r="J60" s="416"/>
      <c r="K60" s="102"/>
      <c r="L60" s="102"/>
      <c r="M60" s="102"/>
    </row>
    <row r="61" spans="1:13">
      <c r="A61" s="14"/>
      <c r="B61" s="14"/>
      <c r="C61" s="1132" t="s">
        <v>2842</v>
      </c>
      <c r="D61" s="1131"/>
      <c r="E61" s="1129">
        <v>275000000</v>
      </c>
      <c r="F61" s="1133">
        <v>41704</v>
      </c>
      <c r="G61" s="1129">
        <v>6272358</v>
      </c>
      <c r="H61" s="1134">
        <v>10</v>
      </c>
      <c r="I61" s="114">
        <v>627235.80000000005</v>
      </c>
      <c r="J61" s="1436"/>
      <c r="K61" s="1437"/>
      <c r="L61" s="1437"/>
      <c r="M61" s="1437"/>
    </row>
    <row r="62" spans="1:13">
      <c r="A62" s="14"/>
      <c r="B62" s="14"/>
      <c r="C62" s="1132" t="s">
        <v>2995</v>
      </c>
      <c r="D62" s="1131"/>
      <c r="E62" s="1129">
        <v>325000000</v>
      </c>
      <c r="F62" s="1133">
        <v>42240</v>
      </c>
      <c r="G62" s="1129">
        <v>6419578</v>
      </c>
      <c r="H62" s="1130">
        <v>10</v>
      </c>
      <c r="I62" s="114">
        <v>213985.93333333335</v>
      </c>
      <c r="J62" s="1211" t="s">
        <v>2996</v>
      </c>
      <c r="K62" s="102"/>
      <c r="L62" s="102"/>
      <c r="M62" s="102"/>
    </row>
    <row r="63" spans="1:13">
      <c r="A63" s="14"/>
      <c r="B63" s="14"/>
      <c r="C63" s="588"/>
      <c r="D63" s="588"/>
      <c r="E63" s="114"/>
      <c r="F63" s="636"/>
      <c r="G63" s="114"/>
      <c r="H63" s="158"/>
      <c r="I63" s="1217"/>
      <c r="J63" s="413"/>
      <c r="K63" s="102"/>
      <c r="L63" s="102"/>
      <c r="M63" s="102"/>
    </row>
    <row r="64" spans="1:13">
      <c r="A64" s="14"/>
      <c r="B64" s="14"/>
      <c r="C64" s="672"/>
      <c r="D64" s="672"/>
      <c r="E64" s="14"/>
      <c r="F64" s="14"/>
      <c r="G64" s="14"/>
      <c r="H64" s="14"/>
      <c r="I64" s="517">
        <f>SUM(I57:I63)</f>
        <v>2468662.2000000002</v>
      </c>
      <c r="J64" s="524" t="s">
        <v>2083</v>
      </c>
      <c r="K64" s="14"/>
      <c r="L64" s="14"/>
      <c r="M64" s="14"/>
    </row>
    <row r="65" spans="1:13">
      <c r="A65" s="14"/>
      <c r="B65" s="524" t="s">
        <v>2450</v>
      </c>
      <c r="G65" s="14"/>
      <c r="H65" s="14"/>
      <c r="I65" s="14"/>
      <c r="J65" s="14"/>
      <c r="K65" s="14"/>
      <c r="L65" s="14"/>
      <c r="M65" s="14"/>
    </row>
    <row r="66" spans="1:13">
      <c r="A66" s="14"/>
      <c r="B66" s="521" t="s">
        <v>2081</v>
      </c>
      <c r="G66" s="14"/>
      <c r="H66" s="14"/>
      <c r="I66" s="14"/>
      <c r="J66" s="14"/>
      <c r="K66" s="14"/>
      <c r="L66" s="14"/>
      <c r="M66" s="14"/>
    </row>
    <row r="67" spans="1:13">
      <c r="A67" s="14"/>
      <c r="B67" s="14"/>
      <c r="G67" s="117" t="s">
        <v>1166</v>
      </c>
      <c r="H67" s="14"/>
      <c r="I67" s="14"/>
      <c r="J67" s="14"/>
      <c r="K67" s="14"/>
      <c r="L67" s="14"/>
      <c r="M67" s="14"/>
    </row>
    <row r="68" spans="1:13">
      <c r="A68" s="14"/>
      <c r="B68" s="14"/>
      <c r="C68" s="117"/>
      <c r="E68" s="634" t="s">
        <v>1914</v>
      </c>
      <c r="F68" s="117" t="s">
        <v>1166</v>
      </c>
      <c r="G68" s="117" t="s">
        <v>218</v>
      </c>
      <c r="H68" s="117" t="s">
        <v>1526</v>
      </c>
      <c r="I68" s="117"/>
      <c r="J68" s="14"/>
      <c r="K68" s="14"/>
      <c r="L68" s="14"/>
      <c r="M68" s="14"/>
    </row>
    <row r="69" spans="1:13">
      <c r="A69" s="14"/>
      <c r="B69" s="14"/>
      <c r="C69" s="131" t="s">
        <v>1915</v>
      </c>
      <c r="E69" s="131" t="s">
        <v>1844</v>
      </c>
      <c r="F69" s="131" t="s">
        <v>194</v>
      </c>
      <c r="G69" s="369" t="s">
        <v>2080</v>
      </c>
      <c r="H69" s="131" t="s">
        <v>1166</v>
      </c>
      <c r="I69" s="131" t="s">
        <v>187</v>
      </c>
      <c r="J69" s="14"/>
      <c r="K69" s="14"/>
      <c r="L69" s="14"/>
      <c r="M69" s="14"/>
    </row>
    <row r="70" spans="1:13">
      <c r="A70" s="14"/>
      <c r="B70" s="14"/>
      <c r="C70" s="635" t="s">
        <v>2843</v>
      </c>
      <c r="D70" s="588"/>
      <c r="E70" s="637" t="s">
        <v>2844</v>
      </c>
      <c r="F70" s="114">
        <v>-286600</v>
      </c>
      <c r="G70" s="158">
        <v>34</v>
      </c>
      <c r="H70" s="114">
        <v>-8429.4117647058829</v>
      </c>
      <c r="I70" s="102" t="s">
        <v>2845</v>
      </c>
      <c r="J70" s="102"/>
      <c r="K70" s="102"/>
      <c r="L70" s="102"/>
      <c r="M70" s="102"/>
    </row>
    <row r="71" spans="1:13">
      <c r="A71" s="14"/>
      <c r="B71" s="14"/>
      <c r="C71" s="635" t="s">
        <v>2846</v>
      </c>
      <c r="D71" s="588"/>
      <c r="E71" s="638" t="s">
        <v>2847</v>
      </c>
      <c r="F71" s="114">
        <v>6247500</v>
      </c>
      <c r="G71" s="158">
        <v>34</v>
      </c>
      <c r="H71" s="114">
        <v>183750</v>
      </c>
      <c r="I71" s="102" t="s">
        <v>2848</v>
      </c>
      <c r="J71" s="102"/>
      <c r="K71" s="102"/>
      <c r="L71" s="102"/>
      <c r="M71" s="102"/>
    </row>
    <row r="72" spans="1:13">
      <c r="A72" s="14"/>
      <c r="B72" s="14"/>
      <c r="C72" s="635" t="s">
        <v>2846</v>
      </c>
      <c r="D72" s="588"/>
      <c r="E72" s="638" t="s">
        <v>2847</v>
      </c>
      <c r="F72" s="114">
        <v>1025000</v>
      </c>
      <c r="G72" s="158">
        <v>34</v>
      </c>
      <c r="H72" s="114">
        <v>30147.058823529413</v>
      </c>
      <c r="I72" s="102" t="s">
        <v>2849</v>
      </c>
      <c r="J72" s="102"/>
      <c r="K72" s="102"/>
      <c r="L72" s="102"/>
      <c r="M72" s="102"/>
    </row>
    <row r="73" spans="1:13">
      <c r="A73" s="14"/>
      <c r="B73" s="14"/>
      <c r="C73" s="588"/>
      <c r="D73" s="588"/>
      <c r="E73" s="638"/>
      <c r="F73" s="114"/>
      <c r="G73" s="158"/>
      <c r="H73" s="114"/>
      <c r="I73" s="529"/>
      <c r="J73" s="102"/>
      <c r="K73" s="102"/>
      <c r="L73" s="102"/>
      <c r="M73" s="102"/>
    </row>
    <row r="74" spans="1:13">
      <c r="A74" s="14"/>
      <c r="B74" s="14"/>
      <c r="C74" s="672"/>
      <c r="D74" s="672"/>
      <c r="E74" s="14"/>
      <c r="F74" s="14"/>
      <c r="G74" s="14"/>
      <c r="H74" s="517">
        <f>SUM(H70:H73)</f>
        <v>205467.64705882355</v>
      </c>
      <c r="I74" s="524" t="s">
        <v>2082</v>
      </c>
      <c r="J74" s="14"/>
      <c r="K74" s="14"/>
      <c r="L74" s="14"/>
      <c r="M74" s="14"/>
    </row>
    <row r="75" spans="1:13">
      <c r="A75" s="14"/>
      <c r="B75" s="14"/>
      <c r="C75" s="14"/>
      <c r="D75" s="14"/>
      <c r="E75" s="14"/>
      <c r="F75" s="14"/>
      <c r="G75" s="14"/>
      <c r="H75" s="14"/>
      <c r="I75" s="14"/>
      <c r="J75" s="14"/>
      <c r="K75" s="14"/>
      <c r="L75" s="14"/>
      <c r="M75" s="14"/>
    </row>
    <row r="76" spans="1:13">
      <c r="A76" s="14"/>
      <c r="B76" s="524" t="s">
        <v>2453</v>
      </c>
      <c r="C76" s="14"/>
      <c r="D76" s="14"/>
      <c r="E76" s="14"/>
      <c r="F76" s="14"/>
      <c r="G76" s="14"/>
      <c r="H76" s="14"/>
      <c r="I76" s="14"/>
      <c r="J76" s="14"/>
      <c r="K76" s="14"/>
      <c r="L76" s="14"/>
      <c r="M76" s="14"/>
    </row>
    <row r="77" spans="1:13">
      <c r="A77" s="14"/>
      <c r="B77" s="524" t="s">
        <v>2454</v>
      </c>
      <c r="C77" s="14"/>
      <c r="D77" s="14"/>
      <c r="E77" s="14"/>
      <c r="F77" s="14"/>
      <c r="G77" s="14"/>
      <c r="H77" s="14"/>
      <c r="I77" s="14"/>
      <c r="J77" s="14"/>
      <c r="K77" s="14"/>
      <c r="L77" s="14"/>
      <c r="M77" s="14"/>
    </row>
    <row r="78" spans="1:13">
      <c r="A78" s="14"/>
      <c r="B78" s="524" t="s">
        <v>2455</v>
      </c>
      <c r="C78" s="14"/>
      <c r="D78" s="14"/>
      <c r="E78" s="14"/>
      <c r="F78" s="14"/>
      <c r="G78" s="14"/>
      <c r="H78" s="14"/>
      <c r="I78" s="14"/>
      <c r="J78" s="14"/>
      <c r="K78" s="14"/>
      <c r="L78" s="14"/>
      <c r="M78" s="14"/>
    </row>
  </sheetData>
  <mergeCells count="1">
    <mergeCell ref="J61:M61"/>
  </mergeCells>
  <pageMargins left="0.7" right="0.7" top="0.75" bottom="0.75" header="0.3" footer="0.3"/>
  <pageSetup scale="56" fitToHeight="0" orientation="landscape" cellComments="asDisplayed" r:id="rId1"/>
  <headerFooter>
    <oddHeader>&amp;CSchedule 5 ROR-2
Return and Capitalization
&amp;RTO11 Draft Annual Update
Attachment 1</oddHeader>
    <oddFooter>&amp;R5-ROR-2</oddFooter>
  </headerFooter>
  <rowBreaks count="1" manualBreakCount="1">
    <brk id="41"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39</vt:i4>
      </vt:variant>
      <vt:variant>
        <vt:lpstr>Named Ranges</vt:lpstr>
      </vt:variant>
      <vt:variant>
        <vt:i4>41</vt:i4>
      </vt:variant>
    </vt:vector>
  </HeadingPairs>
  <TitlesOfParts>
    <vt:vector size="80" baseType="lpstr">
      <vt:lpstr>Heading</vt:lpstr>
      <vt:lpstr>Contents</vt:lpstr>
      <vt:lpstr>Overview</vt:lpstr>
      <vt:lpstr>1-BaseTRR</vt:lpstr>
      <vt:lpstr>2-IFPTRR</vt:lpstr>
      <vt:lpstr>3-TrueUpAdjust</vt:lpstr>
      <vt:lpstr>4-TUTRR</vt:lpstr>
      <vt:lpstr>5-ROR-1</vt:lpstr>
      <vt:lpstr>5-ROR-2</vt:lpstr>
      <vt:lpstr>6-PlantInService</vt:lpstr>
      <vt:lpstr>7-PlantStudy</vt:lpstr>
      <vt:lpstr>8-AccDep</vt:lpstr>
      <vt:lpstr>9-ADIT</vt:lpstr>
      <vt:lpstr>10-CWIP</vt:lpstr>
      <vt:lpstr>11-PHFU</vt:lpstr>
      <vt:lpstr>12-AbandonedPlant</vt:lpstr>
      <vt:lpstr>13-WorkCap</vt:lpstr>
      <vt:lpstr>14-IncentivePlant</vt:lpstr>
      <vt:lpstr>15-IncentiveAdder</vt:lpstr>
      <vt:lpstr>16-PlantAdditions</vt:lpstr>
      <vt:lpstr>17-Depreciation</vt:lpstr>
      <vt:lpstr>18-DepRates</vt:lpstr>
      <vt:lpstr>19-OandM</vt:lpstr>
      <vt:lpstr>20-AandG</vt:lpstr>
      <vt:lpstr>21-RevenueCredits</vt:lpstr>
      <vt:lpstr>22-NUCs</vt:lpstr>
      <vt:lpstr>23-RegAssets</vt:lpstr>
      <vt:lpstr>24-CWIPTRR</vt:lpstr>
      <vt:lpstr>25-WholesaleDifference</vt:lpstr>
      <vt:lpstr>26-TaxRates</vt:lpstr>
      <vt:lpstr>27-Allocators</vt:lpstr>
      <vt:lpstr>28-FFU</vt:lpstr>
      <vt:lpstr>29-WholesaleTRRs</vt:lpstr>
      <vt:lpstr>30-WholesaleRates</vt:lpstr>
      <vt:lpstr>31-HVLV</vt:lpstr>
      <vt:lpstr>32-GrossLoad</vt:lpstr>
      <vt:lpstr>33-RetailRates</vt:lpstr>
      <vt:lpstr>34-UnfundedReserves</vt:lpstr>
      <vt:lpstr>35-PBOPs</vt:lpstr>
      <vt:lpstr>'10-CWIP'!Print_Area</vt:lpstr>
      <vt:lpstr>'11-PHFU'!Print_Area</vt:lpstr>
      <vt:lpstr>'12-AbandonedPlant'!Print_Area</vt:lpstr>
      <vt:lpstr>'13-WorkCap'!Print_Area</vt:lpstr>
      <vt:lpstr>'14-IncentivePlant'!Print_Area</vt:lpstr>
      <vt:lpstr>'15-IncentiveAdder'!Print_Area</vt:lpstr>
      <vt:lpstr>'16-PlantAdditions'!Print_Area</vt:lpstr>
      <vt:lpstr>'17-Depreciation'!Print_Area</vt:lpstr>
      <vt:lpstr>'18-DepRates'!Print_Area</vt:lpstr>
      <vt:lpstr>'19-OandM'!Print_Area</vt:lpstr>
      <vt:lpstr>'1-BaseTRR'!Print_Area</vt:lpstr>
      <vt:lpstr>'20-AandG'!Print_Area</vt:lpstr>
      <vt:lpstr>'21-RevenueCredits'!Print_Area</vt:lpstr>
      <vt:lpstr>'22-NUCs'!Print_Area</vt:lpstr>
      <vt:lpstr>'23-RegAssets'!Print_Area</vt:lpstr>
      <vt:lpstr>'24-CWIPTRR'!Print_Area</vt:lpstr>
      <vt:lpstr>'25-WholesaleDifference'!Print_Area</vt:lpstr>
      <vt:lpstr>'26-TaxRates'!Print_Area</vt:lpstr>
      <vt:lpstr>'27-Allocators'!Print_Area</vt:lpstr>
      <vt:lpstr>'28-FFU'!Print_Area</vt:lpstr>
      <vt:lpstr>'29-WholesaleTRRs'!Print_Area</vt:lpstr>
      <vt:lpstr>'2-IFPTRR'!Print_Area</vt:lpstr>
      <vt:lpstr>'30-WholesaleRates'!Print_Area</vt:lpstr>
      <vt:lpstr>'31-HVLV'!Print_Area</vt:lpstr>
      <vt:lpstr>'32-GrossLoad'!Print_Area</vt:lpstr>
      <vt:lpstr>'33-RetailRates'!Print_Area</vt:lpstr>
      <vt:lpstr>'34-UnfundedReserves'!Print_Area</vt:lpstr>
      <vt:lpstr>'35-PBOPs'!Print_Area</vt:lpstr>
      <vt:lpstr>'3-TrueUpAdjust'!Print_Area</vt:lpstr>
      <vt:lpstr>'4-TUTRR'!Print_Area</vt:lpstr>
      <vt:lpstr>'5-ROR-1'!Print_Area</vt:lpstr>
      <vt:lpstr>'5-ROR-2'!Print_Area</vt:lpstr>
      <vt:lpstr>'6-PlantInService'!Print_Area</vt:lpstr>
      <vt:lpstr>'7-PlantStudy'!Print_Area</vt:lpstr>
      <vt:lpstr>'8-AccDep'!Print_Area</vt:lpstr>
      <vt:lpstr>'9-ADIT'!Print_Area</vt:lpstr>
      <vt:lpstr>Contents!Print_Area</vt:lpstr>
      <vt:lpstr>Heading!Print_Area</vt:lpstr>
      <vt:lpstr>Overview!Print_Area</vt:lpstr>
      <vt:lpstr>'1-BaseTRR'!Print_Titles</vt:lpstr>
      <vt:lpstr>'21-RevenueCredits'!Print_Titles</vt:lpstr>
    </vt:vector>
  </TitlesOfParts>
  <Company>Edison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Hansen</dc:creator>
  <cp:lastModifiedBy>Kim, Jee Young</cp:lastModifiedBy>
  <cp:lastPrinted>2016-04-14T21:43:22Z</cp:lastPrinted>
  <dcterms:created xsi:type="dcterms:W3CDTF">2009-02-27T16:01:11Z</dcterms:created>
  <dcterms:modified xsi:type="dcterms:W3CDTF">2016-06-14T23:31:30Z</dcterms:modified>
</cp:coreProperties>
</file>